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ton Manor\Results\2018 Summer Results\"/>
    </mc:Choice>
  </mc:AlternateContent>
  <xr:revisionPtr revIDLastSave="0" documentId="8_{8C55C1E6-1298-4986-A942-B8369C3D219C}" xr6:coauthVersionLast="47" xr6:coauthVersionMax="47" xr10:uidLastSave="{00000000-0000-0000-0000-000000000000}"/>
  <bookViews>
    <workbookView xWindow="-120" yWindow="-120" windowWidth="24240" windowHeight="13260" tabRatio="580" activeTab="2" xr2:uid="{00000000-000D-0000-FFFF-FFFF00000000}"/>
  </bookViews>
  <sheets>
    <sheet name="Menu" sheetId="14" r:id="rId1"/>
    <sheet name="Runner" sheetId="3" r:id="rId2"/>
    <sheet name="Times" sheetId="25" r:id="rId3"/>
    <sheet name="Sheet1" sheetId="41" r:id="rId4"/>
    <sheet name="Prizewinners" sheetId="4" r:id="rId5"/>
    <sheet name="Elvis Format" sheetId="26" r:id="rId6"/>
    <sheet name="Race 1" sheetId="30" state="hidden" r:id="rId7"/>
    <sheet name="CSV" sheetId="31" state="hidden" r:id="rId8"/>
    <sheet name="Filter" sheetId="29" state="hidden" r:id="rId9"/>
    <sheet name="Elvis Team" sheetId="32" state="hidden" r:id="rId10"/>
    <sheet name="Race 2" sheetId="33" state="hidden" r:id="rId11"/>
    <sheet name="Race 3" sheetId="34" state="hidden" r:id="rId12"/>
    <sheet name="Race 4" sheetId="35" state="hidden" r:id="rId13"/>
    <sheet name="Race 5" sheetId="36" state="hidden" r:id="rId14"/>
    <sheet name="Race 6" sheetId="37" state="hidden" r:id="rId15"/>
    <sheet name="Race 7" sheetId="38" state="hidden" r:id="rId16"/>
    <sheet name="Race 8" sheetId="40" state="hidden" r:id="rId17"/>
    <sheet name="Elvis" sheetId="39" r:id="rId18"/>
    <sheet name="Individual" sheetId="28" r:id="rId19"/>
  </sheets>
  <definedNames>
    <definedName name="_xlnm._FilterDatabase" localSheetId="5" hidden="1">'Elvis Format'!$A$2:$G$268</definedName>
    <definedName name="_xlnm._FilterDatabase" localSheetId="18" hidden="1">Individual!$A$1:$AE$1871</definedName>
    <definedName name="_xlnm._FilterDatabase" localSheetId="1" hidden="1">Runner!$A$1:$S$501</definedName>
    <definedName name="_xlnm._FilterDatabase" localSheetId="3" hidden="1">Sheet1!$A$1:$Q$504</definedName>
    <definedName name="_xlnm._FilterDatabase" localSheetId="2" hidden="1">Times!$A$1:$AQ$1</definedName>
    <definedName name="Code">Runner!$K$2:$P$501</definedName>
    <definedName name="_xlnm.Criteria" localSheetId="1">Runner!$I:$I</definedName>
    <definedName name="Elvis">'Elvis Team'!$AS$3:$BP$23</definedName>
    <definedName name="Elvis_Team">'Elvis Team'!$AB$2:$AE$501</definedName>
    <definedName name="ExternalData_1" localSheetId="7">CSV!$SA$1:$SZ$17</definedName>
    <definedName name="ExternalData_10" localSheetId="7">CSV!$JA$1:$JZ$17</definedName>
    <definedName name="ExternalData_11" localSheetId="7">CSV!$IA$1:$IZ$17</definedName>
    <definedName name="ExternalData_12" localSheetId="7">CSV!$HA$1:$HZ$17</definedName>
    <definedName name="ExternalData_13" localSheetId="7">CSV!$GA$1:$GZ$17</definedName>
    <definedName name="ExternalData_14" localSheetId="7">CSV!$FA$1:$FZ$17</definedName>
    <definedName name="ExternalData_15" localSheetId="7">CSV!$EA$1:$EZ$17</definedName>
    <definedName name="ExternalData_16" localSheetId="7">CSV!$DA$1:$DZ$17</definedName>
    <definedName name="ExternalData_17" localSheetId="7">CSV!$CA$1:$CZ$17</definedName>
    <definedName name="ExternalData_18" localSheetId="7">CSV!$BA$1:$BZ$17</definedName>
    <definedName name="ExternalData_19" localSheetId="7">CSV!$AA$1:$AZ$17</definedName>
    <definedName name="ExternalData_2" localSheetId="7">CSV!$RA$1:$RZ$17</definedName>
    <definedName name="ExternalData_20" localSheetId="7">CSV!$A$1:$Z$17</definedName>
    <definedName name="ExternalData_21" localSheetId="7">CSV!$A$1:$Z$17</definedName>
    <definedName name="ExternalData_22" localSheetId="7">CSV!$A$1:$Z$17</definedName>
    <definedName name="ExternalData_23" localSheetId="7">CSV!$A$1:$Z$17</definedName>
    <definedName name="ExternalData_24" localSheetId="7">CSV!$A$1:$Z$17</definedName>
    <definedName name="ExternalData_25" localSheetId="7">CSV!$A$1:$Z$17</definedName>
    <definedName name="ExternalData_26" localSheetId="7">CSV!$A$1:$Z$44</definedName>
    <definedName name="ExternalData_27" localSheetId="7">CSV!$A$1:$Z$44</definedName>
    <definedName name="ExternalData_28" localSheetId="7">CSV!$A$1:$Z$44</definedName>
    <definedName name="ExternalData_29" localSheetId="7">CSV!$A$1:$Z$44</definedName>
    <definedName name="ExternalData_3" localSheetId="7">CSV!$QA$1:$QZ$17</definedName>
    <definedName name="ExternalData_30" localSheetId="7">CSV!$A$1:$Z$44</definedName>
    <definedName name="ExternalData_31" localSheetId="7">CSV!$A$1:$Z$44</definedName>
    <definedName name="ExternalData_32" localSheetId="7">CSV!$A$1:$Z$44</definedName>
    <definedName name="ExternalData_33" localSheetId="7">CSV!$A$1:$Z$44</definedName>
    <definedName name="ExternalData_34" localSheetId="7">CSV!$A$1:$Z$44</definedName>
    <definedName name="ExternalData_35" localSheetId="7">CSV!$A$1:$Z$44</definedName>
    <definedName name="ExternalData_36" localSheetId="7">CSV!$A$1:$Z$44</definedName>
    <definedName name="ExternalData_37" localSheetId="7">CSV!$A$1:$Z$44</definedName>
    <definedName name="ExternalData_38" localSheetId="7">CSV!$A$1:$Z$48</definedName>
    <definedName name="ExternalData_39" localSheetId="7">CSV!$A$1:$Z$54</definedName>
    <definedName name="ExternalData_4" localSheetId="7">CSV!$PA$1:$PZ$17</definedName>
    <definedName name="ExternalData_40" localSheetId="7">CSV!$A$1:$Z$54</definedName>
    <definedName name="ExternalData_41" localSheetId="7">CSV!$A$1:$Z$74</definedName>
    <definedName name="ExternalData_42" localSheetId="7">CSV!$A$1:$Z$74</definedName>
    <definedName name="ExternalData_43" localSheetId="7">CSV!$A$1:$Z$95</definedName>
    <definedName name="ExternalData_44" localSheetId="7">CSV!$A$1:$Z$10</definedName>
    <definedName name="ExternalData_45" localSheetId="7">CSV!$A$1:$AA$177</definedName>
    <definedName name="ExternalData_46" localSheetId="7">CSV!$A$1:$AA$206</definedName>
    <definedName name="ExternalData_47" localSheetId="7">CSV!$A$1:$AA$206</definedName>
    <definedName name="ExternalData_48" localSheetId="7">CSV!$A$1:$AA$206</definedName>
    <definedName name="ExternalData_49" localSheetId="7">CSV!$A$1:$AA$3</definedName>
    <definedName name="ExternalData_5" localSheetId="7">CSV!$OA$1:$OZ$17</definedName>
    <definedName name="ExternalData_50" localSheetId="7">CSV!$A$1:$AA$12</definedName>
    <definedName name="ExternalData_51" localSheetId="7">CSV!$A$1:$AA$246</definedName>
    <definedName name="ExternalData_52" localSheetId="7">CSV!$A$1:$AA$246</definedName>
    <definedName name="ExternalData_53" localSheetId="7">CSV!$A$1:$AA$281</definedName>
    <definedName name="ExternalData_54" localSheetId="7">CSV!$A$1:$AD$301</definedName>
    <definedName name="ExternalData_55" localSheetId="7">CSV!$A$1:$AD$301</definedName>
    <definedName name="ExternalData_56" localSheetId="7">CSV!$A$1:$AD$301</definedName>
    <definedName name="ExternalData_57" localSheetId="7">CSV!$A$1:$AD$301</definedName>
    <definedName name="ExternalData_58" localSheetId="7">CSV!$A$1:$AD$95</definedName>
    <definedName name="ExternalData_59" localSheetId="7">CSV!$A$1:$AD$65</definedName>
    <definedName name="ExternalData_6" localSheetId="7">CSV!$NA$1:$NZ$17</definedName>
    <definedName name="ExternalData_60" localSheetId="7">CSV!$A$1:$AD$46</definedName>
    <definedName name="ExternalData_61" localSheetId="7">CSV!$A$1:$AD$25</definedName>
    <definedName name="ExternalData_62" localSheetId="7">CSV!$A$1:$AD$22</definedName>
    <definedName name="ExternalData_63" localSheetId="7">CSV!$A$1:$AD$6</definedName>
    <definedName name="ExternalData_64" localSheetId="7">CSV!$A$1:$AD$5</definedName>
    <definedName name="ExternalData_65" localSheetId="7">CSV!$A$1:$AD$5</definedName>
    <definedName name="ExternalData_66" localSheetId="7">CSV!$A$1:$AD$16</definedName>
    <definedName name="ExternalData_7" localSheetId="7">CSV!$MA$1:$MZ$17</definedName>
    <definedName name="ExternalData_8" localSheetId="7">CSV!$LA$1:$LZ$17</definedName>
    <definedName name="ExternalData_9" localSheetId="7">CSV!$KA$1:$KZ$17</definedName>
    <definedName name="_xlnm.Extract" localSheetId="1">Runner!$I$1</definedName>
    <definedName name="Group">Times!$A$2:$Z$504</definedName>
    <definedName name="Runner">Runner!$A$1:$H$501</definedName>
    <definedName name="Scoring_Team">Times!$AM$2:$AQ$504</definedName>
    <definedName name="Sex">Times!$B$2:$Y$504</definedName>
    <definedName name="Team">Runner!$I$1:$I$501</definedName>
    <definedName name="Team_Index">Times!$AC$2:$AQ$504</definedName>
    <definedName name="Team_Overall">Elvis!$AU$1:$BZ$23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23" i="39" l="1"/>
  <c r="BW23" i="39" s="1"/>
  <c r="BN23" i="39"/>
  <c r="BV23" i="39" s="1"/>
  <c r="BM23" i="39"/>
  <c r="BU23" i="39" s="1"/>
  <c r="BL23" i="39"/>
  <c r="BT23" i="39" s="1"/>
  <c r="BK23" i="39"/>
  <c r="BJ23" i="39"/>
  <c r="BI23" i="39"/>
  <c r="BH23" i="39"/>
  <c r="BG23" i="39"/>
  <c r="BF23" i="39"/>
  <c r="BE23" i="39"/>
  <c r="BD23" i="39"/>
  <c r="BC23" i="39"/>
  <c r="BB23" i="39"/>
  <c r="BA23" i="39"/>
  <c r="AZ23" i="39"/>
  <c r="AW23" i="39"/>
  <c r="BO22" i="39"/>
  <c r="BW22" i="39" s="1"/>
  <c r="BN22" i="39"/>
  <c r="BV22" i="39" s="1"/>
  <c r="BM22" i="39"/>
  <c r="BU22" i="39" s="1"/>
  <c r="BL22" i="39"/>
  <c r="BT22" i="39" s="1"/>
  <c r="BK22" i="39"/>
  <c r="BJ22" i="39"/>
  <c r="BI22" i="39"/>
  <c r="BH22" i="39"/>
  <c r="BG22" i="39"/>
  <c r="BF22" i="39"/>
  <c r="BE22" i="39"/>
  <c r="BD22" i="39"/>
  <c r="BC22" i="39"/>
  <c r="BB22" i="39"/>
  <c r="BA22" i="39"/>
  <c r="AZ22" i="39"/>
  <c r="AW22" i="39" s="1"/>
  <c r="BO21" i="39"/>
  <c r="BW21" i="39" s="1"/>
  <c r="BN21" i="39"/>
  <c r="BV21" i="39" s="1"/>
  <c r="BM21" i="39"/>
  <c r="BU21" i="39" s="1"/>
  <c r="BL21" i="39"/>
  <c r="BT21" i="39" s="1"/>
  <c r="BK21" i="39"/>
  <c r="BJ21" i="39"/>
  <c r="BI21" i="39"/>
  <c r="BH21" i="39"/>
  <c r="BG21" i="39"/>
  <c r="BF21" i="39"/>
  <c r="BE21" i="39"/>
  <c r="BD21" i="39"/>
  <c r="BC21" i="39"/>
  <c r="BB21" i="39"/>
  <c r="BA21" i="39"/>
  <c r="AZ21" i="39"/>
  <c r="AW21" i="39"/>
  <c r="BO20" i="39"/>
  <c r="BW20" i="39" s="1"/>
  <c r="BN20" i="39"/>
  <c r="BV20" i="39" s="1"/>
  <c r="BM20" i="39"/>
  <c r="BU20" i="39" s="1"/>
  <c r="BL20" i="39"/>
  <c r="BT20" i="39" s="1"/>
  <c r="BK20" i="39"/>
  <c r="BJ20" i="39"/>
  <c r="BI20" i="39"/>
  <c r="BH20" i="39"/>
  <c r="BG20" i="39"/>
  <c r="BF20" i="39"/>
  <c r="BE20" i="39"/>
  <c r="BD20" i="39"/>
  <c r="BC20" i="39"/>
  <c r="BB20" i="39"/>
  <c r="BA20" i="39"/>
  <c r="AZ20" i="39"/>
  <c r="AW20" i="39" s="1"/>
  <c r="BO19" i="39"/>
  <c r="BW19" i="39" s="1"/>
  <c r="BN19" i="39"/>
  <c r="BV19" i="39" s="1"/>
  <c r="BM19" i="39"/>
  <c r="BU19" i="39" s="1"/>
  <c r="BL19" i="39"/>
  <c r="BT19" i="39" s="1"/>
  <c r="BK19" i="39"/>
  <c r="BJ19" i="39"/>
  <c r="BI19" i="39"/>
  <c r="BH19" i="39"/>
  <c r="BG19" i="39"/>
  <c r="BF19" i="39"/>
  <c r="BE19" i="39"/>
  <c r="BD19" i="39"/>
  <c r="BC19" i="39"/>
  <c r="BB19" i="39"/>
  <c r="BA19" i="39"/>
  <c r="AW19" i="39" s="1"/>
  <c r="AZ19" i="39"/>
  <c r="BO18" i="39"/>
  <c r="BW18" i="39" s="1"/>
  <c r="BN18" i="39"/>
  <c r="BV18" i="39" s="1"/>
  <c r="BM18" i="39"/>
  <c r="BU18" i="39" s="1"/>
  <c r="BL18" i="39"/>
  <c r="BT18" i="39" s="1"/>
  <c r="BK18" i="39"/>
  <c r="BJ18" i="39"/>
  <c r="BI18" i="39"/>
  <c r="BH18" i="39"/>
  <c r="BG18" i="39"/>
  <c r="BF18" i="39"/>
  <c r="BE18" i="39"/>
  <c r="BD18" i="39"/>
  <c r="BC18" i="39"/>
  <c r="BB18" i="39"/>
  <c r="BA18" i="39"/>
  <c r="AZ18" i="39"/>
  <c r="BO17" i="39"/>
  <c r="BW17" i="39" s="1"/>
  <c r="BN17" i="39"/>
  <c r="BV17" i="39" s="1"/>
  <c r="BM17" i="39"/>
  <c r="BU17" i="39" s="1"/>
  <c r="BL17" i="39"/>
  <c r="BT17" i="39" s="1"/>
  <c r="BK17" i="39"/>
  <c r="BJ17" i="39"/>
  <c r="BI17" i="39"/>
  <c r="BH17" i="39"/>
  <c r="BG17" i="39"/>
  <c r="BF17" i="39"/>
  <c r="BE17" i="39"/>
  <c r="BD17" i="39"/>
  <c r="BC17" i="39"/>
  <c r="BB17" i="39"/>
  <c r="BA17" i="39"/>
  <c r="AZ17" i="39"/>
  <c r="AW17" i="39" s="1"/>
  <c r="BO16" i="39"/>
  <c r="BW16" i="39" s="1"/>
  <c r="BN16" i="39"/>
  <c r="BV16" i="39" s="1"/>
  <c r="BM16" i="39"/>
  <c r="BU16" i="39" s="1"/>
  <c r="BL16" i="39"/>
  <c r="BT16" i="39" s="1"/>
  <c r="BK16" i="39"/>
  <c r="BJ16" i="39"/>
  <c r="BI16" i="39"/>
  <c r="BQ16" i="39" s="1"/>
  <c r="BH16" i="39"/>
  <c r="BG16" i="39"/>
  <c r="BF16" i="39"/>
  <c r="BE16" i="39"/>
  <c r="BD16" i="39"/>
  <c r="BC16" i="39"/>
  <c r="BB16" i="39"/>
  <c r="BA16" i="39"/>
  <c r="AW16" i="39" s="1"/>
  <c r="AZ16" i="39"/>
  <c r="BQ15" i="39"/>
  <c r="BO15" i="39"/>
  <c r="BW15" i="39" s="1"/>
  <c r="BN15" i="39"/>
  <c r="BV15" i="39" s="1"/>
  <c r="BM15" i="39"/>
  <c r="BU15" i="39" s="1"/>
  <c r="BL15" i="39"/>
  <c r="BT15" i="39" s="1"/>
  <c r="BK15" i="39"/>
  <c r="BJ15" i="39"/>
  <c r="BI15" i="39"/>
  <c r="BH15" i="39"/>
  <c r="BG15" i="39"/>
  <c r="BF15" i="39"/>
  <c r="BE15" i="39"/>
  <c r="BD15" i="39"/>
  <c r="BC15" i="39"/>
  <c r="BB15" i="39"/>
  <c r="BA15" i="39"/>
  <c r="AZ15" i="39"/>
  <c r="AW15" i="39" s="1"/>
  <c r="BO11" i="39"/>
  <c r="BW11" i="39" s="1"/>
  <c r="BN11" i="39"/>
  <c r="BV11" i="39" s="1"/>
  <c r="BM11" i="39"/>
  <c r="BU11" i="39" s="1"/>
  <c r="BL11" i="39"/>
  <c r="BT11" i="39" s="1"/>
  <c r="BK11" i="39"/>
  <c r="BJ11" i="39"/>
  <c r="BI11" i="39"/>
  <c r="BH11" i="39"/>
  <c r="BG11" i="39"/>
  <c r="BF11" i="39"/>
  <c r="BE11" i="39"/>
  <c r="BD11" i="39"/>
  <c r="BC11" i="39"/>
  <c r="BB11" i="39"/>
  <c r="BA11" i="39"/>
  <c r="AZ11" i="39"/>
  <c r="BO10" i="39"/>
  <c r="BW10" i="39" s="1"/>
  <c r="BN10" i="39"/>
  <c r="BV10" i="39" s="1"/>
  <c r="BM10" i="39"/>
  <c r="BU10" i="39" s="1"/>
  <c r="BL10" i="39"/>
  <c r="BT10" i="39" s="1"/>
  <c r="BK10" i="39"/>
  <c r="BJ10" i="39"/>
  <c r="BR10" i="39" s="1"/>
  <c r="BI10" i="39"/>
  <c r="BH10" i="39"/>
  <c r="BG10" i="39"/>
  <c r="BF10" i="39"/>
  <c r="BE10" i="39"/>
  <c r="BD10" i="39"/>
  <c r="BC10" i="39"/>
  <c r="BB10" i="39"/>
  <c r="BA10" i="39"/>
  <c r="AZ10" i="39"/>
  <c r="BR9" i="39"/>
  <c r="BO9" i="39"/>
  <c r="BW9" i="39" s="1"/>
  <c r="BN9" i="39"/>
  <c r="BV9" i="39" s="1"/>
  <c r="BM9" i="39"/>
  <c r="BU9" i="39" s="1"/>
  <c r="BL9" i="39"/>
  <c r="BT9" i="39" s="1"/>
  <c r="BK9" i="39"/>
  <c r="BJ9" i="39"/>
  <c r="BI9" i="39"/>
  <c r="BH9" i="39"/>
  <c r="BG9" i="39"/>
  <c r="BF9" i="39"/>
  <c r="BE9" i="39"/>
  <c r="BD9" i="39"/>
  <c r="BC9" i="39"/>
  <c r="BB9" i="39"/>
  <c r="BA9" i="39"/>
  <c r="AZ9" i="39"/>
  <c r="BO8" i="39"/>
  <c r="BW8" i="39" s="1"/>
  <c r="BN8" i="39"/>
  <c r="BV8" i="39" s="1"/>
  <c r="BM8" i="39"/>
  <c r="BU8" i="39" s="1"/>
  <c r="BL8" i="39"/>
  <c r="BT8" i="39" s="1"/>
  <c r="BK8" i="39"/>
  <c r="BJ8" i="39"/>
  <c r="BI8" i="39"/>
  <c r="BH8" i="39"/>
  <c r="BG8" i="39"/>
  <c r="BF8" i="39"/>
  <c r="BE8" i="39"/>
  <c r="BD8" i="39"/>
  <c r="BC8" i="39"/>
  <c r="BB8" i="39"/>
  <c r="BA8" i="39"/>
  <c r="AZ8" i="39"/>
  <c r="BO7" i="39"/>
  <c r="BW7" i="39" s="1"/>
  <c r="BN7" i="39"/>
  <c r="BV7" i="39" s="1"/>
  <c r="BM7" i="39"/>
  <c r="BU7" i="39" s="1"/>
  <c r="BL7" i="39"/>
  <c r="BT7" i="39" s="1"/>
  <c r="BK7" i="39"/>
  <c r="BJ7" i="39"/>
  <c r="BI7" i="39"/>
  <c r="BH7" i="39"/>
  <c r="BG7" i="39"/>
  <c r="BF7" i="39"/>
  <c r="BE7" i="39"/>
  <c r="BD7" i="39"/>
  <c r="BC7" i="39"/>
  <c r="BB7" i="39"/>
  <c r="BA7" i="39"/>
  <c r="AZ7" i="39"/>
  <c r="BO6" i="39"/>
  <c r="BW6" i="39" s="1"/>
  <c r="BN6" i="39"/>
  <c r="BV6" i="39" s="1"/>
  <c r="BM6" i="39"/>
  <c r="BU6" i="39" s="1"/>
  <c r="BL6" i="39"/>
  <c r="BT6" i="39" s="1"/>
  <c r="BK6" i="39"/>
  <c r="BJ6" i="39"/>
  <c r="BI6" i="39"/>
  <c r="BH6" i="39"/>
  <c r="BG6" i="39"/>
  <c r="BF6" i="39"/>
  <c r="BE6" i="39"/>
  <c r="BD6" i="39"/>
  <c r="BC6" i="39"/>
  <c r="BB6" i="39"/>
  <c r="BA6" i="39"/>
  <c r="AZ6" i="39"/>
  <c r="AW6" i="39" s="1"/>
  <c r="BO5" i="39"/>
  <c r="BW5" i="39" s="1"/>
  <c r="BN5" i="39"/>
  <c r="BV5" i="39" s="1"/>
  <c r="BM5" i="39"/>
  <c r="BU5" i="39" s="1"/>
  <c r="BL5" i="39"/>
  <c r="BT5" i="39" s="1"/>
  <c r="BK5" i="39"/>
  <c r="BJ5" i="39"/>
  <c r="BI5" i="39"/>
  <c r="BH5" i="39"/>
  <c r="BG5" i="39"/>
  <c r="BF5" i="39"/>
  <c r="BE5" i="39"/>
  <c r="BD5" i="39"/>
  <c r="BC5" i="39"/>
  <c r="BB5" i="39"/>
  <c r="BA5" i="39"/>
  <c r="AZ5" i="39"/>
  <c r="BO4" i="39"/>
  <c r="BW4" i="39" s="1"/>
  <c r="BN4" i="39"/>
  <c r="BV4" i="39" s="1"/>
  <c r="BM4" i="39"/>
  <c r="BU4" i="39" s="1"/>
  <c r="BL4" i="39"/>
  <c r="BT4" i="39" s="1"/>
  <c r="BK4" i="39"/>
  <c r="BJ4" i="39"/>
  <c r="BI4" i="39"/>
  <c r="BH4" i="39"/>
  <c r="BG4" i="39"/>
  <c r="BF4" i="39"/>
  <c r="BE4" i="39"/>
  <c r="BD4" i="39"/>
  <c r="BC4" i="39"/>
  <c r="BB4" i="39"/>
  <c r="BA4" i="39"/>
  <c r="AZ4" i="39"/>
  <c r="AW4" i="39" s="1"/>
  <c r="BO3" i="39"/>
  <c r="BW3" i="39" s="1"/>
  <c r="BN3" i="39"/>
  <c r="BV3" i="39" s="1"/>
  <c r="BM3" i="39"/>
  <c r="BU3" i="39" s="1"/>
  <c r="BL3" i="39"/>
  <c r="BT3" i="39" s="1"/>
  <c r="BK3" i="39"/>
  <c r="BJ3" i="39"/>
  <c r="BI3" i="39"/>
  <c r="BH3" i="39"/>
  <c r="BG3" i="39"/>
  <c r="BF3" i="39"/>
  <c r="BE3" i="39"/>
  <c r="BD3" i="39"/>
  <c r="BC3" i="39"/>
  <c r="BB3" i="39"/>
  <c r="BA3" i="39"/>
  <c r="AZ3" i="39"/>
  <c r="AW3" i="39" s="1"/>
  <c r="AH501" i="32"/>
  <c r="AO501" i="32" s="1"/>
  <c r="AG501" i="32"/>
  <c r="AN501" i="32" s="1"/>
  <c r="L238" i="3"/>
  <c r="K238" i="3" s="1"/>
  <c r="L2" i="3"/>
  <c r="K2" i="3" s="1"/>
  <c r="L3" i="3"/>
  <c r="K3" i="3" s="1"/>
  <c r="L4" i="3"/>
  <c r="K4" i="3" s="1"/>
  <c r="L5" i="3"/>
  <c r="K5" i="3" s="1"/>
  <c r="C2" i="3"/>
  <c r="M2" i="3" s="1"/>
  <c r="N2" i="3"/>
  <c r="O2" i="3"/>
  <c r="P2" i="3"/>
  <c r="C3" i="3"/>
  <c r="M3" i="3" s="1"/>
  <c r="N3" i="3"/>
  <c r="O3" i="3"/>
  <c r="P3" i="3"/>
  <c r="C4" i="3"/>
  <c r="M4" i="3" s="1"/>
  <c r="N4" i="3"/>
  <c r="O4" i="3"/>
  <c r="P4" i="3"/>
  <c r="C5" i="3"/>
  <c r="M5" i="3" s="1"/>
  <c r="N5" i="3"/>
  <c r="O5" i="3"/>
  <c r="P5" i="3"/>
  <c r="L6" i="3"/>
  <c r="K6" i="3" s="1"/>
  <c r="C6" i="3"/>
  <c r="M6" i="3" s="1"/>
  <c r="N6" i="3"/>
  <c r="O6" i="3"/>
  <c r="P6" i="3"/>
  <c r="L7" i="3"/>
  <c r="K7" i="3" s="1"/>
  <c r="C7" i="3"/>
  <c r="M7" i="3" s="1"/>
  <c r="N7" i="3"/>
  <c r="O7" i="3"/>
  <c r="P7" i="3"/>
  <c r="L8" i="3"/>
  <c r="K8" i="3" s="1"/>
  <c r="C8" i="3"/>
  <c r="M8" i="3" s="1"/>
  <c r="N8" i="3"/>
  <c r="O8" i="3"/>
  <c r="P8" i="3"/>
  <c r="L9" i="3"/>
  <c r="K9" i="3"/>
  <c r="C12" i="3"/>
  <c r="M12" i="3" s="1"/>
  <c r="C9" i="3"/>
  <c r="M9" i="3" s="1"/>
  <c r="N9" i="3"/>
  <c r="O9" i="3"/>
  <c r="P9" i="3"/>
  <c r="L10" i="3"/>
  <c r="K10" i="3" s="1"/>
  <c r="C13" i="3"/>
  <c r="C10" i="3"/>
  <c r="M10" i="3" s="1"/>
  <c r="N10" i="3"/>
  <c r="O10" i="3"/>
  <c r="P10" i="3"/>
  <c r="L11" i="3"/>
  <c r="K11" i="3"/>
  <c r="C14" i="3"/>
  <c r="C11" i="3"/>
  <c r="M11" i="3" s="1"/>
  <c r="N11" i="3"/>
  <c r="O11" i="3"/>
  <c r="P11" i="3"/>
  <c r="L12" i="3"/>
  <c r="K12" i="3" s="1"/>
  <c r="C15" i="3"/>
  <c r="N12" i="3"/>
  <c r="O12" i="3"/>
  <c r="P12" i="3"/>
  <c r="L13" i="3"/>
  <c r="K13" i="3" s="1"/>
  <c r="C16" i="3"/>
  <c r="M16" i="3" s="1"/>
  <c r="M13" i="3"/>
  <c r="N13" i="3"/>
  <c r="O13" i="3"/>
  <c r="P13" i="3"/>
  <c r="L14" i="3"/>
  <c r="K14" i="3" s="1"/>
  <c r="C17" i="3"/>
  <c r="M14" i="3"/>
  <c r="N14" i="3"/>
  <c r="O14" i="3"/>
  <c r="P14" i="3"/>
  <c r="L15" i="3"/>
  <c r="K15" i="3" s="1"/>
  <c r="C18" i="3"/>
  <c r="M18" i="3" s="1"/>
  <c r="N15" i="3"/>
  <c r="O15" i="3"/>
  <c r="P15" i="3"/>
  <c r="L16" i="3"/>
  <c r="K16" i="3"/>
  <c r="C19" i="3"/>
  <c r="M19" i="3" s="1"/>
  <c r="N16" i="3"/>
  <c r="O16" i="3"/>
  <c r="P16" i="3"/>
  <c r="L17" i="3"/>
  <c r="K17" i="3" s="1"/>
  <c r="C20" i="3"/>
  <c r="M20" i="3" s="1"/>
  <c r="M17" i="3"/>
  <c r="N17" i="3"/>
  <c r="O17" i="3"/>
  <c r="P17" i="3"/>
  <c r="L18" i="3"/>
  <c r="K18" i="3" s="1"/>
  <c r="C21" i="3"/>
  <c r="N18" i="3"/>
  <c r="O18" i="3"/>
  <c r="P18" i="3"/>
  <c r="L19" i="3"/>
  <c r="K19" i="3" s="1"/>
  <c r="C22" i="3"/>
  <c r="M22" i="3" s="1"/>
  <c r="N19" i="3"/>
  <c r="O19" i="3"/>
  <c r="P19" i="3"/>
  <c r="L20" i="3"/>
  <c r="K20" i="3" s="1"/>
  <c r="C23" i="3"/>
  <c r="M23" i="3" s="1"/>
  <c r="N20" i="3"/>
  <c r="O20" i="3"/>
  <c r="P20" i="3"/>
  <c r="L21" i="3"/>
  <c r="K21" i="3" s="1"/>
  <c r="C24" i="3"/>
  <c r="M24" i="3" s="1"/>
  <c r="M21" i="3"/>
  <c r="N21" i="3"/>
  <c r="O21" i="3"/>
  <c r="P21" i="3"/>
  <c r="L22" i="3"/>
  <c r="K22" i="3" s="1"/>
  <c r="C25" i="3"/>
  <c r="M25" i="3" s="1"/>
  <c r="N22" i="3"/>
  <c r="O22" i="3"/>
  <c r="P22" i="3"/>
  <c r="L23" i="3"/>
  <c r="K23" i="3" s="1"/>
  <c r="C26" i="3"/>
  <c r="N23" i="3"/>
  <c r="O23" i="3"/>
  <c r="P23" i="3"/>
  <c r="L24" i="3"/>
  <c r="K24" i="3"/>
  <c r="C27" i="3"/>
  <c r="M27" i="3" s="1"/>
  <c r="N24" i="3"/>
  <c r="O24" i="3"/>
  <c r="P24" i="3"/>
  <c r="L25" i="3"/>
  <c r="K25" i="3" s="1"/>
  <c r="C28" i="3"/>
  <c r="M28" i="3" s="1"/>
  <c r="N25" i="3"/>
  <c r="O25" i="3"/>
  <c r="P25" i="3"/>
  <c r="L26" i="3"/>
  <c r="K26" i="3" s="1"/>
  <c r="C29" i="3"/>
  <c r="M26" i="3"/>
  <c r="N26" i="3"/>
  <c r="O26" i="3"/>
  <c r="P26" i="3"/>
  <c r="L27" i="3"/>
  <c r="K27" i="3" s="1"/>
  <c r="C30" i="3"/>
  <c r="N27" i="3"/>
  <c r="O27" i="3"/>
  <c r="P27" i="3"/>
  <c r="L28" i="3"/>
  <c r="K28" i="3" s="1"/>
  <c r="C31" i="3"/>
  <c r="M31" i="3" s="1"/>
  <c r="N28" i="3"/>
  <c r="O28" i="3"/>
  <c r="P28" i="3"/>
  <c r="L29" i="3"/>
  <c r="K29" i="3" s="1"/>
  <c r="C32" i="3"/>
  <c r="M32" i="3" s="1"/>
  <c r="N29" i="3"/>
  <c r="O29" i="3"/>
  <c r="P29" i="3"/>
  <c r="L30" i="3"/>
  <c r="K30" i="3" s="1"/>
  <c r="C33" i="3"/>
  <c r="M30" i="3"/>
  <c r="N30" i="3"/>
  <c r="O30" i="3"/>
  <c r="P30" i="3"/>
  <c r="L31" i="3"/>
  <c r="K31" i="3" s="1"/>
  <c r="C34" i="3"/>
  <c r="M34" i="3" s="1"/>
  <c r="N31" i="3"/>
  <c r="O31" i="3"/>
  <c r="P31" i="3"/>
  <c r="L32" i="3"/>
  <c r="K32" i="3"/>
  <c r="C35" i="3"/>
  <c r="M35" i="3" s="1"/>
  <c r="N32" i="3"/>
  <c r="O32" i="3"/>
  <c r="P32" i="3"/>
  <c r="L33" i="3"/>
  <c r="K33" i="3" s="1"/>
  <c r="C36" i="3"/>
  <c r="M36" i="3" s="1"/>
  <c r="M33" i="3"/>
  <c r="N33" i="3"/>
  <c r="O33" i="3"/>
  <c r="P33" i="3"/>
  <c r="L34" i="3"/>
  <c r="K34" i="3" s="1"/>
  <c r="C37" i="3"/>
  <c r="N34" i="3"/>
  <c r="O34" i="3"/>
  <c r="P34" i="3"/>
  <c r="L35" i="3"/>
  <c r="K35" i="3" s="1"/>
  <c r="C38" i="3"/>
  <c r="M38" i="3" s="1"/>
  <c r="N35" i="3"/>
  <c r="O35" i="3"/>
  <c r="P35" i="3"/>
  <c r="L36" i="3"/>
  <c r="K36" i="3" s="1"/>
  <c r="C39" i="3"/>
  <c r="M39" i="3" s="1"/>
  <c r="N36" i="3"/>
  <c r="O36" i="3"/>
  <c r="P36" i="3"/>
  <c r="L37" i="3"/>
  <c r="K37" i="3" s="1"/>
  <c r="C40" i="3"/>
  <c r="M40" i="3" s="1"/>
  <c r="M37" i="3"/>
  <c r="N37" i="3"/>
  <c r="O37" i="3"/>
  <c r="P37" i="3"/>
  <c r="L38" i="3"/>
  <c r="K38" i="3" s="1"/>
  <c r="C41" i="3"/>
  <c r="M41" i="3" s="1"/>
  <c r="N38" i="3"/>
  <c r="O38" i="3"/>
  <c r="P38" i="3"/>
  <c r="L39" i="3"/>
  <c r="K39" i="3" s="1"/>
  <c r="C42" i="3"/>
  <c r="N39" i="3"/>
  <c r="O39" i="3"/>
  <c r="P39" i="3"/>
  <c r="L40" i="3"/>
  <c r="K40" i="3"/>
  <c r="C43" i="3"/>
  <c r="M43" i="3" s="1"/>
  <c r="N40" i="3"/>
  <c r="O40" i="3"/>
  <c r="P40" i="3"/>
  <c r="L41" i="3"/>
  <c r="K41" i="3" s="1"/>
  <c r="C44" i="3"/>
  <c r="M44" i="3" s="1"/>
  <c r="N41" i="3"/>
  <c r="O41" i="3"/>
  <c r="P41" i="3"/>
  <c r="L42" i="3"/>
  <c r="K42" i="3" s="1"/>
  <c r="C45" i="3"/>
  <c r="M45" i="3" s="1"/>
  <c r="M42" i="3"/>
  <c r="N42" i="3"/>
  <c r="O42" i="3"/>
  <c r="P42" i="3"/>
  <c r="L43" i="3"/>
  <c r="K43" i="3" s="1"/>
  <c r="C46" i="3"/>
  <c r="N43" i="3"/>
  <c r="O43" i="3"/>
  <c r="P43" i="3"/>
  <c r="L44" i="3"/>
  <c r="K44" i="3" s="1"/>
  <c r="C47" i="3"/>
  <c r="M47" i="3" s="1"/>
  <c r="N44" i="3"/>
  <c r="O44" i="3"/>
  <c r="P44" i="3"/>
  <c r="L45" i="3"/>
  <c r="K45" i="3" s="1"/>
  <c r="C48" i="3"/>
  <c r="M48" i="3" s="1"/>
  <c r="N45" i="3"/>
  <c r="O45" i="3"/>
  <c r="P45" i="3"/>
  <c r="L46" i="3"/>
  <c r="K46" i="3" s="1"/>
  <c r="C49" i="3"/>
  <c r="M46" i="3"/>
  <c r="N46" i="3"/>
  <c r="O46" i="3"/>
  <c r="P46" i="3"/>
  <c r="L47" i="3"/>
  <c r="K47" i="3" s="1"/>
  <c r="C50" i="3"/>
  <c r="M50" i="3" s="1"/>
  <c r="N47" i="3"/>
  <c r="O47" i="3"/>
  <c r="P47" i="3"/>
  <c r="L48" i="3"/>
  <c r="K48" i="3"/>
  <c r="C51" i="3"/>
  <c r="M51" i="3" s="1"/>
  <c r="N48" i="3"/>
  <c r="O48" i="3"/>
  <c r="P48" i="3"/>
  <c r="L49" i="3"/>
  <c r="K49" i="3" s="1"/>
  <c r="C52" i="3"/>
  <c r="M52" i="3" s="1"/>
  <c r="M49" i="3"/>
  <c r="N49" i="3"/>
  <c r="O49" i="3"/>
  <c r="P49" i="3"/>
  <c r="L50" i="3"/>
  <c r="K50" i="3" s="1"/>
  <c r="C53" i="3"/>
  <c r="N50" i="3"/>
  <c r="O50" i="3"/>
  <c r="P50" i="3"/>
  <c r="L51" i="3"/>
  <c r="K51" i="3" s="1"/>
  <c r="C54" i="3"/>
  <c r="M54" i="3" s="1"/>
  <c r="N51" i="3"/>
  <c r="O51" i="3"/>
  <c r="P51" i="3"/>
  <c r="L52" i="3"/>
  <c r="K52" i="3" s="1"/>
  <c r="C55" i="3"/>
  <c r="M55" i="3" s="1"/>
  <c r="N52" i="3"/>
  <c r="O52" i="3"/>
  <c r="P52" i="3"/>
  <c r="L53" i="3"/>
  <c r="K53" i="3" s="1"/>
  <c r="C56" i="3"/>
  <c r="M56" i="3" s="1"/>
  <c r="M53" i="3"/>
  <c r="N53" i="3"/>
  <c r="O53" i="3"/>
  <c r="P53" i="3"/>
  <c r="L54" i="3"/>
  <c r="K54" i="3" s="1"/>
  <c r="C57" i="3"/>
  <c r="M57" i="3" s="1"/>
  <c r="N54" i="3"/>
  <c r="O54" i="3"/>
  <c r="P54" i="3"/>
  <c r="L55" i="3"/>
  <c r="K55" i="3" s="1"/>
  <c r="C58" i="3"/>
  <c r="N55" i="3"/>
  <c r="O55" i="3"/>
  <c r="P55" i="3"/>
  <c r="L56" i="3"/>
  <c r="K56" i="3"/>
  <c r="C59" i="3"/>
  <c r="N56" i="3"/>
  <c r="O56" i="3"/>
  <c r="P56" i="3"/>
  <c r="L57" i="3"/>
  <c r="K57" i="3" s="1"/>
  <c r="C60" i="3"/>
  <c r="M60" i="3" s="1"/>
  <c r="N57" i="3"/>
  <c r="O57" i="3"/>
  <c r="P57" i="3"/>
  <c r="L58" i="3"/>
  <c r="K58" i="3" s="1"/>
  <c r="C61" i="3"/>
  <c r="M61" i="3" s="1"/>
  <c r="M58" i="3"/>
  <c r="N58" i="3"/>
  <c r="O58" i="3"/>
  <c r="P58" i="3"/>
  <c r="L59" i="3"/>
  <c r="K59" i="3" s="1"/>
  <c r="C153" i="3"/>
  <c r="C62" i="3"/>
  <c r="M59" i="3"/>
  <c r="N59" i="3"/>
  <c r="O59" i="3"/>
  <c r="P59" i="3"/>
  <c r="L60" i="3"/>
  <c r="K60" i="3" s="1"/>
  <c r="C154" i="3"/>
  <c r="C63" i="3"/>
  <c r="N60" i="3"/>
  <c r="O60" i="3"/>
  <c r="P60" i="3"/>
  <c r="L61" i="3"/>
  <c r="K61" i="3" s="1"/>
  <c r="C155" i="3"/>
  <c r="C64" i="3"/>
  <c r="M64" i="3" s="1"/>
  <c r="N61" i="3"/>
  <c r="O61" i="3"/>
  <c r="P61" i="3"/>
  <c r="L62" i="3"/>
  <c r="K62" i="3" s="1"/>
  <c r="C156" i="3"/>
  <c r="C65" i="3"/>
  <c r="M65" i="3" s="1"/>
  <c r="M62" i="3"/>
  <c r="N62" i="3"/>
  <c r="O62" i="3"/>
  <c r="P62" i="3"/>
  <c r="L63" i="3"/>
  <c r="K63" i="3" s="1"/>
  <c r="C157" i="3"/>
  <c r="C66" i="3"/>
  <c r="M63" i="3"/>
  <c r="N63" i="3"/>
  <c r="O63" i="3"/>
  <c r="P63" i="3"/>
  <c r="L64" i="3"/>
  <c r="K64" i="3" s="1"/>
  <c r="C158" i="3"/>
  <c r="C67" i="3"/>
  <c r="N64" i="3"/>
  <c r="O64" i="3"/>
  <c r="P64" i="3"/>
  <c r="L65" i="3"/>
  <c r="K65" i="3" s="1"/>
  <c r="C159" i="3"/>
  <c r="M159" i="3" s="1"/>
  <c r="C68" i="3"/>
  <c r="M68" i="3" s="1"/>
  <c r="N65" i="3"/>
  <c r="O65" i="3"/>
  <c r="P65" i="3"/>
  <c r="L66" i="3"/>
  <c r="K66" i="3" s="1"/>
  <c r="C160" i="3"/>
  <c r="C69" i="3"/>
  <c r="M66" i="3"/>
  <c r="N66" i="3"/>
  <c r="O66" i="3"/>
  <c r="P66" i="3"/>
  <c r="L67" i="3"/>
  <c r="K67" i="3" s="1"/>
  <c r="C161" i="3"/>
  <c r="C70" i="3"/>
  <c r="M67" i="3"/>
  <c r="N67" i="3"/>
  <c r="O67" i="3"/>
  <c r="P67" i="3"/>
  <c r="L68" i="3"/>
  <c r="K68" i="3" s="1"/>
  <c r="C162" i="3"/>
  <c r="C71" i="3"/>
  <c r="M71" i="3" s="1"/>
  <c r="N68" i="3"/>
  <c r="O68" i="3"/>
  <c r="P68" i="3"/>
  <c r="L69" i="3"/>
  <c r="K69" i="3" s="1"/>
  <c r="C163" i="3"/>
  <c r="I27" i="25" s="1"/>
  <c r="C72" i="3"/>
  <c r="N69" i="3"/>
  <c r="O69" i="3"/>
  <c r="P69" i="3"/>
  <c r="L70" i="3"/>
  <c r="K70" i="3" s="1"/>
  <c r="C164" i="3"/>
  <c r="M70" i="3"/>
  <c r="N70" i="3"/>
  <c r="O70" i="3"/>
  <c r="P70" i="3"/>
  <c r="L71" i="3"/>
  <c r="K71" i="3" s="1"/>
  <c r="C165" i="3"/>
  <c r="N71" i="3"/>
  <c r="O71" i="3"/>
  <c r="P71" i="3"/>
  <c r="L72" i="3"/>
  <c r="K72" i="3" s="1"/>
  <c r="C166" i="3"/>
  <c r="I49" i="25" s="1"/>
  <c r="AE49" i="32" s="1"/>
  <c r="M72" i="3"/>
  <c r="N72" i="3"/>
  <c r="O72" i="3"/>
  <c r="P72" i="3"/>
  <c r="L73" i="3"/>
  <c r="K73" i="3" s="1"/>
  <c r="C167" i="3"/>
  <c r="C73" i="3"/>
  <c r="M73" i="3" s="1"/>
  <c r="N73" i="3"/>
  <c r="O73" i="3"/>
  <c r="P73" i="3"/>
  <c r="L74" i="3"/>
  <c r="K74" i="3" s="1"/>
  <c r="C168" i="3"/>
  <c r="C74" i="3"/>
  <c r="M74" i="3"/>
  <c r="N74" i="3"/>
  <c r="O74" i="3"/>
  <c r="P74" i="3"/>
  <c r="L75" i="3"/>
  <c r="K75" i="3" s="1"/>
  <c r="C169" i="3"/>
  <c r="C75" i="3"/>
  <c r="M75" i="3" s="1"/>
  <c r="N75" i="3"/>
  <c r="O75" i="3"/>
  <c r="P75" i="3"/>
  <c r="L76" i="3"/>
  <c r="K76" i="3" s="1"/>
  <c r="C170" i="3"/>
  <c r="C76" i="3"/>
  <c r="M76" i="3" s="1"/>
  <c r="N76" i="3"/>
  <c r="O76" i="3"/>
  <c r="P76" i="3"/>
  <c r="L77" i="3"/>
  <c r="K77" i="3" s="1"/>
  <c r="C171" i="3"/>
  <c r="C77" i="3"/>
  <c r="M77" i="3" s="1"/>
  <c r="N77" i="3"/>
  <c r="O77" i="3"/>
  <c r="P77" i="3"/>
  <c r="L78" i="3"/>
  <c r="K78" i="3" s="1"/>
  <c r="C172" i="3"/>
  <c r="C79" i="3"/>
  <c r="M79" i="3" s="1"/>
  <c r="C78" i="3"/>
  <c r="M78" i="3" s="1"/>
  <c r="N78" i="3"/>
  <c r="O78" i="3"/>
  <c r="P78" i="3"/>
  <c r="L79" i="3"/>
  <c r="K79" i="3" s="1"/>
  <c r="C173" i="3"/>
  <c r="C80" i="3"/>
  <c r="M80" i="3" s="1"/>
  <c r="N79" i="3"/>
  <c r="O79" i="3"/>
  <c r="P79" i="3"/>
  <c r="L80" i="3"/>
  <c r="K80" i="3" s="1"/>
  <c r="C174" i="3"/>
  <c r="C81" i="3"/>
  <c r="N80" i="3"/>
  <c r="O80" i="3"/>
  <c r="P80" i="3"/>
  <c r="L81" i="3"/>
  <c r="K81" i="3" s="1"/>
  <c r="C175" i="3"/>
  <c r="C82" i="3"/>
  <c r="M82" i="3" s="1"/>
  <c r="N81" i="3"/>
  <c r="O81" i="3"/>
  <c r="P81" i="3"/>
  <c r="L82" i="3"/>
  <c r="K82" i="3" s="1"/>
  <c r="C176" i="3"/>
  <c r="C83" i="3"/>
  <c r="M83" i="3" s="1"/>
  <c r="N82" i="3"/>
  <c r="O82" i="3"/>
  <c r="P82" i="3"/>
  <c r="L83" i="3"/>
  <c r="K83" i="3" s="1"/>
  <c r="C177" i="3"/>
  <c r="C84" i="3"/>
  <c r="M84" i="3" s="1"/>
  <c r="N83" i="3"/>
  <c r="O83" i="3"/>
  <c r="P83" i="3"/>
  <c r="L84" i="3"/>
  <c r="K84" i="3" s="1"/>
  <c r="C178" i="3"/>
  <c r="C85" i="3"/>
  <c r="M85" i="3" s="1"/>
  <c r="N84" i="3"/>
  <c r="O84" i="3"/>
  <c r="P84" i="3"/>
  <c r="L85" i="3"/>
  <c r="K85" i="3" s="1"/>
  <c r="C179" i="3"/>
  <c r="C86" i="3"/>
  <c r="M86" i="3" s="1"/>
  <c r="N85" i="3"/>
  <c r="O85" i="3"/>
  <c r="P85" i="3"/>
  <c r="L86" i="3"/>
  <c r="K86" i="3" s="1"/>
  <c r="C180" i="3"/>
  <c r="C87" i="3"/>
  <c r="M87" i="3" s="1"/>
  <c r="N86" i="3"/>
  <c r="O86" i="3"/>
  <c r="P86" i="3"/>
  <c r="L87" i="3"/>
  <c r="K87" i="3" s="1"/>
  <c r="C181" i="3"/>
  <c r="C88" i="3"/>
  <c r="M88" i="3" s="1"/>
  <c r="N87" i="3"/>
  <c r="O87" i="3"/>
  <c r="P87" i="3"/>
  <c r="L88" i="3"/>
  <c r="K88" i="3" s="1"/>
  <c r="C182" i="3"/>
  <c r="C89" i="3"/>
  <c r="M89" i="3" s="1"/>
  <c r="N88" i="3"/>
  <c r="O88" i="3"/>
  <c r="P88" i="3"/>
  <c r="L89" i="3"/>
  <c r="K89" i="3" s="1"/>
  <c r="C183" i="3"/>
  <c r="C90" i="3"/>
  <c r="M90" i="3" s="1"/>
  <c r="N89" i="3"/>
  <c r="O89" i="3"/>
  <c r="P89" i="3"/>
  <c r="L90" i="3"/>
  <c r="K90" i="3" s="1"/>
  <c r="C184" i="3"/>
  <c r="C91" i="3"/>
  <c r="M91" i="3" s="1"/>
  <c r="N90" i="3"/>
  <c r="O90" i="3"/>
  <c r="P90" i="3"/>
  <c r="L91" i="3"/>
  <c r="K91" i="3" s="1"/>
  <c r="C185" i="3"/>
  <c r="C92" i="3"/>
  <c r="M92" i="3" s="1"/>
  <c r="N91" i="3"/>
  <c r="O91" i="3"/>
  <c r="P91" i="3"/>
  <c r="L92" i="3"/>
  <c r="K92" i="3" s="1"/>
  <c r="C186" i="3"/>
  <c r="M186" i="3" s="1"/>
  <c r="C93" i="3"/>
  <c r="M93" i="3" s="1"/>
  <c r="N92" i="3"/>
  <c r="O92" i="3"/>
  <c r="P92" i="3"/>
  <c r="L93" i="3"/>
  <c r="K93" i="3" s="1"/>
  <c r="C187" i="3"/>
  <c r="C94" i="3"/>
  <c r="I26" i="25" s="1"/>
  <c r="N93" i="3"/>
  <c r="O93" i="3"/>
  <c r="P93" i="3"/>
  <c r="L94" i="3"/>
  <c r="K94" i="3" s="1"/>
  <c r="C188" i="3"/>
  <c r="M188" i="3" s="1"/>
  <c r="C95" i="3"/>
  <c r="M94" i="3"/>
  <c r="N94" i="3"/>
  <c r="O94" i="3"/>
  <c r="P94" i="3"/>
  <c r="L95" i="3"/>
  <c r="K95" i="3" s="1"/>
  <c r="C189" i="3"/>
  <c r="C96" i="3"/>
  <c r="M96" i="3" s="1"/>
  <c r="M95" i="3"/>
  <c r="N95" i="3"/>
  <c r="O95" i="3"/>
  <c r="P95" i="3"/>
  <c r="L96" i="3"/>
  <c r="K96" i="3" s="1"/>
  <c r="C190" i="3"/>
  <c r="M190" i="3" s="1"/>
  <c r="C97" i="3"/>
  <c r="M97" i="3" s="1"/>
  <c r="N96" i="3"/>
  <c r="O96" i="3"/>
  <c r="P96" i="3"/>
  <c r="L97" i="3"/>
  <c r="K97" i="3"/>
  <c r="C191" i="3"/>
  <c r="C98" i="3"/>
  <c r="M98" i="3" s="1"/>
  <c r="N97" i="3"/>
  <c r="O97" i="3"/>
  <c r="P97" i="3"/>
  <c r="L98" i="3"/>
  <c r="K98" i="3" s="1"/>
  <c r="C192" i="3"/>
  <c r="C99" i="3"/>
  <c r="N98" i="3"/>
  <c r="O98" i="3"/>
  <c r="P98" i="3"/>
  <c r="L99" i="3"/>
  <c r="C193" i="3"/>
  <c r="M193" i="3" s="1"/>
  <c r="C100" i="3"/>
  <c r="M99" i="3"/>
  <c r="N99" i="3"/>
  <c r="O99" i="3"/>
  <c r="P99" i="3"/>
  <c r="L100" i="3"/>
  <c r="K100" i="3" s="1"/>
  <c r="C194" i="3"/>
  <c r="M194" i="3" s="1"/>
  <c r="C101" i="3"/>
  <c r="I138" i="25" s="1"/>
  <c r="AE138" i="32" s="1"/>
  <c r="M100" i="3"/>
  <c r="N100" i="3"/>
  <c r="O100" i="3"/>
  <c r="P100" i="3"/>
  <c r="L101" i="3"/>
  <c r="K101" i="3" s="1"/>
  <c r="C195" i="3"/>
  <c r="I19" i="25" s="1"/>
  <c r="AE19" i="32" s="1"/>
  <c r="C102" i="3"/>
  <c r="M101" i="3"/>
  <c r="N101" i="3"/>
  <c r="O101" i="3"/>
  <c r="P101" i="3"/>
  <c r="L102" i="3"/>
  <c r="K102" i="3" s="1"/>
  <c r="C196" i="3"/>
  <c r="M196" i="3" s="1"/>
  <c r="C103" i="3"/>
  <c r="M102" i="3"/>
  <c r="N102" i="3"/>
  <c r="O102" i="3"/>
  <c r="P102" i="3"/>
  <c r="L103" i="3"/>
  <c r="K103" i="3" s="1"/>
  <c r="C197" i="3"/>
  <c r="C104" i="3"/>
  <c r="M103" i="3"/>
  <c r="N103" i="3"/>
  <c r="O103" i="3"/>
  <c r="P103" i="3"/>
  <c r="L104" i="3"/>
  <c r="K104" i="3" s="1"/>
  <c r="C198" i="3"/>
  <c r="M198" i="3" s="1"/>
  <c r="C105" i="3"/>
  <c r="I135" i="25" s="1"/>
  <c r="AE135" i="32" s="1"/>
  <c r="M104" i="3"/>
  <c r="N104" i="3"/>
  <c r="O104" i="3"/>
  <c r="P104" i="3"/>
  <c r="L105" i="3"/>
  <c r="K105" i="3" s="1"/>
  <c r="C199" i="3"/>
  <c r="M199" i="3" s="1"/>
  <c r="C106" i="3"/>
  <c r="M105" i="3"/>
  <c r="N105" i="3"/>
  <c r="O105" i="3"/>
  <c r="P105" i="3"/>
  <c r="L106" i="3"/>
  <c r="C200" i="3"/>
  <c r="C107" i="3"/>
  <c r="M107" i="3" s="1"/>
  <c r="M106" i="3"/>
  <c r="N106" i="3"/>
  <c r="O106" i="3"/>
  <c r="P106" i="3"/>
  <c r="L107" i="3"/>
  <c r="K107" i="3"/>
  <c r="C201" i="3"/>
  <c r="C108" i="3"/>
  <c r="M108" i="3" s="1"/>
  <c r="N107" i="3"/>
  <c r="O107" i="3"/>
  <c r="P107" i="3"/>
  <c r="L108" i="3"/>
  <c r="K108" i="3" s="1"/>
  <c r="C202" i="3"/>
  <c r="M202" i="3" s="1"/>
  <c r="C109" i="3"/>
  <c r="I13" i="25" s="1"/>
  <c r="AE13" i="32" s="1"/>
  <c r="N108" i="3"/>
  <c r="O108" i="3"/>
  <c r="P108" i="3"/>
  <c r="L109" i="3"/>
  <c r="K109" i="3" s="1"/>
  <c r="C203" i="3"/>
  <c r="M109" i="3"/>
  <c r="N109" i="3"/>
  <c r="O109" i="3"/>
  <c r="P109" i="3"/>
  <c r="L110" i="3"/>
  <c r="K110" i="3" s="1"/>
  <c r="C204" i="3"/>
  <c r="M204" i="3" s="1"/>
  <c r="C110" i="3"/>
  <c r="M110" i="3" s="1"/>
  <c r="N110" i="3"/>
  <c r="O110" i="3"/>
  <c r="P110" i="3"/>
  <c r="L111" i="3"/>
  <c r="K111" i="3" s="1"/>
  <c r="C205" i="3"/>
  <c r="C111" i="3"/>
  <c r="M111" i="3" s="1"/>
  <c r="N111" i="3"/>
  <c r="O111" i="3"/>
  <c r="P111" i="3"/>
  <c r="L112" i="3"/>
  <c r="K112" i="3" s="1"/>
  <c r="C206" i="3"/>
  <c r="M206" i="3" s="1"/>
  <c r="C112" i="3"/>
  <c r="N112" i="3"/>
  <c r="O112" i="3"/>
  <c r="P112" i="3"/>
  <c r="L113" i="3"/>
  <c r="K113" i="3" s="1"/>
  <c r="C207" i="3"/>
  <c r="C113" i="3"/>
  <c r="M113" i="3"/>
  <c r="N113" i="3"/>
  <c r="O113" i="3"/>
  <c r="P113" i="3"/>
  <c r="L114" i="3"/>
  <c r="K114" i="3" s="1"/>
  <c r="C208" i="3"/>
  <c r="M208" i="3" s="1"/>
  <c r="C114" i="3"/>
  <c r="M114" i="3" s="1"/>
  <c r="N114" i="3"/>
  <c r="O114" i="3"/>
  <c r="P114" i="3"/>
  <c r="L115" i="3"/>
  <c r="K115" i="3" s="1"/>
  <c r="C209" i="3"/>
  <c r="M209" i="3" s="1"/>
  <c r="C115" i="3"/>
  <c r="N115" i="3"/>
  <c r="O115" i="3"/>
  <c r="P115" i="3"/>
  <c r="L116" i="3"/>
  <c r="K116" i="3" s="1"/>
  <c r="C210" i="3"/>
  <c r="M210" i="3" s="1"/>
  <c r="C116" i="3"/>
  <c r="M116" i="3"/>
  <c r="N116" i="3"/>
  <c r="O116" i="3"/>
  <c r="P116" i="3"/>
  <c r="L117" i="3"/>
  <c r="K117" i="3" s="1"/>
  <c r="C211" i="3"/>
  <c r="C117" i="3"/>
  <c r="M117" i="3"/>
  <c r="N117" i="3"/>
  <c r="O117" i="3"/>
  <c r="P117" i="3"/>
  <c r="L118" i="3"/>
  <c r="K118" i="3" s="1"/>
  <c r="C212" i="3"/>
  <c r="M212" i="3" s="1"/>
  <c r="C118" i="3"/>
  <c r="M118" i="3" s="1"/>
  <c r="N118" i="3"/>
  <c r="O118" i="3"/>
  <c r="P118" i="3"/>
  <c r="L119" i="3"/>
  <c r="K119" i="3" s="1"/>
  <c r="C213" i="3"/>
  <c r="C119" i="3"/>
  <c r="M119" i="3" s="1"/>
  <c r="N119" i="3"/>
  <c r="O119" i="3"/>
  <c r="P119" i="3"/>
  <c r="L120" i="3"/>
  <c r="K120" i="3" s="1"/>
  <c r="C214" i="3"/>
  <c r="M214" i="3" s="1"/>
  <c r="C120" i="3"/>
  <c r="N120" i="3"/>
  <c r="O120" i="3"/>
  <c r="P120" i="3"/>
  <c r="L121" i="3"/>
  <c r="K121" i="3" s="1"/>
  <c r="C215" i="3"/>
  <c r="C121" i="3"/>
  <c r="M121" i="3"/>
  <c r="N121" i="3"/>
  <c r="O121" i="3"/>
  <c r="P121" i="3"/>
  <c r="L122" i="3"/>
  <c r="K122" i="3" s="1"/>
  <c r="C216" i="3"/>
  <c r="M216" i="3" s="1"/>
  <c r="C122" i="3"/>
  <c r="M122" i="3" s="1"/>
  <c r="N122" i="3"/>
  <c r="O122" i="3"/>
  <c r="P122" i="3"/>
  <c r="L123" i="3"/>
  <c r="K123" i="3" s="1"/>
  <c r="C217" i="3"/>
  <c r="M217" i="3" s="1"/>
  <c r="C123" i="3"/>
  <c r="N123" i="3"/>
  <c r="O123" i="3"/>
  <c r="P123" i="3"/>
  <c r="L124" i="3"/>
  <c r="K124" i="3" s="1"/>
  <c r="C218" i="3"/>
  <c r="M218" i="3" s="1"/>
  <c r="C124" i="3"/>
  <c r="M124" i="3"/>
  <c r="N124" i="3"/>
  <c r="O124" i="3"/>
  <c r="P124" i="3"/>
  <c r="L125" i="3"/>
  <c r="K125" i="3" s="1"/>
  <c r="C219" i="3"/>
  <c r="C125" i="3"/>
  <c r="M125" i="3"/>
  <c r="N125" i="3"/>
  <c r="O125" i="3"/>
  <c r="P125" i="3"/>
  <c r="L126" i="3"/>
  <c r="C220" i="3"/>
  <c r="M220" i="3" s="1"/>
  <c r="C126" i="3"/>
  <c r="M126" i="3" s="1"/>
  <c r="N126" i="3"/>
  <c r="O126" i="3"/>
  <c r="P126" i="3"/>
  <c r="L127" i="3"/>
  <c r="K127" i="3" s="1"/>
  <c r="C221" i="3"/>
  <c r="C127" i="3"/>
  <c r="M127" i="3" s="1"/>
  <c r="N127" i="3"/>
  <c r="O127" i="3"/>
  <c r="P127" i="3"/>
  <c r="L128" i="3"/>
  <c r="K128" i="3" s="1"/>
  <c r="C222" i="3"/>
  <c r="C128" i="3"/>
  <c r="M128" i="3" s="1"/>
  <c r="N128" i="3"/>
  <c r="O128" i="3"/>
  <c r="P128" i="3"/>
  <c r="L129" i="3"/>
  <c r="K129" i="3" s="1"/>
  <c r="C223" i="3"/>
  <c r="C129" i="3"/>
  <c r="M129" i="3" s="1"/>
  <c r="N129" i="3"/>
  <c r="O129" i="3"/>
  <c r="P129" i="3"/>
  <c r="L130" i="3"/>
  <c r="K130" i="3"/>
  <c r="C224" i="3"/>
  <c r="C130" i="3"/>
  <c r="M130" i="3" s="1"/>
  <c r="N130" i="3"/>
  <c r="O130" i="3"/>
  <c r="P130" i="3"/>
  <c r="L131" i="3"/>
  <c r="K131" i="3" s="1"/>
  <c r="C225" i="3"/>
  <c r="M225" i="3" s="1"/>
  <c r="C131" i="3"/>
  <c r="M131" i="3" s="1"/>
  <c r="N131" i="3"/>
  <c r="O131" i="3"/>
  <c r="P131" i="3"/>
  <c r="L132" i="3"/>
  <c r="K132" i="3" s="1"/>
  <c r="C226" i="3"/>
  <c r="C132" i="3"/>
  <c r="N132" i="3"/>
  <c r="O132" i="3"/>
  <c r="P132" i="3"/>
  <c r="L133" i="3"/>
  <c r="K133" i="3"/>
  <c r="C227" i="3"/>
  <c r="C133" i="3"/>
  <c r="M133" i="3" s="1"/>
  <c r="N133" i="3"/>
  <c r="O133" i="3"/>
  <c r="P133" i="3"/>
  <c r="L134" i="3"/>
  <c r="K134" i="3"/>
  <c r="C228" i="3"/>
  <c r="M228" i="3" s="1"/>
  <c r="C134" i="3"/>
  <c r="M134" i="3" s="1"/>
  <c r="N134" i="3"/>
  <c r="O134" i="3"/>
  <c r="P134" i="3"/>
  <c r="L135" i="3"/>
  <c r="K135" i="3" s="1"/>
  <c r="C229" i="3"/>
  <c r="C136" i="3"/>
  <c r="M136" i="3" s="1"/>
  <c r="C135" i="3"/>
  <c r="M135" i="3" s="1"/>
  <c r="N135" i="3"/>
  <c r="O135" i="3"/>
  <c r="P135" i="3"/>
  <c r="L136" i="3"/>
  <c r="K136" i="3" s="1"/>
  <c r="C230" i="3"/>
  <c r="M230" i="3" s="1"/>
  <c r="C137" i="3"/>
  <c r="N136" i="3"/>
  <c r="O136" i="3"/>
  <c r="P136" i="3"/>
  <c r="L137" i="3"/>
  <c r="K137" i="3" s="1"/>
  <c r="C231" i="3"/>
  <c r="C138" i="3"/>
  <c r="M137" i="3"/>
  <c r="N137" i="3"/>
  <c r="O137" i="3"/>
  <c r="P137" i="3"/>
  <c r="L138" i="3"/>
  <c r="K138" i="3" s="1"/>
  <c r="C232" i="3"/>
  <c r="M232" i="3" s="1"/>
  <c r="C139" i="3"/>
  <c r="M138" i="3"/>
  <c r="N138" i="3"/>
  <c r="O138" i="3"/>
  <c r="P138" i="3"/>
  <c r="L139" i="3"/>
  <c r="K139" i="3" s="1"/>
  <c r="C233" i="3"/>
  <c r="C140" i="3"/>
  <c r="M139" i="3"/>
  <c r="N139" i="3"/>
  <c r="O139" i="3"/>
  <c r="P139" i="3"/>
  <c r="L140" i="3"/>
  <c r="K140" i="3" s="1"/>
  <c r="C234" i="3"/>
  <c r="M234" i="3" s="1"/>
  <c r="C141" i="3"/>
  <c r="M140" i="3"/>
  <c r="N140" i="3"/>
  <c r="O140" i="3"/>
  <c r="P140" i="3"/>
  <c r="L141" i="3"/>
  <c r="K141" i="3" s="1"/>
  <c r="C235" i="3"/>
  <c r="C142" i="3"/>
  <c r="M142" i="3" s="1"/>
  <c r="M141" i="3"/>
  <c r="N141" i="3"/>
  <c r="O141" i="3"/>
  <c r="P141" i="3"/>
  <c r="L142" i="3"/>
  <c r="K142" i="3" s="1"/>
  <c r="C236" i="3"/>
  <c r="M236" i="3" s="1"/>
  <c r="N142" i="3"/>
  <c r="O142" i="3"/>
  <c r="P142" i="3"/>
  <c r="L143" i="3"/>
  <c r="K143" i="3"/>
  <c r="C237" i="3"/>
  <c r="I34" i="25" s="1"/>
  <c r="AE34" i="32" s="1"/>
  <c r="C143" i="3"/>
  <c r="M143" i="3" s="1"/>
  <c r="N143" i="3"/>
  <c r="O143" i="3"/>
  <c r="P143" i="3"/>
  <c r="L144" i="3"/>
  <c r="K144" i="3" s="1"/>
  <c r="C238" i="3"/>
  <c r="M238" i="3" s="1"/>
  <c r="C144" i="3"/>
  <c r="M144" i="3" s="1"/>
  <c r="N144" i="3"/>
  <c r="O144" i="3"/>
  <c r="P144" i="3"/>
  <c r="L145" i="3"/>
  <c r="K145" i="3" s="1"/>
  <c r="C239" i="3"/>
  <c r="C145" i="3"/>
  <c r="M145" i="3" s="1"/>
  <c r="N145" i="3"/>
  <c r="O145" i="3"/>
  <c r="P145" i="3"/>
  <c r="L146" i="3"/>
  <c r="K146" i="3" s="1"/>
  <c r="C240" i="3"/>
  <c r="C146" i="3"/>
  <c r="M146" i="3" s="1"/>
  <c r="N146" i="3"/>
  <c r="O146" i="3"/>
  <c r="P146" i="3"/>
  <c r="L147" i="3"/>
  <c r="K147" i="3"/>
  <c r="C241" i="3"/>
  <c r="C147" i="3"/>
  <c r="M147" i="3" s="1"/>
  <c r="N147" i="3"/>
  <c r="O147" i="3"/>
  <c r="P147" i="3"/>
  <c r="L148" i="3"/>
  <c r="K148" i="3" s="1"/>
  <c r="C242" i="3"/>
  <c r="C148" i="3"/>
  <c r="N148" i="3"/>
  <c r="O148" i="3"/>
  <c r="P148" i="3"/>
  <c r="L149" i="3"/>
  <c r="K149" i="3" s="1"/>
  <c r="C243" i="3"/>
  <c r="C149" i="3"/>
  <c r="M149" i="3" s="1"/>
  <c r="N149" i="3"/>
  <c r="O149" i="3"/>
  <c r="P149" i="3"/>
  <c r="L150" i="3"/>
  <c r="K150" i="3"/>
  <c r="C244" i="3"/>
  <c r="C150" i="3"/>
  <c r="M150" i="3" s="1"/>
  <c r="N150" i="3"/>
  <c r="O150" i="3"/>
  <c r="P150" i="3"/>
  <c r="L151" i="3"/>
  <c r="K151" i="3"/>
  <c r="C245" i="3"/>
  <c r="C151" i="3"/>
  <c r="M151" i="3" s="1"/>
  <c r="N151" i="3"/>
  <c r="O151" i="3"/>
  <c r="P151" i="3"/>
  <c r="L152" i="3"/>
  <c r="K152" i="3" s="1"/>
  <c r="C246" i="3"/>
  <c r="C152" i="3"/>
  <c r="M152" i="3" s="1"/>
  <c r="N152" i="3"/>
  <c r="O152" i="3"/>
  <c r="P152" i="3"/>
  <c r="L153" i="3"/>
  <c r="K153" i="3" s="1"/>
  <c r="C247" i="3"/>
  <c r="M153" i="3"/>
  <c r="N153" i="3"/>
  <c r="O153" i="3"/>
  <c r="P153" i="3"/>
  <c r="L154" i="3"/>
  <c r="K154" i="3" s="1"/>
  <c r="C248" i="3"/>
  <c r="M154" i="3"/>
  <c r="N154" i="3"/>
  <c r="O154" i="3"/>
  <c r="P154" i="3"/>
  <c r="L155" i="3"/>
  <c r="K155" i="3" s="1"/>
  <c r="C249" i="3"/>
  <c r="I56" i="25" s="1"/>
  <c r="AE56" i="32" s="1"/>
  <c r="M155" i="3"/>
  <c r="N155" i="3"/>
  <c r="O155" i="3"/>
  <c r="P155" i="3"/>
  <c r="L156" i="3"/>
  <c r="K156" i="3" s="1"/>
  <c r="C250" i="3"/>
  <c r="M156" i="3"/>
  <c r="N156" i="3"/>
  <c r="O156" i="3"/>
  <c r="P156" i="3"/>
  <c r="L157" i="3"/>
  <c r="K157" i="3"/>
  <c r="C251" i="3"/>
  <c r="M157" i="3"/>
  <c r="N157" i="3"/>
  <c r="O157" i="3"/>
  <c r="P157" i="3"/>
  <c r="L158" i="3"/>
  <c r="K158" i="3" s="1"/>
  <c r="C252" i="3"/>
  <c r="I84" i="25" s="1"/>
  <c r="M158" i="3"/>
  <c r="N158" i="3"/>
  <c r="O158" i="3"/>
  <c r="P158" i="3"/>
  <c r="L159" i="3"/>
  <c r="K159" i="3"/>
  <c r="C253" i="3"/>
  <c r="N159" i="3"/>
  <c r="O159" i="3"/>
  <c r="P159" i="3"/>
  <c r="L160" i="3"/>
  <c r="K160" i="3" s="1"/>
  <c r="C254" i="3"/>
  <c r="M160" i="3"/>
  <c r="N160" i="3"/>
  <c r="O160" i="3"/>
  <c r="P160" i="3"/>
  <c r="L161" i="3"/>
  <c r="K161" i="3" s="1"/>
  <c r="C255" i="3"/>
  <c r="M161" i="3"/>
  <c r="N161" i="3"/>
  <c r="O161" i="3"/>
  <c r="P161" i="3"/>
  <c r="L162" i="3"/>
  <c r="K162" i="3" s="1"/>
  <c r="C256" i="3"/>
  <c r="M162" i="3"/>
  <c r="N162" i="3"/>
  <c r="O162" i="3"/>
  <c r="P162" i="3"/>
  <c r="L163" i="3"/>
  <c r="K163" i="3" s="1"/>
  <c r="C257" i="3"/>
  <c r="N163" i="3"/>
  <c r="O163" i="3"/>
  <c r="P163" i="3"/>
  <c r="L164" i="3"/>
  <c r="K164" i="3" s="1"/>
  <c r="C258" i="3"/>
  <c r="M164" i="3"/>
  <c r="N164" i="3"/>
  <c r="O164" i="3"/>
  <c r="P164" i="3"/>
  <c r="L165" i="3"/>
  <c r="K165" i="3"/>
  <c r="C259" i="3"/>
  <c r="M165" i="3"/>
  <c r="N165" i="3"/>
  <c r="O165" i="3"/>
  <c r="P165" i="3"/>
  <c r="L166" i="3"/>
  <c r="K166" i="3" s="1"/>
  <c r="C260" i="3"/>
  <c r="N166" i="3"/>
  <c r="O166" i="3"/>
  <c r="P166" i="3"/>
  <c r="L167" i="3"/>
  <c r="K167" i="3" s="1"/>
  <c r="C261" i="3"/>
  <c r="M167" i="3"/>
  <c r="N167" i="3"/>
  <c r="O167" i="3"/>
  <c r="P167" i="3"/>
  <c r="L168" i="3"/>
  <c r="K168" i="3" s="1"/>
  <c r="C262" i="3"/>
  <c r="N168" i="3"/>
  <c r="O168" i="3"/>
  <c r="P168" i="3"/>
  <c r="L169" i="3"/>
  <c r="K169" i="3" s="1"/>
  <c r="C263" i="3"/>
  <c r="M169" i="3"/>
  <c r="N169" i="3"/>
  <c r="O169" i="3"/>
  <c r="P169" i="3"/>
  <c r="L170" i="3"/>
  <c r="K170" i="3" s="1"/>
  <c r="C264" i="3"/>
  <c r="M264" i="3" s="1"/>
  <c r="M170" i="3"/>
  <c r="N170" i="3"/>
  <c r="O170" i="3"/>
  <c r="P170" i="3"/>
  <c r="L171" i="3"/>
  <c r="K171" i="3" s="1"/>
  <c r="C265" i="3"/>
  <c r="M171" i="3"/>
  <c r="N171" i="3"/>
  <c r="O171" i="3"/>
  <c r="P171" i="3"/>
  <c r="L172" i="3"/>
  <c r="K172" i="3" s="1"/>
  <c r="C266" i="3"/>
  <c r="M172" i="3"/>
  <c r="N172" i="3"/>
  <c r="O172" i="3"/>
  <c r="P172" i="3"/>
  <c r="L173" i="3"/>
  <c r="K173" i="3"/>
  <c r="C267" i="3"/>
  <c r="M173" i="3"/>
  <c r="N173" i="3"/>
  <c r="O173" i="3"/>
  <c r="P173" i="3"/>
  <c r="L174" i="3"/>
  <c r="K174" i="3" s="1"/>
  <c r="C268" i="3"/>
  <c r="M174" i="3"/>
  <c r="N174" i="3"/>
  <c r="O174" i="3"/>
  <c r="P174" i="3"/>
  <c r="L175" i="3"/>
  <c r="K175" i="3"/>
  <c r="C269" i="3"/>
  <c r="M175" i="3"/>
  <c r="N175" i="3"/>
  <c r="O175" i="3"/>
  <c r="P175" i="3"/>
  <c r="L176" i="3"/>
  <c r="K176" i="3" s="1"/>
  <c r="C270" i="3"/>
  <c r="M176" i="3"/>
  <c r="N176" i="3"/>
  <c r="O176" i="3"/>
  <c r="P176" i="3"/>
  <c r="L177" i="3"/>
  <c r="K177" i="3" s="1"/>
  <c r="C271" i="3"/>
  <c r="M177" i="3"/>
  <c r="N177" i="3"/>
  <c r="O177" i="3"/>
  <c r="P177" i="3"/>
  <c r="L178" i="3"/>
  <c r="K178" i="3" s="1"/>
  <c r="C272" i="3"/>
  <c r="M272" i="3" s="1"/>
  <c r="M178" i="3"/>
  <c r="N178" i="3"/>
  <c r="O178" i="3"/>
  <c r="P178" i="3"/>
  <c r="L179" i="3"/>
  <c r="K179" i="3" s="1"/>
  <c r="C273" i="3"/>
  <c r="M179" i="3"/>
  <c r="N179" i="3"/>
  <c r="O179" i="3"/>
  <c r="P179" i="3"/>
  <c r="L180" i="3"/>
  <c r="K180" i="3" s="1"/>
  <c r="C274" i="3"/>
  <c r="M180" i="3"/>
  <c r="N180" i="3"/>
  <c r="O180" i="3"/>
  <c r="P180" i="3"/>
  <c r="L181" i="3"/>
  <c r="K181" i="3"/>
  <c r="C275" i="3"/>
  <c r="M181" i="3"/>
  <c r="N181" i="3"/>
  <c r="O181" i="3"/>
  <c r="P181" i="3"/>
  <c r="L182" i="3"/>
  <c r="K182" i="3" s="1"/>
  <c r="C276" i="3"/>
  <c r="M182" i="3"/>
  <c r="N182" i="3"/>
  <c r="O182" i="3"/>
  <c r="P182" i="3"/>
  <c r="L183" i="3"/>
  <c r="K183" i="3" s="1"/>
  <c r="C277" i="3"/>
  <c r="M183" i="3"/>
  <c r="N183" i="3"/>
  <c r="O183" i="3"/>
  <c r="P183" i="3"/>
  <c r="L184" i="3"/>
  <c r="K184" i="3" s="1"/>
  <c r="C278" i="3"/>
  <c r="M184" i="3"/>
  <c r="N184" i="3"/>
  <c r="O184" i="3"/>
  <c r="P184" i="3"/>
  <c r="L185" i="3"/>
  <c r="K185" i="3" s="1"/>
  <c r="C279" i="3"/>
  <c r="M185" i="3"/>
  <c r="N185" i="3"/>
  <c r="O185" i="3"/>
  <c r="P185" i="3"/>
  <c r="L186" i="3"/>
  <c r="K186" i="3" s="1"/>
  <c r="C280" i="3"/>
  <c r="N186" i="3"/>
  <c r="O186" i="3"/>
  <c r="P186" i="3"/>
  <c r="L187" i="3"/>
  <c r="K187" i="3" s="1"/>
  <c r="C281" i="3"/>
  <c r="M187" i="3"/>
  <c r="N187" i="3"/>
  <c r="O187" i="3"/>
  <c r="P187" i="3"/>
  <c r="L188" i="3"/>
  <c r="K188" i="3" s="1"/>
  <c r="C282" i="3"/>
  <c r="I17" i="25" s="1"/>
  <c r="AE17" i="32" s="1"/>
  <c r="N188" i="3"/>
  <c r="O188" i="3"/>
  <c r="P188" i="3"/>
  <c r="L189" i="3"/>
  <c r="K189" i="3" s="1"/>
  <c r="C283" i="3"/>
  <c r="M189" i="3"/>
  <c r="N189" i="3"/>
  <c r="O189" i="3"/>
  <c r="P189" i="3"/>
  <c r="L190" i="3"/>
  <c r="K190" i="3" s="1"/>
  <c r="C284" i="3"/>
  <c r="N190" i="3"/>
  <c r="O190" i="3"/>
  <c r="P190" i="3"/>
  <c r="L191" i="3"/>
  <c r="K191" i="3" s="1"/>
  <c r="C285" i="3"/>
  <c r="M191" i="3"/>
  <c r="N191" i="3"/>
  <c r="O191" i="3"/>
  <c r="P191" i="3"/>
  <c r="L192" i="3"/>
  <c r="K192" i="3" s="1"/>
  <c r="C286" i="3"/>
  <c r="M192" i="3"/>
  <c r="N192" i="3"/>
  <c r="O192" i="3"/>
  <c r="P192" i="3"/>
  <c r="L193" i="3"/>
  <c r="K193" i="3"/>
  <c r="C287" i="3"/>
  <c r="N193" i="3"/>
  <c r="O193" i="3"/>
  <c r="P193" i="3"/>
  <c r="L194" i="3"/>
  <c r="K194" i="3" s="1"/>
  <c r="C288" i="3"/>
  <c r="N194" i="3"/>
  <c r="O194" i="3"/>
  <c r="P194" i="3"/>
  <c r="L195" i="3"/>
  <c r="K195" i="3" s="1"/>
  <c r="C289" i="3"/>
  <c r="N195" i="3"/>
  <c r="O195" i="3"/>
  <c r="P195" i="3"/>
  <c r="L196" i="3"/>
  <c r="K196" i="3" s="1"/>
  <c r="C290" i="3"/>
  <c r="N196" i="3"/>
  <c r="O196" i="3"/>
  <c r="P196" i="3"/>
  <c r="L197" i="3"/>
  <c r="K197" i="3" s="1"/>
  <c r="C291" i="3"/>
  <c r="N197" i="3"/>
  <c r="O197" i="3"/>
  <c r="P197" i="3"/>
  <c r="L198" i="3"/>
  <c r="K198" i="3" s="1"/>
  <c r="C292" i="3"/>
  <c r="I38" i="25" s="1"/>
  <c r="N198" i="3"/>
  <c r="O198" i="3"/>
  <c r="P198" i="3"/>
  <c r="L199" i="3"/>
  <c r="K199" i="3"/>
  <c r="C293" i="3"/>
  <c r="N199" i="3"/>
  <c r="O199" i="3"/>
  <c r="P199" i="3"/>
  <c r="L200" i="3"/>
  <c r="K200" i="3" s="1"/>
  <c r="C294" i="3"/>
  <c r="M200" i="3"/>
  <c r="N200" i="3"/>
  <c r="O200" i="3"/>
  <c r="P200" i="3"/>
  <c r="L201" i="3"/>
  <c r="K201" i="3"/>
  <c r="C295" i="3"/>
  <c r="M201" i="3"/>
  <c r="N201" i="3"/>
  <c r="O201" i="3"/>
  <c r="P201" i="3"/>
  <c r="L202" i="3"/>
  <c r="K202" i="3" s="1"/>
  <c r="C296" i="3"/>
  <c r="N202" i="3"/>
  <c r="O202" i="3"/>
  <c r="P202" i="3"/>
  <c r="L203" i="3"/>
  <c r="K203" i="3" s="1"/>
  <c r="C297" i="3"/>
  <c r="M203" i="3"/>
  <c r="N203" i="3"/>
  <c r="O203" i="3"/>
  <c r="P203" i="3"/>
  <c r="L204" i="3"/>
  <c r="K204" i="3" s="1"/>
  <c r="C298" i="3"/>
  <c r="N204" i="3"/>
  <c r="O204" i="3"/>
  <c r="P204" i="3"/>
  <c r="L205" i="3"/>
  <c r="K205" i="3" s="1"/>
  <c r="C299" i="3"/>
  <c r="M205" i="3"/>
  <c r="N205" i="3"/>
  <c r="O205" i="3"/>
  <c r="P205" i="3"/>
  <c r="L206" i="3"/>
  <c r="K206" i="3" s="1"/>
  <c r="C300" i="3"/>
  <c r="N206" i="3"/>
  <c r="O206" i="3"/>
  <c r="P206" i="3"/>
  <c r="L207" i="3"/>
  <c r="K207" i="3" s="1"/>
  <c r="C301" i="3"/>
  <c r="M207" i="3"/>
  <c r="N207" i="3"/>
  <c r="O207" i="3"/>
  <c r="P207" i="3"/>
  <c r="L208" i="3"/>
  <c r="K208" i="3" s="1"/>
  <c r="C302" i="3"/>
  <c r="I43" i="25" s="1"/>
  <c r="AE43" i="32" s="1"/>
  <c r="N208" i="3"/>
  <c r="O208" i="3"/>
  <c r="P208" i="3"/>
  <c r="L209" i="3"/>
  <c r="K209" i="3" s="1"/>
  <c r="C303" i="3"/>
  <c r="N209" i="3"/>
  <c r="O209" i="3"/>
  <c r="P209" i="3"/>
  <c r="L210" i="3"/>
  <c r="K210" i="3" s="1"/>
  <c r="C304" i="3"/>
  <c r="I60" i="25" s="1"/>
  <c r="N210" i="3"/>
  <c r="O210" i="3"/>
  <c r="P210" i="3"/>
  <c r="L211" i="3"/>
  <c r="K211" i="3" s="1"/>
  <c r="C305" i="3"/>
  <c r="M211" i="3"/>
  <c r="N211" i="3"/>
  <c r="O211" i="3"/>
  <c r="P211" i="3"/>
  <c r="L212" i="3"/>
  <c r="K212" i="3" s="1"/>
  <c r="C306" i="3"/>
  <c r="N212" i="3"/>
  <c r="O212" i="3"/>
  <c r="P212" i="3"/>
  <c r="L213" i="3"/>
  <c r="K213" i="3" s="1"/>
  <c r="C307" i="3"/>
  <c r="M213" i="3"/>
  <c r="N213" i="3"/>
  <c r="O213" i="3"/>
  <c r="P213" i="3"/>
  <c r="L214" i="3"/>
  <c r="K214" i="3" s="1"/>
  <c r="C308" i="3"/>
  <c r="N214" i="3"/>
  <c r="O214" i="3"/>
  <c r="P214" i="3"/>
  <c r="L215" i="3"/>
  <c r="K215" i="3" s="1"/>
  <c r="C309" i="3"/>
  <c r="M215" i="3"/>
  <c r="N215" i="3"/>
  <c r="O215" i="3"/>
  <c r="P215" i="3"/>
  <c r="L216" i="3"/>
  <c r="K216" i="3" s="1"/>
  <c r="C310" i="3"/>
  <c r="N216" i="3"/>
  <c r="O216" i="3"/>
  <c r="P216" i="3"/>
  <c r="L217" i="3"/>
  <c r="K217" i="3" s="1"/>
  <c r="C311" i="3"/>
  <c r="N217" i="3"/>
  <c r="O217" i="3"/>
  <c r="P217" i="3"/>
  <c r="L218" i="3"/>
  <c r="K218" i="3" s="1"/>
  <c r="C312" i="3"/>
  <c r="N218" i="3"/>
  <c r="O218" i="3"/>
  <c r="P218" i="3"/>
  <c r="L219" i="3"/>
  <c r="K219" i="3" s="1"/>
  <c r="C313" i="3"/>
  <c r="M219" i="3"/>
  <c r="N219" i="3"/>
  <c r="O219" i="3"/>
  <c r="P219" i="3"/>
  <c r="L220" i="3"/>
  <c r="K220" i="3" s="1"/>
  <c r="C314" i="3"/>
  <c r="N220" i="3"/>
  <c r="O220" i="3"/>
  <c r="P220" i="3"/>
  <c r="L221" i="3"/>
  <c r="K221" i="3" s="1"/>
  <c r="C315" i="3"/>
  <c r="M221" i="3"/>
  <c r="N221" i="3"/>
  <c r="O221" i="3"/>
  <c r="P221" i="3"/>
  <c r="L222" i="3"/>
  <c r="K222" i="3" s="1"/>
  <c r="C316" i="3"/>
  <c r="I62" i="25" s="1"/>
  <c r="M222" i="3"/>
  <c r="N222" i="3"/>
  <c r="O222" i="3"/>
  <c r="P222" i="3"/>
  <c r="L223" i="3"/>
  <c r="K223" i="3"/>
  <c r="C317" i="3"/>
  <c r="M223" i="3"/>
  <c r="N223" i="3"/>
  <c r="O223" i="3"/>
  <c r="P223" i="3"/>
  <c r="L224" i="3"/>
  <c r="K224" i="3" s="1"/>
  <c r="C318" i="3"/>
  <c r="M224" i="3"/>
  <c r="N224" i="3"/>
  <c r="O224" i="3"/>
  <c r="P224" i="3"/>
  <c r="L225" i="3"/>
  <c r="K225" i="3"/>
  <c r="C319" i="3"/>
  <c r="N225" i="3"/>
  <c r="O225" i="3"/>
  <c r="P225" i="3"/>
  <c r="L226" i="3"/>
  <c r="K226" i="3" s="1"/>
  <c r="C320" i="3"/>
  <c r="M226" i="3"/>
  <c r="N226" i="3"/>
  <c r="O226" i="3"/>
  <c r="P226" i="3"/>
  <c r="L227" i="3"/>
  <c r="K227" i="3" s="1"/>
  <c r="C321" i="3"/>
  <c r="M227" i="3"/>
  <c r="N227" i="3"/>
  <c r="O227" i="3"/>
  <c r="P227" i="3"/>
  <c r="L228" i="3"/>
  <c r="K228" i="3" s="1"/>
  <c r="C322" i="3"/>
  <c r="N228" i="3"/>
  <c r="O228" i="3"/>
  <c r="P228" i="3"/>
  <c r="L229" i="3"/>
  <c r="K229" i="3" s="1"/>
  <c r="C323" i="3"/>
  <c r="M229" i="3"/>
  <c r="N229" i="3"/>
  <c r="O229" i="3"/>
  <c r="P229" i="3"/>
  <c r="L230" i="3"/>
  <c r="K230" i="3" s="1"/>
  <c r="C324" i="3"/>
  <c r="N230" i="3"/>
  <c r="O230" i="3"/>
  <c r="P230" i="3"/>
  <c r="L231" i="3"/>
  <c r="K231" i="3" s="1"/>
  <c r="C325" i="3"/>
  <c r="M231" i="3"/>
  <c r="N231" i="3"/>
  <c r="O231" i="3"/>
  <c r="P231" i="3"/>
  <c r="L232" i="3"/>
  <c r="K232" i="3" s="1"/>
  <c r="C326" i="3"/>
  <c r="N232" i="3"/>
  <c r="O232" i="3"/>
  <c r="P232" i="3"/>
  <c r="L233" i="3"/>
  <c r="K233" i="3" s="1"/>
  <c r="C327" i="3"/>
  <c r="N233" i="3"/>
  <c r="O233" i="3"/>
  <c r="P233" i="3"/>
  <c r="L234" i="3"/>
  <c r="K234" i="3" s="1"/>
  <c r="C328" i="3"/>
  <c r="N234" i="3"/>
  <c r="O234" i="3"/>
  <c r="P234" i="3"/>
  <c r="L235" i="3"/>
  <c r="K235" i="3" s="1"/>
  <c r="C329" i="3"/>
  <c r="M235" i="3"/>
  <c r="N235" i="3"/>
  <c r="O235" i="3"/>
  <c r="P235" i="3"/>
  <c r="L236" i="3"/>
  <c r="K236" i="3" s="1"/>
  <c r="C330" i="3"/>
  <c r="N236" i="3"/>
  <c r="O236" i="3"/>
  <c r="P236" i="3"/>
  <c r="L237" i="3"/>
  <c r="K237" i="3" s="1"/>
  <c r="C331" i="3"/>
  <c r="M237" i="3"/>
  <c r="N237" i="3"/>
  <c r="O237" i="3"/>
  <c r="P237" i="3"/>
  <c r="C332" i="3"/>
  <c r="N238" i="3"/>
  <c r="O238" i="3"/>
  <c r="P238" i="3"/>
  <c r="L239" i="3"/>
  <c r="K239" i="3" s="1"/>
  <c r="M239" i="3"/>
  <c r="N239" i="3"/>
  <c r="O239" i="3"/>
  <c r="P239" i="3"/>
  <c r="L240" i="3"/>
  <c r="K240" i="3" s="1"/>
  <c r="L241" i="3"/>
  <c r="K241" i="3" s="1"/>
  <c r="L242" i="3"/>
  <c r="K242" i="3"/>
  <c r="L243" i="3"/>
  <c r="K243" i="3" s="1"/>
  <c r="L244" i="3"/>
  <c r="K244" i="3"/>
  <c r="L245" i="3"/>
  <c r="K245" i="3" s="1"/>
  <c r="L246" i="3"/>
  <c r="K246" i="3"/>
  <c r="L247" i="3"/>
  <c r="K247" i="3" s="1"/>
  <c r="L248" i="3"/>
  <c r="K248" i="3" s="1"/>
  <c r="L249" i="3"/>
  <c r="K249" i="3" s="1"/>
  <c r="L250" i="3"/>
  <c r="K250" i="3"/>
  <c r="L251" i="3"/>
  <c r="K251" i="3" s="1"/>
  <c r="L252" i="3"/>
  <c r="K252" i="3"/>
  <c r="L253" i="3"/>
  <c r="K253" i="3" s="1"/>
  <c r="L254" i="3"/>
  <c r="K254" i="3"/>
  <c r="L255" i="3"/>
  <c r="K255" i="3" s="1"/>
  <c r="L256" i="3"/>
  <c r="K256" i="3" s="1"/>
  <c r="L257" i="3"/>
  <c r="K257" i="3" s="1"/>
  <c r="L258" i="3"/>
  <c r="K258" i="3"/>
  <c r="L259" i="3"/>
  <c r="K259" i="3" s="1"/>
  <c r="L260" i="3"/>
  <c r="K260" i="3"/>
  <c r="L261" i="3"/>
  <c r="K261" i="3" s="1"/>
  <c r="L262" i="3"/>
  <c r="K262" i="3"/>
  <c r="L263" i="3"/>
  <c r="K263" i="3" s="1"/>
  <c r="M259" i="3"/>
  <c r="N259" i="3"/>
  <c r="O259" i="3"/>
  <c r="M260" i="3"/>
  <c r="N260" i="3"/>
  <c r="O260" i="3"/>
  <c r="M261" i="3"/>
  <c r="N261" i="3"/>
  <c r="O261" i="3"/>
  <c r="N262" i="3"/>
  <c r="O262" i="3"/>
  <c r="M263" i="3"/>
  <c r="N263" i="3"/>
  <c r="O263" i="3"/>
  <c r="L264" i="3"/>
  <c r="K264" i="3" s="1"/>
  <c r="N264" i="3"/>
  <c r="O264" i="3"/>
  <c r="L265" i="3"/>
  <c r="K265" i="3" s="1"/>
  <c r="M265" i="3"/>
  <c r="N265" i="3"/>
  <c r="O265" i="3"/>
  <c r="L266" i="3"/>
  <c r="K266" i="3" s="1"/>
  <c r="M266" i="3"/>
  <c r="N266" i="3"/>
  <c r="O266" i="3"/>
  <c r="L267" i="3"/>
  <c r="K267" i="3"/>
  <c r="M267" i="3"/>
  <c r="N267" i="3"/>
  <c r="O267" i="3"/>
  <c r="L268" i="3"/>
  <c r="K268" i="3" s="1"/>
  <c r="N268" i="3"/>
  <c r="O268" i="3"/>
  <c r="L269" i="3"/>
  <c r="K269" i="3"/>
  <c r="M269" i="3"/>
  <c r="N269" i="3"/>
  <c r="O269" i="3"/>
  <c r="L270" i="3"/>
  <c r="K270" i="3" s="1"/>
  <c r="M270" i="3"/>
  <c r="N270" i="3"/>
  <c r="O270" i="3"/>
  <c r="L271" i="3"/>
  <c r="K271" i="3"/>
  <c r="M271" i="3"/>
  <c r="N271" i="3"/>
  <c r="O271" i="3"/>
  <c r="L272" i="3"/>
  <c r="K272" i="3" s="1"/>
  <c r="N272" i="3"/>
  <c r="O272" i="3"/>
  <c r="L273" i="3"/>
  <c r="K273" i="3"/>
  <c r="N273" i="3"/>
  <c r="O273" i="3"/>
  <c r="L274" i="3"/>
  <c r="K274" i="3" s="1"/>
  <c r="L275" i="3"/>
  <c r="K275" i="3" s="1"/>
  <c r="L276" i="3"/>
  <c r="K276" i="3" s="1"/>
  <c r="L277" i="3"/>
  <c r="K277" i="3" s="1"/>
  <c r="L278" i="3"/>
  <c r="K278" i="3" s="1"/>
  <c r="L279" i="3"/>
  <c r="K279" i="3" s="1"/>
  <c r="L280" i="3"/>
  <c r="K280" i="3" s="1"/>
  <c r="L281" i="3"/>
  <c r="K281" i="3" s="1"/>
  <c r="L282" i="3"/>
  <c r="K282" i="3" s="1"/>
  <c r="L283" i="3"/>
  <c r="K283" i="3" s="1"/>
  <c r="L284" i="3"/>
  <c r="K284" i="3" s="1"/>
  <c r="L285" i="3"/>
  <c r="K285" i="3" s="1"/>
  <c r="L286" i="3"/>
  <c r="K286" i="3" s="1"/>
  <c r="L287" i="3"/>
  <c r="K287" i="3" s="1"/>
  <c r="L288" i="3"/>
  <c r="K288" i="3" s="1"/>
  <c r="L289" i="3"/>
  <c r="K289" i="3" s="1"/>
  <c r="L290" i="3"/>
  <c r="K290" i="3" s="1"/>
  <c r="L291" i="3"/>
  <c r="K291" i="3" s="1"/>
  <c r="L292" i="3"/>
  <c r="K292" i="3" s="1"/>
  <c r="L293" i="3"/>
  <c r="K293" i="3" s="1"/>
  <c r="L294" i="3"/>
  <c r="K294" i="3" s="1"/>
  <c r="L295" i="3"/>
  <c r="K295" i="3" s="1"/>
  <c r="L296" i="3"/>
  <c r="K296" i="3" s="1"/>
  <c r="L297" i="3"/>
  <c r="K297" i="3" s="1"/>
  <c r="L298" i="3"/>
  <c r="K298" i="3" s="1"/>
  <c r="L299" i="3"/>
  <c r="K299" i="3" s="1"/>
  <c r="L300" i="3"/>
  <c r="K300" i="3" s="1"/>
  <c r="L301" i="3"/>
  <c r="K301" i="3" s="1"/>
  <c r="L302" i="3"/>
  <c r="K302" i="3" s="1"/>
  <c r="L303" i="3"/>
  <c r="K303" i="3" s="1"/>
  <c r="L304" i="3"/>
  <c r="K304" i="3" s="1"/>
  <c r="L305" i="3"/>
  <c r="K305" i="3" s="1"/>
  <c r="L306" i="3"/>
  <c r="K306" i="3" s="1"/>
  <c r="L307" i="3"/>
  <c r="K307" i="3" s="1"/>
  <c r="L308" i="3"/>
  <c r="K308" i="3" s="1"/>
  <c r="L309" i="3"/>
  <c r="K309" i="3" s="1"/>
  <c r="L310" i="3"/>
  <c r="K310" i="3" s="1"/>
  <c r="L311" i="3"/>
  <c r="K311" i="3" s="1"/>
  <c r="L312" i="3"/>
  <c r="K312" i="3" s="1"/>
  <c r="L313" i="3"/>
  <c r="K313" i="3" s="1"/>
  <c r="L314" i="3"/>
  <c r="K314" i="3" s="1"/>
  <c r="L315" i="3"/>
  <c r="K315" i="3" s="1"/>
  <c r="L316" i="3"/>
  <c r="K316" i="3" s="1"/>
  <c r="L317" i="3"/>
  <c r="K317" i="3" s="1"/>
  <c r="L318" i="3"/>
  <c r="K318" i="3" s="1"/>
  <c r="L319" i="3"/>
  <c r="K319" i="3" s="1"/>
  <c r="L320" i="3"/>
  <c r="K320" i="3" s="1"/>
  <c r="L321" i="3"/>
  <c r="K321" i="3" s="1"/>
  <c r="L322" i="3"/>
  <c r="K322" i="3" s="1"/>
  <c r="L323" i="3"/>
  <c r="K323" i="3" s="1"/>
  <c r="L324" i="3"/>
  <c r="K324" i="3" s="1"/>
  <c r="L325" i="3"/>
  <c r="K325" i="3" s="1"/>
  <c r="L326" i="3"/>
  <c r="K326" i="3" s="1"/>
  <c r="L327" i="3"/>
  <c r="K327" i="3" s="1"/>
  <c r="L328" i="3"/>
  <c r="K328" i="3" s="1"/>
  <c r="L329" i="3"/>
  <c r="K329" i="3" s="1"/>
  <c r="L330" i="3"/>
  <c r="K330" i="3" s="1"/>
  <c r="L331" i="3"/>
  <c r="K331" i="3" s="1"/>
  <c r="L332" i="3"/>
  <c r="K332" i="3" s="1"/>
  <c r="L333" i="3"/>
  <c r="K333" i="3" s="1"/>
  <c r="J2" i="25"/>
  <c r="L2" i="25"/>
  <c r="I3" i="25"/>
  <c r="AE3" i="32"/>
  <c r="J3" i="25"/>
  <c r="L3" i="25"/>
  <c r="AD3" i="25" s="1"/>
  <c r="I4" i="25"/>
  <c r="AE4" i="32"/>
  <c r="Z4" i="32" s="1"/>
  <c r="J4" i="25"/>
  <c r="L4" i="25"/>
  <c r="AD4" i="25" s="1"/>
  <c r="J5" i="25"/>
  <c r="L5" i="25"/>
  <c r="J6" i="25"/>
  <c r="L6" i="25"/>
  <c r="AD6" i="25" s="1"/>
  <c r="I7" i="25"/>
  <c r="AE7" i="32"/>
  <c r="J7" i="25"/>
  <c r="L7" i="25"/>
  <c r="J8" i="25"/>
  <c r="L8" i="25"/>
  <c r="J9" i="25"/>
  <c r="L9" i="25"/>
  <c r="I10" i="25"/>
  <c r="AE10" i="32"/>
  <c r="J10" i="25"/>
  <c r="AD10" i="25" s="1"/>
  <c r="Z10" i="32" s="1"/>
  <c r="L10" i="25"/>
  <c r="J11" i="25"/>
  <c r="L11" i="25"/>
  <c r="J12" i="25"/>
  <c r="AD12" i="25" s="1"/>
  <c r="L12" i="25"/>
  <c r="J13" i="25"/>
  <c r="L13" i="25"/>
  <c r="I14" i="25"/>
  <c r="AE14" i="32" s="1"/>
  <c r="J14" i="25"/>
  <c r="L14" i="25"/>
  <c r="I15" i="25"/>
  <c r="AE15" i="32"/>
  <c r="J15" i="25"/>
  <c r="L15" i="25"/>
  <c r="I16" i="25"/>
  <c r="AE16" i="32"/>
  <c r="Z16" i="32" s="1"/>
  <c r="J16" i="25"/>
  <c r="L16" i="25"/>
  <c r="AD16" i="25" s="1"/>
  <c r="J17" i="25"/>
  <c r="L17" i="25"/>
  <c r="J18" i="25"/>
  <c r="L18" i="25"/>
  <c r="AD18" i="25" s="1"/>
  <c r="J19" i="25"/>
  <c r="L19" i="25"/>
  <c r="I20" i="25"/>
  <c r="AE20" i="32" s="1"/>
  <c r="J20" i="25"/>
  <c r="L20" i="25"/>
  <c r="I21" i="25"/>
  <c r="AE21" i="32" s="1"/>
  <c r="J21" i="25"/>
  <c r="AD21" i="25" s="1"/>
  <c r="L21" i="25"/>
  <c r="I22" i="25"/>
  <c r="AE22" i="32" s="1"/>
  <c r="J22" i="25"/>
  <c r="L22" i="25"/>
  <c r="I23" i="25"/>
  <c r="AE23" i="32" s="1"/>
  <c r="J23" i="25"/>
  <c r="AD23" i="25" s="1"/>
  <c r="L23" i="25"/>
  <c r="I24" i="25"/>
  <c r="AE24" i="32" s="1"/>
  <c r="J24" i="25"/>
  <c r="L24" i="25"/>
  <c r="I25" i="25"/>
  <c r="AE25" i="32" s="1"/>
  <c r="J25" i="25"/>
  <c r="AD25" i="25" s="1"/>
  <c r="L25" i="25"/>
  <c r="AE26" i="32"/>
  <c r="Z26" i="32" s="1"/>
  <c r="J26" i="25"/>
  <c r="L26" i="25"/>
  <c r="AD26" i="25" s="1"/>
  <c r="AE27" i="32"/>
  <c r="J27" i="25"/>
  <c r="AD27" i="25" s="1"/>
  <c r="Z27" i="32" s="1"/>
  <c r="L27" i="25"/>
  <c r="J28" i="25"/>
  <c r="L28" i="25"/>
  <c r="AD28" i="25" s="1"/>
  <c r="I29" i="25"/>
  <c r="AE29" i="32"/>
  <c r="J29" i="25"/>
  <c r="L29" i="25"/>
  <c r="I30" i="25"/>
  <c r="AE30" i="32"/>
  <c r="J30" i="25"/>
  <c r="L30" i="25"/>
  <c r="I31" i="25"/>
  <c r="AE31" i="32"/>
  <c r="J31" i="25"/>
  <c r="AD31" i="25" s="1"/>
  <c r="Z31" i="32" s="1"/>
  <c r="L31" i="25"/>
  <c r="I32" i="25"/>
  <c r="AE32" i="32"/>
  <c r="J32" i="25"/>
  <c r="L32" i="25"/>
  <c r="I33" i="25"/>
  <c r="AE33" i="32"/>
  <c r="J33" i="25"/>
  <c r="AD33" i="25" s="1"/>
  <c r="Z33" i="32" s="1"/>
  <c r="L33" i="25"/>
  <c r="J34" i="25"/>
  <c r="L34" i="25"/>
  <c r="I35" i="25"/>
  <c r="AE35" i="32"/>
  <c r="J35" i="25"/>
  <c r="L35" i="25"/>
  <c r="I36" i="25"/>
  <c r="AE36" i="32"/>
  <c r="J36" i="25"/>
  <c r="L36" i="25"/>
  <c r="I37" i="25"/>
  <c r="AE37" i="32"/>
  <c r="J37" i="25"/>
  <c r="L37" i="25"/>
  <c r="AE38" i="32"/>
  <c r="Z38" i="32" s="1"/>
  <c r="J38" i="25"/>
  <c r="AD38" i="25" s="1"/>
  <c r="L38" i="25"/>
  <c r="I39" i="25"/>
  <c r="AE39" i="32"/>
  <c r="J39" i="25"/>
  <c r="L39" i="25"/>
  <c r="AD39" i="25" s="1"/>
  <c r="I40" i="25"/>
  <c r="AE40" i="32"/>
  <c r="J40" i="25"/>
  <c r="L40" i="25"/>
  <c r="I41" i="25"/>
  <c r="AE41" i="32"/>
  <c r="J41" i="25"/>
  <c r="L41" i="25"/>
  <c r="AD41" i="25" s="1"/>
  <c r="J42" i="25"/>
  <c r="L42" i="25"/>
  <c r="J43" i="25"/>
  <c r="L43" i="25"/>
  <c r="AD43" i="25" s="1"/>
  <c r="I44" i="25"/>
  <c r="AE44" i="32"/>
  <c r="J44" i="25"/>
  <c r="L44" i="25"/>
  <c r="I45" i="25"/>
  <c r="AE45" i="32"/>
  <c r="J45" i="25"/>
  <c r="L45" i="25"/>
  <c r="I46" i="25"/>
  <c r="AE46" i="32"/>
  <c r="J46" i="25"/>
  <c r="AD46" i="25" s="1"/>
  <c r="Z46" i="32" s="1"/>
  <c r="L46" i="25"/>
  <c r="I47" i="25"/>
  <c r="AE47" i="32"/>
  <c r="J47" i="25"/>
  <c r="L47" i="25"/>
  <c r="I48" i="25"/>
  <c r="AE48" i="32"/>
  <c r="J48" i="25"/>
  <c r="AD48" i="25" s="1"/>
  <c r="L48" i="25"/>
  <c r="J49" i="25"/>
  <c r="L49" i="25"/>
  <c r="AD49" i="25" s="1"/>
  <c r="I50" i="25"/>
  <c r="AE50" i="32"/>
  <c r="J50" i="25"/>
  <c r="L50" i="25"/>
  <c r="J51" i="25"/>
  <c r="L51" i="25"/>
  <c r="AD51" i="25" s="1"/>
  <c r="I52" i="25"/>
  <c r="AE52" i="32"/>
  <c r="J52" i="25"/>
  <c r="L52" i="25"/>
  <c r="I53" i="25"/>
  <c r="AE53" i="32" s="1"/>
  <c r="J53" i="25"/>
  <c r="L53" i="25"/>
  <c r="AD53" i="25" s="1"/>
  <c r="J54" i="25"/>
  <c r="L54" i="25"/>
  <c r="I55" i="25"/>
  <c r="AE55" i="32"/>
  <c r="J55" i="25"/>
  <c r="L55" i="25"/>
  <c r="J56" i="25"/>
  <c r="AD56" i="25" s="1"/>
  <c r="L56" i="25"/>
  <c r="I57" i="25"/>
  <c r="AE57" i="32"/>
  <c r="J57" i="25"/>
  <c r="L57" i="25"/>
  <c r="I58" i="25"/>
  <c r="AE58" i="32"/>
  <c r="J58" i="25"/>
  <c r="L58" i="25"/>
  <c r="I59" i="25"/>
  <c r="AE59" i="32"/>
  <c r="J59" i="25"/>
  <c r="L59" i="25"/>
  <c r="AD59" i="25" s="1"/>
  <c r="AE60" i="32"/>
  <c r="J60" i="25"/>
  <c r="AD60" i="25" s="1"/>
  <c r="Z60" i="32" s="1"/>
  <c r="L60" i="25"/>
  <c r="I61" i="25"/>
  <c r="AE61" i="32"/>
  <c r="J61" i="25"/>
  <c r="L61" i="25"/>
  <c r="AE62" i="32"/>
  <c r="J62" i="25"/>
  <c r="L62" i="25"/>
  <c r="J63" i="25"/>
  <c r="L63" i="25"/>
  <c r="AD63" i="25" s="1"/>
  <c r="I64" i="25"/>
  <c r="AE64" i="32"/>
  <c r="J64" i="25"/>
  <c r="L64" i="25"/>
  <c r="I65" i="25"/>
  <c r="AE65" i="32"/>
  <c r="J65" i="25"/>
  <c r="L65" i="25"/>
  <c r="I66" i="25"/>
  <c r="AE66" i="32"/>
  <c r="J66" i="25"/>
  <c r="AD66" i="25" s="1"/>
  <c r="L66" i="25"/>
  <c r="I67" i="25"/>
  <c r="AE67" i="32"/>
  <c r="J67" i="25"/>
  <c r="L67" i="25"/>
  <c r="I68" i="25"/>
  <c r="AE68" i="32"/>
  <c r="J68" i="25"/>
  <c r="L68" i="25"/>
  <c r="I69" i="25"/>
  <c r="AE69" i="32"/>
  <c r="J69" i="25"/>
  <c r="L69" i="25"/>
  <c r="I70" i="25"/>
  <c r="AE70" i="32"/>
  <c r="Z70" i="32" s="1"/>
  <c r="J70" i="25"/>
  <c r="AD70" i="25" s="1"/>
  <c r="L70" i="25"/>
  <c r="I71" i="25"/>
  <c r="AE71" i="32"/>
  <c r="J71" i="25"/>
  <c r="L71" i="25"/>
  <c r="I72" i="25"/>
  <c r="AE72" i="32" s="1"/>
  <c r="J72" i="25"/>
  <c r="L72" i="25"/>
  <c r="I73" i="25"/>
  <c r="AE73" i="32" s="1"/>
  <c r="J73" i="25"/>
  <c r="L73" i="25"/>
  <c r="AD73" i="25" s="1"/>
  <c r="J74" i="25"/>
  <c r="AD74" i="25" s="1"/>
  <c r="L74" i="25"/>
  <c r="J75" i="25"/>
  <c r="L75" i="25"/>
  <c r="I76" i="25"/>
  <c r="AE76" i="32"/>
  <c r="J76" i="25"/>
  <c r="AD76" i="25" s="1"/>
  <c r="L76" i="25"/>
  <c r="J77" i="25"/>
  <c r="L77" i="25"/>
  <c r="I78" i="25"/>
  <c r="AE78" i="32"/>
  <c r="J78" i="25"/>
  <c r="AD78" i="25" s="1"/>
  <c r="L78" i="25"/>
  <c r="I79" i="25"/>
  <c r="AE79" i="32"/>
  <c r="J79" i="25"/>
  <c r="L79" i="25"/>
  <c r="I80" i="25"/>
  <c r="AE80" i="32"/>
  <c r="Z80" i="32" s="1"/>
  <c r="J80" i="25"/>
  <c r="AD80" i="25" s="1"/>
  <c r="L80" i="25"/>
  <c r="I81" i="25"/>
  <c r="AE81" i="32" s="1"/>
  <c r="J81" i="25"/>
  <c r="L81" i="25"/>
  <c r="AD81" i="25" s="1"/>
  <c r="I82" i="25"/>
  <c r="AE82" i="32" s="1"/>
  <c r="J82" i="25"/>
  <c r="L82" i="25"/>
  <c r="I83" i="25"/>
  <c r="AE83" i="32" s="1"/>
  <c r="J83" i="25"/>
  <c r="L83" i="25"/>
  <c r="AD83" i="25" s="1"/>
  <c r="AE84" i="32"/>
  <c r="J84" i="25"/>
  <c r="L84" i="25"/>
  <c r="AD84" i="25"/>
  <c r="I85" i="25"/>
  <c r="AE85" i="32" s="1"/>
  <c r="J85" i="25"/>
  <c r="L85" i="25"/>
  <c r="I86" i="25"/>
  <c r="AE86" i="32" s="1"/>
  <c r="J86" i="25"/>
  <c r="AD86" i="25" s="1"/>
  <c r="L86" i="25"/>
  <c r="I87" i="25"/>
  <c r="AE87" i="32" s="1"/>
  <c r="J87" i="25"/>
  <c r="AD87" i="25" s="1"/>
  <c r="L87" i="25"/>
  <c r="I88" i="25"/>
  <c r="AE88" i="32" s="1"/>
  <c r="J88" i="25"/>
  <c r="L88" i="25"/>
  <c r="I89" i="25"/>
  <c r="AE89" i="32" s="1"/>
  <c r="J89" i="25"/>
  <c r="L89" i="25"/>
  <c r="I90" i="25"/>
  <c r="AE90" i="32" s="1"/>
  <c r="J90" i="25"/>
  <c r="L90" i="25"/>
  <c r="AD90" i="25"/>
  <c r="J91" i="25"/>
  <c r="L91" i="25"/>
  <c r="I92" i="25"/>
  <c r="AE92" i="32" s="1"/>
  <c r="J92" i="25"/>
  <c r="L92" i="25"/>
  <c r="AD92" i="25"/>
  <c r="I93" i="25"/>
  <c r="AE93" i="32" s="1"/>
  <c r="J93" i="25"/>
  <c r="L93" i="25"/>
  <c r="I94" i="25"/>
  <c r="AE94" i="32" s="1"/>
  <c r="Z94" i="32" s="1"/>
  <c r="J94" i="25"/>
  <c r="AD94" i="25" s="1"/>
  <c r="L94" i="25"/>
  <c r="I95" i="25"/>
  <c r="AE95" i="32" s="1"/>
  <c r="J95" i="25"/>
  <c r="AD95" i="25" s="1"/>
  <c r="L95" i="25"/>
  <c r="J96" i="25"/>
  <c r="L96" i="25"/>
  <c r="I97" i="25"/>
  <c r="AE97" i="32" s="1"/>
  <c r="J97" i="25"/>
  <c r="L97" i="25"/>
  <c r="I98" i="25"/>
  <c r="AE98" i="32" s="1"/>
  <c r="J98" i="25"/>
  <c r="L98" i="25"/>
  <c r="AD98" i="25"/>
  <c r="I99" i="25"/>
  <c r="AE99" i="32" s="1"/>
  <c r="J99" i="25"/>
  <c r="L99" i="25"/>
  <c r="I100" i="25"/>
  <c r="AE100" i="32" s="1"/>
  <c r="Z100" i="32" s="1"/>
  <c r="J100" i="25"/>
  <c r="L100" i="25"/>
  <c r="AD100" i="25"/>
  <c r="I101" i="25"/>
  <c r="AE101" i="32" s="1"/>
  <c r="J101" i="25"/>
  <c r="L101" i="25"/>
  <c r="I102" i="25"/>
  <c r="AE102" i="32" s="1"/>
  <c r="J102" i="25"/>
  <c r="AD102" i="25" s="1"/>
  <c r="L102" i="25"/>
  <c r="I103" i="25"/>
  <c r="AE103" i="32" s="1"/>
  <c r="J103" i="25"/>
  <c r="AD103" i="25" s="1"/>
  <c r="L103" i="25"/>
  <c r="I104" i="25"/>
  <c r="AE104" i="32" s="1"/>
  <c r="J104" i="25"/>
  <c r="AD104" i="25" s="1"/>
  <c r="L104" i="25"/>
  <c r="I105" i="25"/>
  <c r="AE105" i="32" s="1"/>
  <c r="J105" i="25"/>
  <c r="AD105" i="25" s="1"/>
  <c r="L105" i="25"/>
  <c r="I106" i="25"/>
  <c r="AE106" i="32" s="1"/>
  <c r="J106" i="25"/>
  <c r="L106" i="25"/>
  <c r="AD106" i="25" s="1"/>
  <c r="I107" i="25"/>
  <c r="AE107" i="32" s="1"/>
  <c r="J107" i="25"/>
  <c r="L107" i="25"/>
  <c r="I108" i="25"/>
  <c r="AE108" i="32" s="1"/>
  <c r="J108" i="25"/>
  <c r="L108" i="25"/>
  <c r="AD108" i="25"/>
  <c r="I109" i="25"/>
  <c r="AE109" i="32" s="1"/>
  <c r="J109" i="25"/>
  <c r="AD109" i="25" s="1"/>
  <c r="L109" i="25"/>
  <c r="I110" i="25"/>
  <c r="AE110" i="32" s="1"/>
  <c r="Z110" i="32" s="1"/>
  <c r="J110" i="25"/>
  <c r="AD110" i="25" s="1"/>
  <c r="L110" i="25"/>
  <c r="I111" i="25"/>
  <c r="AE111" i="32" s="1"/>
  <c r="J111" i="25"/>
  <c r="AD111" i="25" s="1"/>
  <c r="L111" i="25"/>
  <c r="I112" i="25"/>
  <c r="AE112" i="32" s="1"/>
  <c r="J112" i="25"/>
  <c r="AD112" i="25" s="1"/>
  <c r="L112" i="25"/>
  <c r="I113" i="25"/>
  <c r="AE113" i="32" s="1"/>
  <c r="J113" i="25"/>
  <c r="L113" i="25"/>
  <c r="I114" i="25"/>
  <c r="AE114" i="32" s="1"/>
  <c r="J114" i="25"/>
  <c r="L114" i="25"/>
  <c r="AD114" i="25"/>
  <c r="I115" i="25"/>
  <c r="AE115" i="32" s="1"/>
  <c r="J115" i="25"/>
  <c r="L115" i="25"/>
  <c r="I116" i="25"/>
  <c r="AE116" i="32" s="1"/>
  <c r="Z116" i="32" s="1"/>
  <c r="J116" i="25"/>
  <c r="L116" i="25"/>
  <c r="AD116" i="25"/>
  <c r="I117" i="25"/>
  <c r="AE117" i="32" s="1"/>
  <c r="J117" i="25"/>
  <c r="AD117" i="25" s="1"/>
  <c r="L117" i="25"/>
  <c r="I118" i="25"/>
  <c r="AE118" i="32" s="1"/>
  <c r="J118" i="25"/>
  <c r="AD118" i="25" s="1"/>
  <c r="L118" i="25"/>
  <c r="I119" i="25"/>
  <c r="AE119" i="32" s="1"/>
  <c r="J119" i="25"/>
  <c r="AD119" i="25" s="1"/>
  <c r="L119" i="25"/>
  <c r="I120" i="25"/>
  <c r="AE120" i="32" s="1"/>
  <c r="J120" i="25"/>
  <c r="AD120" i="25" s="1"/>
  <c r="L120" i="25"/>
  <c r="I121" i="25"/>
  <c r="AE121" i="32" s="1"/>
  <c r="J121" i="25"/>
  <c r="AD121" i="25" s="1"/>
  <c r="L121" i="25"/>
  <c r="I122" i="25"/>
  <c r="AE122" i="32" s="1"/>
  <c r="J122" i="25"/>
  <c r="L122" i="25"/>
  <c r="AD122" i="25" s="1"/>
  <c r="I123" i="25"/>
  <c r="AE123" i="32" s="1"/>
  <c r="J123" i="25"/>
  <c r="L123" i="25"/>
  <c r="I124" i="25"/>
  <c r="AE124" i="32" s="1"/>
  <c r="J124" i="25"/>
  <c r="L124" i="25"/>
  <c r="AD124" i="25"/>
  <c r="I125" i="25"/>
  <c r="AE125" i="32" s="1"/>
  <c r="J125" i="25"/>
  <c r="AD125" i="25" s="1"/>
  <c r="L125" i="25"/>
  <c r="I126" i="25"/>
  <c r="AE126" i="32" s="1"/>
  <c r="Z126" i="32" s="1"/>
  <c r="J126" i="25"/>
  <c r="AD126" i="25" s="1"/>
  <c r="L126" i="25"/>
  <c r="I127" i="25"/>
  <c r="AE127" i="32" s="1"/>
  <c r="J127" i="25"/>
  <c r="AD127" i="25" s="1"/>
  <c r="L127" i="25"/>
  <c r="I128" i="25"/>
  <c r="AE128" i="32" s="1"/>
  <c r="J128" i="25"/>
  <c r="AD128" i="25" s="1"/>
  <c r="L128" i="25"/>
  <c r="I129" i="25"/>
  <c r="AE129" i="32" s="1"/>
  <c r="J129" i="25"/>
  <c r="L129" i="25"/>
  <c r="I130" i="25"/>
  <c r="AE130" i="32" s="1"/>
  <c r="J130" i="25"/>
  <c r="L130" i="25"/>
  <c r="AD130" i="25"/>
  <c r="I131" i="25"/>
  <c r="AE131" i="32" s="1"/>
  <c r="J131" i="25"/>
  <c r="L131" i="25"/>
  <c r="I132" i="25"/>
  <c r="AE132" i="32" s="1"/>
  <c r="Z132" i="32" s="1"/>
  <c r="J132" i="25"/>
  <c r="L132" i="25"/>
  <c r="AD132" i="25"/>
  <c r="I133" i="25"/>
  <c r="AE133" i="32" s="1"/>
  <c r="J133" i="25"/>
  <c r="AD133" i="25" s="1"/>
  <c r="L133" i="25"/>
  <c r="I134" i="25"/>
  <c r="AE134" i="32" s="1"/>
  <c r="J134" i="25"/>
  <c r="AD134" i="25" s="1"/>
  <c r="L134" i="25"/>
  <c r="J135" i="25"/>
  <c r="AD135" i="25" s="1"/>
  <c r="L135" i="25"/>
  <c r="I136" i="25"/>
  <c r="AE136" i="32" s="1"/>
  <c r="J136" i="25"/>
  <c r="AD136" i="25" s="1"/>
  <c r="L136" i="25"/>
  <c r="I137" i="25"/>
  <c r="AE137" i="32" s="1"/>
  <c r="J137" i="25"/>
  <c r="AD137" i="25" s="1"/>
  <c r="L137" i="25"/>
  <c r="J138" i="25"/>
  <c r="L138" i="25"/>
  <c r="AD138" i="25" s="1"/>
  <c r="I139" i="25"/>
  <c r="AE139" i="32" s="1"/>
  <c r="J139" i="25"/>
  <c r="L139" i="25"/>
  <c r="I140" i="25"/>
  <c r="AE140" i="32" s="1"/>
  <c r="J140" i="25"/>
  <c r="L140" i="25"/>
  <c r="AD140" i="25"/>
  <c r="I141" i="25"/>
  <c r="AE141" i="32" s="1"/>
  <c r="J141" i="25"/>
  <c r="AD141" i="25" s="1"/>
  <c r="L141" i="25"/>
  <c r="I142" i="25"/>
  <c r="AE142" i="32" s="1"/>
  <c r="Z142" i="32" s="1"/>
  <c r="J142" i="25"/>
  <c r="AD142" i="25" s="1"/>
  <c r="L142" i="25"/>
  <c r="I143" i="25"/>
  <c r="AE143" i="32" s="1"/>
  <c r="J143" i="25"/>
  <c r="AD143" i="25" s="1"/>
  <c r="L143" i="25"/>
  <c r="I144" i="25"/>
  <c r="AE144" i="32" s="1"/>
  <c r="J144" i="25"/>
  <c r="L144" i="25"/>
  <c r="I145" i="25"/>
  <c r="AE145" i="32" s="1"/>
  <c r="J145" i="25"/>
  <c r="AD145" i="25" s="1"/>
  <c r="L145" i="25"/>
  <c r="I146" i="25"/>
  <c r="AE146" i="32" s="1"/>
  <c r="J146" i="25"/>
  <c r="L146" i="25"/>
  <c r="AD146" i="25" s="1"/>
  <c r="I147" i="25"/>
  <c r="AE147" i="32" s="1"/>
  <c r="J147" i="25"/>
  <c r="L147" i="25"/>
  <c r="I148" i="25"/>
  <c r="AE148" i="32" s="1"/>
  <c r="J148" i="25"/>
  <c r="L148" i="25"/>
  <c r="AD148" i="25"/>
  <c r="I149" i="25"/>
  <c r="AE149" i="32" s="1"/>
  <c r="J149" i="25"/>
  <c r="AD149" i="25" s="1"/>
  <c r="L149" i="25"/>
  <c r="I150" i="25"/>
  <c r="AE150" i="32" s="1"/>
  <c r="Z150" i="32" s="1"/>
  <c r="J150" i="25"/>
  <c r="AD150" i="25" s="1"/>
  <c r="L150" i="25"/>
  <c r="I151" i="25"/>
  <c r="AE151" i="32" s="1"/>
  <c r="J151" i="25"/>
  <c r="AD151" i="25" s="1"/>
  <c r="L151" i="25"/>
  <c r="I152" i="25"/>
  <c r="AE152" i="32" s="1"/>
  <c r="J152" i="25"/>
  <c r="AD152" i="25" s="1"/>
  <c r="L152" i="25"/>
  <c r="I153" i="25"/>
  <c r="AE153" i="32" s="1"/>
  <c r="J153" i="25"/>
  <c r="AD153" i="25" s="1"/>
  <c r="L153" i="25"/>
  <c r="I154" i="25"/>
  <c r="AE154" i="32" s="1"/>
  <c r="J154" i="25"/>
  <c r="L154" i="25"/>
  <c r="AD154" i="25" s="1"/>
  <c r="I155" i="25"/>
  <c r="AE155" i="32" s="1"/>
  <c r="J155" i="25"/>
  <c r="L155" i="25"/>
  <c r="I156" i="25"/>
  <c r="AE156" i="32" s="1"/>
  <c r="J156" i="25"/>
  <c r="L156" i="25"/>
  <c r="AD156" i="25"/>
  <c r="I157" i="25"/>
  <c r="AE157" i="32" s="1"/>
  <c r="J157" i="25"/>
  <c r="AD157" i="25" s="1"/>
  <c r="L157" i="25"/>
  <c r="I158" i="25"/>
  <c r="AE158" i="32" s="1"/>
  <c r="J158" i="25"/>
  <c r="AD158" i="25" s="1"/>
  <c r="L158" i="25"/>
  <c r="I159" i="25"/>
  <c r="AE159" i="32" s="1"/>
  <c r="J159" i="25"/>
  <c r="AD159" i="25" s="1"/>
  <c r="L159" i="25"/>
  <c r="I160" i="25"/>
  <c r="AE160" i="32" s="1"/>
  <c r="J160" i="25"/>
  <c r="AD160" i="25" s="1"/>
  <c r="L160" i="25"/>
  <c r="I161" i="25"/>
  <c r="AE161" i="32" s="1"/>
  <c r="J161" i="25"/>
  <c r="AD161" i="25" s="1"/>
  <c r="L161" i="25"/>
  <c r="I162" i="25"/>
  <c r="AE162" i="32" s="1"/>
  <c r="J162" i="25"/>
  <c r="L162" i="25"/>
  <c r="AD162" i="25" s="1"/>
  <c r="I163" i="25"/>
  <c r="AE163" i="32" s="1"/>
  <c r="J163" i="25"/>
  <c r="L163" i="25"/>
  <c r="I164" i="25"/>
  <c r="AE164" i="32" s="1"/>
  <c r="J164" i="25"/>
  <c r="L164" i="25"/>
  <c r="AD164" i="25"/>
  <c r="I165" i="25"/>
  <c r="AE165" i="32" s="1"/>
  <c r="J165" i="25"/>
  <c r="AD165" i="25" s="1"/>
  <c r="L165" i="25"/>
  <c r="I166" i="25"/>
  <c r="AE166" i="32" s="1"/>
  <c r="J166" i="25"/>
  <c r="AD166" i="25" s="1"/>
  <c r="L166" i="25"/>
  <c r="I167" i="25"/>
  <c r="AE167" i="32" s="1"/>
  <c r="J167" i="25"/>
  <c r="AD167" i="25" s="1"/>
  <c r="L167" i="25"/>
  <c r="I168" i="25"/>
  <c r="AE168" i="32" s="1"/>
  <c r="J168" i="25"/>
  <c r="AD168" i="25" s="1"/>
  <c r="L168" i="25"/>
  <c r="I169" i="25"/>
  <c r="AE169" i="32" s="1"/>
  <c r="J169" i="25"/>
  <c r="AD169" i="25" s="1"/>
  <c r="L169" i="25"/>
  <c r="I170" i="25"/>
  <c r="AE170" i="32" s="1"/>
  <c r="J170" i="25"/>
  <c r="L170" i="25"/>
  <c r="AD170" i="25" s="1"/>
  <c r="I171" i="25"/>
  <c r="AE171" i="32" s="1"/>
  <c r="J171" i="25"/>
  <c r="L171" i="25"/>
  <c r="I172" i="25"/>
  <c r="AE172" i="32" s="1"/>
  <c r="J172" i="25"/>
  <c r="L172" i="25"/>
  <c r="AD172" i="25"/>
  <c r="I173" i="25"/>
  <c r="AE173" i="32" s="1"/>
  <c r="J173" i="25"/>
  <c r="AD173" i="25" s="1"/>
  <c r="L173" i="25"/>
  <c r="I174" i="25"/>
  <c r="AE174" i="32" s="1"/>
  <c r="J174" i="25"/>
  <c r="AD174" i="25" s="1"/>
  <c r="L174" i="25"/>
  <c r="I175" i="25"/>
  <c r="AE175" i="32" s="1"/>
  <c r="J175" i="25"/>
  <c r="AD175" i="25" s="1"/>
  <c r="L175" i="25"/>
  <c r="I176" i="25"/>
  <c r="AE176" i="32" s="1"/>
  <c r="J176" i="25"/>
  <c r="AD176" i="25" s="1"/>
  <c r="L176" i="25"/>
  <c r="I177" i="25"/>
  <c r="AE177" i="32" s="1"/>
  <c r="J177" i="25"/>
  <c r="L177" i="25"/>
  <c r="I178" i="25"/>
  <c r="AE178" i="32" s="1"/>
  <c r="J178" i="25"/>
  <c r="AD178" i="25" s="1"/>
  <c r="L178" i="25"/>
  <c r="I179" i="25"/>
  <c r="AE179" i="32" s="1"/>
  <c r="J179" i="25"/>
  <c r="AD179" i="25" s="1"/>
  <c r="L179" i="25"/>
  <c r="I180" i="25"/>
  <c r="AE180" i="32" s="1"/>
  <c r="J180" i="25"/>
  <c r="AD180" i="25" s="1"/>
  <c r="L180" i="25"/>
  <c r="I181" i="25"/>
  <c r="AE181" i="32" s="1"/>
  <c r="J181" i="25"/>
  <c r="L181" i="25"/>
  <c r="I182" i="25"/>
  <c r="AE182" i="32" s="1"/>
  <c r="J182" i="25"/>
  <c r="AD182" i="25" s="1"/>
  <c r="L182" i="25"/>
  <c r="I183" i="25"/>
  <c r="AE183" i="32" s="1"/>
  <c r="J183" i="25"/>
  <c r="AD183" i="25" s="1"/>
  <c r="L183" i="25"/>
  <c r="J184" i="25"/>
  <c r="AD184" i="25" s="1"/>
  <c r="L184" i="25"/>
  <c r="I185" i="25"/>
  <c r="AE185" i="32" s="1"/>
  <c r="J185" i="25"/>
  <c r="L185" i="25"/>
  <c r="I186" i="25"/>
  <c r="AE186" i="32" s="1"/>
  <c r="J186" i="25"/>
  <c r="AD186" i="25" s="1"/>
  <c r="L186" i="25"/>
  <c r="I187" i="25"/>
  <c r="AE187" i="32" s="1"/>
  <c r="J187" i="25"/>
  <c r="AD187" i="25" s="1"/>
  <c r="L187" i="25"/>
  <c r="I188" i="25"/>
  <c r="AE188" i="32" s="1"/>
  <c r="J188" i="25"/>
  <c r="AD188" i="25" s="1"/>
  <c r="L188" i="25"/>
  <c r="I189" i="25"/>
  <c r="AE189" i="32" s="1"/>
  <c r="J189" i="25"/>
  <c r="L189" i="25"/>
  <c r="I190" i="25"/>
  <c r="AE190" i="32" s="1"/>
  <c r="J190" i="25"/>
  <c r="AD190" i="25" s="1"/>
  <c r="L190" i="25"/>
  <c r="I191" i="25"/>
  <c r="AE191" i="32" s="1"/>
  <c r="J191" i="25"/>
  <c r="AD191" i="25" s="1"/>
  <c r="L191" i="25"/>
  <c r="I192" i="25"/>
  <c r="AE192" i="32" s="1"/>
  <c r="J192" i="25"/>
  <c r="L192" i="25"/>
  <c r="I193" i="25"/>
  <c r="AE193" i="32" s="1"/>
  <c r="J193" i="25"/>
  <c r="L193" i="25"/>
  <c r="I194" i="25"/>
  <c r="AE194" i="32" s="1"/>
  <c r="J194" i="25"/>
  <c r="AD194" i="25" s="1"/>
  <c r="L194" i="25"/>
  <c r="I195" i="25"/>
  <c r="AE195" i="32" s="1"/>
  <c r="J195" i="25"/>
  <c r="AD195" i="25" s="1"/>
  <c r="L195" i="25"/>
  <c r="I196" i="25"/>
  <c r="AE196" i="32" s="1"/>
  <c r="J196" i="25"/>
  <c r="L196" i="25"/>
  <c r="I197" i="25"/>
  <c r="AE197" i="32" s="1"/>
  <c r="J197" i="25"/>
  <c r="L197" i="25"/>
  <c r="I198" i="25"/>
  <c r="AE198" i="32" s="1"/>
  <c r="J198" i="25"/>
  <c r="AD198" i="25" s="1"/>
  <c r="L198" i="25"/>
  <c r="I199" i="25"/>
  <c r="AE199" i="32" s="1"/>
  <c r="J199" i="25"/>
  <c r="AD199" i="25" s="1"/>
  <c r="L199" i="25"/>
  <c r="I200" i="25"/>
  <c r="AE200" i="32" s="1"/>
  <c r="J200" i="25"/>
  <c r="L200" i="25"/>
  <c r="I201" i="25"/>
  <c r="AE201" i="32" s="1"/>
  <c r="J201" i="25"/>
  <c r="L201" i="25"/>
  <c r="I202" i="25"/>
  <c r="AE202" i="32" s="1"/>
  <c r="J202" i="25"/>
  <c r="AD202" i="25" s="1"/>
  <c r="L202" i="25"/>
  <c r="I203" i="25"/>
  <c r="AE203" i="32" s="1"/>
  <c r="J203" i="25"/>
  <c r="AD203" i="25" s="1"/>
  <c r="L203" i="25"/>
  <c r="I204" i="25"/>
  <c r="AE204" i="32" s="1"/>
  <c r="J204" i="25"/>
  <c r="L204" i="25"/>
  <c r="I205" i="25"/>
  <c r="AE205" i="32" s="1"/>
  <c r="J205" i="25"/>
  <c r="L205" i="25"/>
  <c r="I206" i="25"/>
  <c r="AE206" i="32" s="1"/>
  <c r="J206" i="25"/>
  <c r="AD206" i="25" s="1"/>
  <c r="L206" i="25"/>
  <c r="I207" i="25"/>
  <c r="AE207" i="32" s="1"/>
  <c r="J207" i="25"/>
  <c r="AD207" i="25" s="1"/>
  <c r="L207" i="25"/>
  <c r="I208" i="25"/>
  <c r="AE208" i="32" s="1"/>
  <c r="J208" i="25"/>
  <c r="L208" i="25"/>
  <c r="I209" i="25"/>
  <c r="AE209" i="32" s="1"/>
  <c r="J209" i="25"/>
  <c r="L209" i="25"/>
  <c r="I210" i="25"/>
  <c r="AE210" i="32" s="1"/>
  <c r="J210" i="25"/>
  <c r="AD210" i="25" s="1"/>
  <c r="L210" i="25"/>
  <c r="I211" i="25"/>
  <c r="AE211" i="32" s="1"/>
  <c r="J211" i="25"/>
  <c r="AD211" i="25" s="1"/>
  <c r="L211" i="25"/>
  <c r="I212" i="25"/>
  <c r="AE212" i="32" s="1"/>
  <c r="J212" i="25"/>
  <c r="L212" i="25"/>
  <c r="I213" i="25"/>
  <c r="AE213" i="32" s="1"/>
  <c r="J213" i="25"/>
  <c r="L213" i="25"/>
  <c r="I214" i="25"/>
  <c r="AE214" i="32" s="1"/>
  <c r="J214" i="25"/>
  <c r="AD214" i="25" s="1"/>
  <c r="L214" i="25"/>
  <c r="I215" i="25"/>
  <c r="AE215" i="32" s="1"/>
  <c r="J215" i="25"/>
  <c r="AD215" i="25" s="1"/>
  <c r="L215" i="25"/>
  <c r="I216" i="25"/>
  <c r="AE216" i="32" s="1"/>
  <c r="J216" i="25"/>
  <c r="L216" i="25"/>
  <c r="I217" i="25"/>
  <c r="AE217" i="32" s="1"/>
  <c r="J217" i="25"/>
  <c r="L217" i="25"/>
  <c r="I218" i="25"/>
  <c r="AE218" i="32" s="1"/>
  <c r="J218" i="25"/>
  <c r="AD218" i="25" s="1"/>
  <c r="L218" i="25"/>
  <c r="I219" i="25"/>
  <c r="AE219" i="32" s="1"/>
  <c r="J219" i="25"/>
  <c r="AD219" i="25" s="1"/>
  <c r="L219" i="25"/>
  <c r="I220" i="25"/>
  <c r="AE220" i="32" s="1"/>
  <c r="J220" i="25"/>
  <c r="L220" i="25"/>
  <c r="I221" i="25"/>
  <c r="AE221" i="32" s="1"/>
  <c r="J221" i="25"/>
  <c r="L221" i="25"/>
  <c r="I222" i="25"/>
  <c r="AE222" i="32" s="1"/>
  <c r="J222" i="25"/>
  <c r="AD222" i="25" s="1"/>
  <c r="L222" i="25"/>
  <c r="I223" i="25"/>
  <c r="AE223" i="32" s="1"/>
  <c r="J223" i="25"/>
  <c r="AD223" i="25" s="1"/>
  <c r="L223" i="25"/>
  <c r="I224" i="25"/>
  <c r="AE224" i="32" s="1"/>
  <c r="J224" i="25"/>
  <c r="L224" i="25"/>
  <c r="I225" i="25"/>
  <c r="AE225" i="32" s="1"/>
  <c r="J225" i="25"/>
  <c r="L225" i="25"/>
  <c r="I226" i="25"/>
  <c r="AE226" i="32" s="1"/>
  <c r="J226" i="25"/>
  <c r="AD226" i="25" s="1"/>
  <c r="L226" i="25"/>
  <c r="I227" i="25"/>
  <c r="AE227" i="32" s="1"/>
  <c r="J227" i="25"/>
  <c r="AD227" i="25" s="1"/>
  <c r="L227" i="25"/>
  <c r="I228" i="25"/>
  <c r="AE228" i="32" s="1"/>
  <c r="J228" i="25"/>
  <c r="L228" i="25"/>
  <c r="I229" i="25"/>
  <c r="AE229" i="32" s="1"/>
  <c r="J229" i="25"/>
  <c r="L229" i="25"/>
  <c r="I230" i="25"/>
  <c r="AE230" i="32" s="1"/>
  <c r="J230" i="25"/>
  <c r="AD230" i="25" s="1"/>
  <c r="L230" i="25"/>
  <c r="I231" i="25"/>
  <c r="AE231" i="32" s="1"/>
  <c r="J231" i="25"/>
  <c r="AD231" i="25" s="1"/>
  <c r="L231" i="25"/>
  <c r="I232" i="25"/>
  <c r="AE232" i="32" s="1"/>
  <c r="J232" i="25"/>
  <c r="L232" i="25"/>
  <c r="I233" i="25"/>
  <c r="AE233" i="32" s="1"/>
  <c r="J233" i="25"/>
  <c r="L233" i="25"/>
  <c r="I234" i="25"/>
  <c r="AE234" i="32" s="1"/>
  <c r="J234" i="25"/>
  <c r="AD234" i="25" s="1"/>
  <c r="L234" i="25"/>
  <c r="I235" i="25"/>
  <c r="AE235" i="32" s="1"/>
  <c r="J235" i="25"/>
  <c r="AD235" i="25" s="1"/>
  <c r="L235" i="25"/>
  <c r="J236" i="25"/>
  <c r="L236" i="25"/>
  <c r="I237" i="25"/>
  <c r="AE237" i="32" s="1"/>
  <c r="J237" i="25"/>
  <c r="L237" i="25"/>
  <c r="I238" i="25"/>
  <c r="AE238" i="32" s="1"/>
  <c r="J238" i="25"/>
  <c r="AD238" i="25" s="1"/>
  <c r="L238" i="25"/>
  <c r="I239" i="25"/>
  <c r="AE239" i="32" s="1"/>
  <c r="J239" i="25"/>
  <c r="AD239" i="25" s="1"/>
  <c r="L239" i="25"/>
  <c r="I240" i="25"/>
  <c r="AE240" i="32"/>
  <c r="Z240" i="32" s="1"/>
  <c r="J240" i="25"/>
  <c r="AD240" i="25" s="1"/>
  <c r="L240" i="25"/>
  <c r="I241" i="25"/>
  <c r="AE241" i="32" s="1"/>
  <c r="J241" i="25"/>
  <c r="L241" i="25"/>
  <c r="I242" i="25"/>
  <c r="AE242" i="32" s="1"/>
  <c r="J242" i="25"/>
  <c r="AD242" i="25" s="1"/>
  <c r="L242" i="25"/>
  <c r="I243" i="25"/>
  <c r="AE243" i="32" s="1"/>
  <c r="J243" i="25"/>
  <c r="L243" i="25"/>
  <c r="I244" i="25"/>
  <c r="AE244" i="32" s="1"/>
  <c r="J244" i="25"/>
  <c r="L244" i="25"/>
  <c r="AD244" i="25"/>
  <c r="I245" i="25"/>
  <c r="AE245" i="32" s="1"/>
  <c r="J245" i="25"/>
  <c r="L245" i="25"/>
  <c r="AD245" i="25" s="1"/>
  <c r="I246" i="25"/>
  <c r="AE246" i="32" s="1"/>
  <c r="J246" i="25"/>
  <c r="AD246" i="25" s="1"/>
  <c r="L246" i="25"/>
  <c r="I247" i="25"/>
  <c r="AE247" i="32" s="1"/>
  <c r="J247" i="25"/>
  <c r="AD247" i="25" s="1"/>
  <c r="L247" i="25"/>
  <c r="I248" i="25"/>
  <c r="AE248" i="32" s="1"/>
  <c r="J248" i="25"/>
  <c r="L248" i="25"/>
  <c r="I249" i="25"/>
  <c r="AE249" i="32" s="1"/>
  <c r="J249" i="25"/>
  <c r="AD249" i="25" s="1"/>
  <c r="L249" i="25"/>
  <c r="I250" i="25"/>
  <c r="AE250" i="32" s="1"/>
  <c r="J250" i="25"/>
  <c r="L250" i="25"/>
  <c r="I251" i="25"/>
  <c r="AE251" i="32" s="1"/>
  <c r="J251" i="25"/>
  <c r="L251" i="25"/>
  <c r="AD251" i="25"/>
  <c r="I252" i="25"/>
  <c r="AE252" i="32" s="1"/>
  <c r="J252" i="25"/>
  <c r="L252" i="25"/>
  <c r="I253" i="25"/>
  <c r="AE253" i="32" s="1"/>
  <c r="Z253" i="32" s="1"/>
  <c r="J253" i="25"/>
  <c r="AD253" i="25" s="1"/>
  <c r="L253" i="25"/>
  <c r="I254" i="25"/>
  <c r="AE254" i="32" s="1"/>
  <c r="J254" i="25"/>
  <c r="AD254" i="25" s="1"/>
  <c r="L254" i="25"/>
  <c r="I255" i="25"/>
  <c r="AE255" i="32" s="1"/>
  <c r="J255" i="25"/>
  <c r="L255" i="25"/>
  <c r="AD255" i="25" s="1"/>
  <c r="AA255" i="32" s="1"/>
  <c r="I256" i="25"/>
  <c r="AE256" i="32" s="1"/>
  <c r="J256" i="25"/>
  <c r="L256" i="25"/>
  <c r="AD256" i="25" s="1"/>
  <c r="I257" i="25"/>
  <c r="AE257" i="32" s="1"/>
  <c r="J257" i="25"/>
  <c r="AD257" i="25" s="1"/>
  <c r="L257" i="25"/>
  <c r="I258" i="25"/>
  <c r="AE258" i="32" s="1"/>
  <c r="J258" i="25"/>
  <c r="AD258" i="25" s="1"/>
  <c r="L258" i="25"/>
  <c r="I259" i="25"/>
  <c r="AE259" i="32" s="1"/>
  <c r="J259" i="25"/>
  <c r="AD259" i="25" s="1"/>
  <c r="L259" i="25"/>
  <c r="I260" i="25"/>
  <c r="AE260" i="32" s="1"/>
  <c r="J260" i="25"/>
  <c r="L260" i="25"/>
  <c r="AD260" i="25" s="1"/>
  <c r="I261" i="25"/>
  <c r="AE261" i="32" s="1"/>
  <c r="J261" i="25"/>
  <c r="L261" i="25"/>
  <c r="I262" i="25"/>
  <c r="AE262" i="32" s="1"/>
  <c r="J262" i="25"/>
  <c r="AD262" i="25" s="1"/>
  <c r="L262" i="25"/>
  <c r="I263" i="25"/>
  <c r="AE263" i="32"/>
  <c r="J263" i="25"/>
  <c r="L263" i="25"/>
  <c r="I264" i="25"/>
  <c r="AE264" i="32"/>
  <c r="J264" i="25"/>
  <c r="AD264" i="25" s="1"/>
  <c r="L264" i="25"/>
  <c r="I265" i="25"/>
  <c r="AE265" i="32"/>
  <c r="J265" i="25"/>
  <c r="L265" i="25"/>
  <c r="I266" i="25"/>
  <c r="AE266" i="32"/>
  <c r="J266" i="25"/>
  <c r="AD266" i="25" s="1"/>
  <c r="L266" i="25"/>
  <c r="I267" i="25"/>
  <c r="AE267" i="32"/>
  <c r="J267" i="25"/>
  <c r="L267" i="25"/>
  <c r="I268" i="25"/>
  <c r="AE268" i="32"/>
  <c r="J268" i="25"/>
  <c r="AD268" i="25" s="1"/>
  <c r="L268" i="25"/>
  <c r="I269" i="25"/>
  <c r="AE269" i="32"/>
  <c r="J269" i="25"/>
  <c r="L269" i="25"/>
  <c r="I270" i="25"/>
  <c r="AE270" i="32"/>
  <c r="J270" i="25"/>
  <c r="AD270" i="25" s="1"/>
  <c r="L270" i="25"/>
  <c r="I271" i="25"/>
  <c r="AE271" i="32"/>
  <c r="J271" i="25"/>
  <c r="L271" i="25"/>
  <c r="I272" i="25"/>
  <c r="AE272" i="32"/>
  <c r="J272" i="25"/>
  <c r="AD272" i="25" s="1"/>
  <c r="L272" i="25"/>
  <c r="I273" i="25"/>
  <c r="AE273" i="32"/>
  <c r="J273" i="25"/>
  <c r="L273" i="25"/>
  <c r="I274" i="25"/>
  <c r="AE274" i="32"/>
  <c r="J274" i="25"/>
  <c r="AD274" i="25" s="1"/>
  <c r="L274" i="25"/>
  <c r="I275" i="25"/>
  <c r="AE275" i="32"/>
  <c r="J275" i="25"/>
  <c r="L275" i="25"/>
  <c r="I276" i="25"/>
  <c r="AE276" i="32"/>
  <c r="J276" i="25"/>
  <c r="AD276" i="25" s="1"/>
  <c r="L276" i="25"/>
  <c r="I277" i="25"/>
  <c r="AE277" i="32"/>
  <c r="J277" i="25"/>
  <c r="L277" i="25"/>
  <c r="I278" i="25"/>
  <c r="AE278" i="32" s="1"/>
  <c r="J278" i="25"/>
  <c r="AD278" i="25" s="1"/>
  <c r="L278" i="25"/>
  <c r="I279" i="25"/>
  <c r="AE279" i="32" s="1"/>
  <c r="J279" i="25"/>
  <c r="L279" i="25"/>
  <c r="I280" i="25"/>
  <c r="AE280" i="32" s="1"/>
  <c r="J280" i="25"/>
  <c r="AD280" i="25" s="1"/>
  <c r="L280" i="25"/>
  <c r="I281" i="25"/>
  <c r="AE281" i="32" s="1"/>
  <c r="J281" i="25"/>
  <c r="L281" i="25"/>
  <c r="I282" i="25"/>
  <c r="AE282" i="32" s="1"/>
  <c r="J282" i="25"/>
  <c r="AD282" i="25" s="1"/>
  <c r="L282" i="25"/>
  <c r="I283" i="25"/>
  <c r="AE283" i="32" s="1"/>
  <c r="J283" i="25"/>
  <c r="L283" i="25"/>
  <c r="I284" i="25"/>
  <c r="AE284" i="32" s="1"/>
  <c r="J284" i="25"/>
  <c r="AD284" i="25" s="1"/>
  <c r="L284" i="25"/>
  <c r="I285" i="25"/>
  <c r="AE285" i="32" s="1"/>
  <c r="J285" i="25"/>
  <c r="L285" i="25"/>
  <c r="I286" i="25"/>
  <c r="AE286" i="32"/>
  <c r="J286" i="25"/>
  <c r="AD286" i="25" s="1"/>
  <c r="L286" i="25"/>
  <c r="I287" i="25"/>
  <c r="AE287" i="32" s="1"/>
  <c r="J287" i="25"/>
  <c r="L287" i="25"/>
  <c r="I288" i="25"/>
  <c r="AE288" i="32" s="1"/>
  <c r="J288" i="25"/>
  <c r="L288" i="25"/>
  <c r="I289" i="25"/>
  <c r="AE289" i="32" s="1"/>
  <c r="J289" i="25"/>
  <c r="L289" i="25"/>
  <c r="AD289" i="25"/>
  <c r="I290" i="25"/>
  <c r="AE290" i="32" s="1"/>
  <c r="J290" i="25"/>
  <c r="L290" i="25"/>
  <c r="I291" i="25"/>
  <c r="AE291" i="32" s="1"/>
  <c r="J291" i="25"/>
  <c r="AD291" i="25" s="1"/>
  <c r="AA291" i="32" s="1"/>
  <c r="L291" i="25"/>
  <c r="I292" i="25"/>
  <c r="AE292" i="32" s="1"/>
  <c r="J292" i="25"/>
  <c r="AD292" i="25" s="1"/>
  <c r="L292" i="25"/>
  <c r="I293" i="25"/>
  <c r="AE293" i="32" s="1"/>
  <c r="J293" i="25"/>
  <c r="AD293" i="25" s="1"/>
  <c r="L293" i="25"/>
  <c r="I294" i="25"/>
  <c r="AE294" i="32" s="1"/>
  <c r="J294" i="25"/>
  <c r="L294" i="25"/>
  <c r="I295" i="25"/>
  <c r="AE295" i="32" s="1"/>
  <c r="J295" i="25"/>
  <c r="L295" i="25"/>
  <c r="AD295" i="25"/>
  <c r="I296" i="25"/>
  <c r="AE296" i="32" s="1"/>
  <c r="J296" i="25"/>
  <c r="L296" i="25"/>
  <c r="I297" i="25"/>
  <c r="AE297" i="32" s="1"/>
  <c r="Z297" i="32" s="1"/>
  <c r="J297" i="25"/>
  <c r="L297" i="25"/>
  <c r="AD297" i="25"/>
  <c r="I298" i="25"/>
  <c r="AE298" i="32" s="1"/>
  <c r="J298" i="25"/>
  <c r="L298" i="25"/>
  <c r="I299" i="25"/>
  <c r="AE299" i="32" s="1"/>
  <c r="J299" i="25"/>
  <c r="AD299" i="25" s="1"/>
  <c r="AA299" i="32" s="1"/>
  <c r="L299" i="25"/>
  <c r="I300" i="25"/>
  <c r="AE300" i="32" s="1"/>
  <c r="J300" i="25"/>
  <c r="AD300" i="25" s="1"/>
  <c r="L300" i="25"/>
  <c r="I301" i="25"/>
  <c r="AE301" i="32" s="1"/>
  <c r="J301" i="25"/>
  <c r="L301" i="25"/>
  <c r="I302" i="25"/>
  <c r="AE302" i="32" s="1"/>
  <c r="J302" i="25"/>
  <c r="L302" i="25"/>
  <c r="I303" i="25"/>
  <c r="AE303" i="32" s="1"/>
  <c r="J303" i="25"/>
  <c r="AD303" i="25" s="1"/>
  <c r="AA303" i="32" s="1"/>
  <c r="L303" i="25"/>
  <c r="I304" i="25"/>
  <c r="AE304" i="32" s="1"/>
  <c r="J304" i="25"/>
  <c r="AD304" i="25" s="1"/>
  <c r="L304" i="25"/>
  <c r="I305" i="25"/>
  <c r="AE305" i="32" s="1"/>
  <c r="J305" i="25"/>
  <c r="L305" i="25"/>
  <c r="AD305" i="25" s="1"/>
  <c r="AA305" i="32" s="1"/>
  <c r="I306" i="25"/>
  <c r="AE306" i="32" s="1"/>
  <c r="J306" i="25"/>
  <c r="L306" i="25"/>
  <c r="AE307" i="32"/>
  <c r="AE308" i="32"/>
  <c r="AE309" i="32"/>
  <c r="AE310" i="32"/>
  <c r="AE311" i="32"/>
  <c r="AE312" i="32"/>
  <c r="AE313" i="32"/>
  <c r="AE314" i="32"/>
  <c r="AE315" i="32"/>
  <c r="AE316" i="32"/>
  <c r="AE317" i="32"/>
  <c r="AE318" i="32"/>
  <c r="AE319" i="32"/>
  <c r="AE320" i="32"/>
  <c r="AE321" i="32"/>
  <c r="AE322" i="32"/>
  <c r="AE323" i="32"/>
  <c r="AE324" i="32"/>
  <c r="AE325" i="32"/>
  <c r="AE326" i="32"/>
  <c r="AE327" i="32"/>
  <c r="AE328" i="32"/>
  <c r="AE329" i="32"/>
  <c r="AE330" i="32"/>
  <c r="AE331" i="32"/>
  <c r="AE332" i="32"/>
  <c r="AE333" i="32"/>
  <c r="AE334" i="32"/>
  <c r="AE335" i="32"/>
  <c r="AE336" i="32"/>
  <c r="AE337" i="32"/>
  <c r="AE338" i="32"/>
  <c r="AE339" i="32"/>
  <c r="AE340" i="32"/>
  <c r="AE341" i="32"/>
  <c r="AE342" i="32"/>
  <c r="AE343" i="32"/>
  <c r="AE344" i="32"/>
  <c r="AE345" i="32"/>
  <c r="AE346" i="32"/>
  <c r="AE347" i="32"/>
  <c r="AE348" i="32"/>
  <c r="AE349" i="32"/>
  <c r="AE350" i="32"/>
  <c r="AE351" i="32"/>
  <c r="AE352" i="32"/>
  <c r="AE353" i="32"/>
  <c r="AE354" i="32"/>
  <c r="AE355" i="32"/>
  <c r="AE356" i="32"/>
  <c r="AE357" i="32"/>
  <c r="AE358" i="32"/>
  <c r="AE359" i="32"/>
  <c r="AE360" i="32"/>
  <c r="AE361" i="32"/>
  <c r="AE362" i="32"/>
  <c r="AE363" i="32"/>
  <c r="AE364" i="32"/>
  <c r="AE365" i="32"/>
  <c r="AE366" i="32"/>
  <c r="AE367" i="32"/>
  <c r="AE368" i="32"/>
  <c r="AE369" i="32"/>
  <c r="AE370" i="32"/>
  <c r="AE371" i="32"/>
  <c r="AE372" i="32"/>
  <c r="AE373" i="32"/>
  <c r="AE374" i="32"/>
  <c r="AE375" i="32"/>
  <c r="AE376" i="32"/>
  <c r="AE377" i="32"/>
  <c r="AE378" i="32"/>
  <c r="AE379" i="32"/>
  <c r="AE380" i="32"/>
  <c r="AE381" i="32"/>
  <c r="AE382" i="32"/>
  <c r="AE383" i="32"/>
  <c r="AE384" i="32"/>
  <c r="AE385" i="32"/>
  <c r="AE386" i="32"/>
  <c r="AE387" i="32"/>
  <c r="AE388" i="32"/>
  <c r="AE389" i="32"/>
  <c r="AE390" i="32"/>
  <c r="AE391" i="32"/>
  <c r="AE392" i="32"/>
  <c r="AE393" i="32"/>
  <c r="AE394" i="32"/>
  <c r="AE395" i="32"/>
  <c r="AE396" i="32"/>
  <c r="AE397" i="32"/>
  <c r="AE398" i="32"/>
  <c r="AE399" i="32"/>
  <c r="AE400" i="32"/>
  <c r="AE401" i="32"/>
  <c r="AE402" i="32"/>
  <c r="AE403" i="32"/>
  <c r="AE404" i="32"/>
  <c r="AE405" i="32"/>
  <c r="AE406" i="32"/>
  <c r="AE407" i="32"/>
  <c r="AE408" i="32"/>
  <c r="AE409" i="32"/>
  <c r="AE410" i="32"/>
  <c r="AE411" i="32"/>
  <c r="AE412" i="32"/>
  <c r="AE413" i="32"/>
  <c r="AE414" i="32"/>
  <c r="AE415" i="32"/>
  <c r="AE416" i="32"/>
  <c r="AE417" i="32"/>
  <c r="AE418" i="32"/>
  <c r="AE419" i="32"/>
  <c r="AE420" i="32"/>
  <c r="AE421" i="32"/>
  <c r="AE422" i="32"/>
  <c r="AE423" i="32"/>
  <c r="AE424" i="32"/>
  <c r="AE425" i="32"/>
  <c r="AE426" i="32"/>
  <c r="AE427" i="32"/>
  <c r="AE428" i="32"/>
  <c r="AE429" i="32"/>
  <c r="AE430" i="32"/>
  <c r="AE431" i="32"/>
  <c r="AE432" i="32"/>
  <c r="AE433" i="32"/>
  <c r="AE434" i="32"/>
  <c r="AE435" i="32"/>
  <c r="AE436" i="32"/>
  <c r="AE437" i="32"/>
  <c r="AE438" i="32"/>
  <c r="AE439" i="32"/>
  <c r="AE440" i="32"/>
  <c r="AE441" i="32"/>
  <c r="AE442" i="32"/>
  <c r="AE443" i="32"/>
  <c r="AE444" i="32"/>
  <c r="AE445" i="32"/>
  <c r="AE446" i="32"/>
  <c r="AE447" i="32"/>
  <c r="AE448" i="32"/>
  <c r="AE449" i="32"/>
  <c r="AE450" i="32"/>
  <c r="AE451" i="32"/>
  <c r="AE452" i="32"/>
  <c r="AE453" i="32"/>
  <c r="AE454" i="32"/>
  <c r="AE455" i="32"/>
  <c r="AE456" i="32"/>
  <c r="AE457" i="32"/>
  <c r="AE458" i="32"/>
  <c r="AE459" i="32"/>
  <c r="AE460" i="32"/>
  <c r="AE461" i="32"/>
  <c r="AE462" i="32"/>
  <c r="AE463" i="32"/>
  <c r="AE464" i="32"/>
  <c r="AE465" i="32"/>
  <c r="AE466" i="32"/>
  <c r="AE467" i="32"/>
  <c r="AE468" i="32"/>
  <c r="AE469" i="32"/>
  <c r="AE470" i="32"/>
  <c r="AE471" i="32"/>
  <c r="AE472" i="32"/>
  <c r="AE473" i="32"/>
  <c r="AE474" i="32"/>
  <c r="AE475" i="32"/>
  <c r="AE476" i="32"/>
  <c r="AE477" i="32"/>
  <c r="AE478" i="32"/>
  <c r="AE479" i="32"/>
  <c r="AE480" i="32"/>
  <c r="AE481" i="32"/>
  <c r="AE482" i="32"/>
  <c r="AE483" i="32"/>
  <c r="AE484" i="32"/>
  <c r="AE485" i="32"/>
  <c r="AE486" i="32"/>
  <c r="AE487" i="32"/>
  <c r="AE488" i="32"/>
  <c r="AE489" i="32"/>
  <c r="AE490" i="32"/>
  <c r="AE491" i="32"/>
  <c r="AE492" i="32"/>
  <c r="AE493" i="32"/>
  <c r="AE494" i="32"/>
  <c r="AE495" i="32"/>
  <c r="AE496" i="32"/>
  <c r="AE497" i="32"/>
  <c r="AE498" i="32"/>
  <c r="AE499" i="32"/>
  <c r="AE500" i="32"/>
  <c r="AE501" i="32"/>
  <c r="AF501" i="32"/>
  <c r="AH500" i="32"/>
  <c r="AO500" i="32" s="1"/>
  <c r="AG500" i="32"/>
  <c r="AN500" i="32" s="1"/>
  <c r="AF500" i="32"/>
  <c r="AH499" i="32"/>
  <c r="AO499" i="32" s="1"/>
  <c r="AG499" i="32"/>
  <c r="AN499" i="32" s="1"/>
  <c r="AF499" i="32"/>
  <c r="AH498" i="32"/>
  <c r="AO498" i="32" s="1"/>
  <c r="AG498" i="32"/>
  <c r="AN498" i="32" s="1"/>
  <c r="AF498" i="32"/>
  <c r="AH497" i="32"/>
  <c r="AO497" i="32" s="1"/>
  <c r="AG497" i="32"/>
  <c r="AN497" i="32" s="1"/>
  <c r="AF497" i="32"/>
  <c r="AH496" i="32"/>
  <c r="AO496" i="32" s="1"/>
  <c r="AG496" i="32"/>
  <c r="AN496" i="32" s="1"/>
  <c r="AF496" i="32"/>
  <c r="AH495" i="32"/>
  <c r="AO495" i="32" s="1"/>
  <c r="AG495" i="32"/>
  <c r="AN495" i="32" s="1"/>
  <c r="AF495" i="32"/>
  <c r="AH494" i="32"/>
  <c r="AO494" i="32" s="1"/>
  <c r="AG494" i="32"/>
  <c r="AN494" i="32" s="1"/>
  <c r="AF494" i="32"/>
  <c r="AH493" i="32"/>
  <c r="AO493" i="32" s="1"/>
  <c r="AG493" i="32"/>
  <c r="AN493" i="32" s="1"/>
  <c r="AF493" i="32"/>
  <c r="AH492" i="32"/>
  <c r="AO492" i="32" s="1"/>
  <c r="AG492" i="32"/>
  <c r="AN492" i="32" s="1"/>
  <c r="AF492" i="32"/>
  <c r="AH491" i="32"/>
  <c r="AO491" i="32" s="1"/>
  <c r="AG491" i="32"/>
  <c r="AN491" i="32" s="1"/>
  <c r="AF491" i="32"/>
  <c r="AH490" i="32"/>
  <c r="AO490" i="32" s="1"/>
  <c r="AG490" i="32"/>
  <c r="AN490" i="32" s="1"/>
  <c r="AF490" i="32"/>
  <c r="AH489" i="32"/>
  <c r="AO489" i="32" s="1"/>
  <c r="AG489" i="32"/>
  <c r="AN489" i="32" s="1"/>
  <c r="AF489" i="32"/>
  <c r="AH488" i="32"/>
  <c r="AO488" i="32" s="1"/>
  <c r="AG488" i="32"/>
  <c r="AN488" i="32" s="1"/>
  <c r="AF488" i="32"/>
  <c r="AH487" i="32"/>
  <c r="AO487" i="32" s="1"/>
  <c r="AG487" i="32"/>
  <c r="AN487" i="32" s="1"/>
  <c r="AF487" i="32"/>
  <c r="AH486" i="32"/>
  <c r="AO486" i="32" s="1"/>
  <c r="AG486" i="32"/>
  <c r="AN486" i="32" s="1"/>
  <c r="AF486" i="32"/>
  <c r="AH485" i="32"/>
  <c r="AO485" i="32" s="1"/>
  <c r="AG485" i="32"/>
  <c r="AN485" i="32" s="1"/>
  <c r="AF485" i="32"/>
  <c r="AH484" i="32"/>
  <c r="AO484" i="32" s="1"/>
  <c r="AG484" i="32"/>
  <c r="AN484" i="32" s="1"/>
  <c r="AF484" i="32"/>
  <c r="AH483" i="32"/>
  <c r="AO483" i="32" s="1"/>
  <c r="AG483" i="32"/>
  <c r="AN483" i="32" s="1"/>
  <c r="AF483" i="32"/>
  <c r="AH482" i="32"/>
  <c r="AO482" i="32" s="1"/>
  <c r="AG482" i="32"/>
  <c r="AN482" i="32" s="1"/>
  <c r="AF482" i="32"/>
  <c r="AH481" i="32"/>
  <c r="AO481" i="32" s="1"/>
  <c r="AG481" i="32"/>
  <c r="AN481" i="32" s="1"/>
  <c r="AF481" i="32"/>
  <c r="AH480" i="32"/>
  <c r="AO480" i="32" s="1"/>
  <c r="AG480" i="32"/>
  <c r="AN480" i="32" s="1"/>
  <c r="AF480" i="32"/>
  <c r="AH479" i="32"/>
  <c r="AO479" i="32" s="1"/>
  <c r="AG479" i="32"/>
  <c r="AN479" i="32" s="1"/>
  <c r="AF479" i="32"/>
  <c r="AH478" i="32"/>
  <c r="AO478" i="32"/>
  <c r="AG478" i="32"/>
  <c r="AN478" i="32" s="1"/>
  <c r="AF478" i="32"/>
  <c r="AH477" i="32"/>
  <c r="AO477" i="32"/>
  <c r="AG477" i="32"/>
  <c r="AN477" i="32" s="1"/>
  <c r="AF477" i="32"/>
  <c r="AH476" i="32"/>
  <c r="AO476" i="32"/>
  <c r="AG476" i="32"/>
  <c r="AN476" i="32" s="1"/>
  <c r="AF476" i="32"/>
  <c r="AH475" i="32"/>
  <c r="AO475" i="32"/>
  <c r="AG475" i="32"/>
  <c r="AN475" i="32" s="1"/>
  <c r="AF475" i="32"/>
  <c r="AH474" i="32"/>
  <c r="AO474" i="32"/>
  <c r="AG474" i="32"/>
  <c r="AN474" i="32" s="1"/>
  <c r="AF474" i="32"/>
  <c r="AH473" i="32"/>
  <c r="AO473" i="32"/>
  <c r="AG473" i="32"/>
  <c r="AN473" i="32" s="1"/>
  <c r="AF473" i="32"/>
  <c r="AH472" i="32"/>
  <c r="AO472" i="32"/>
  <c r="AG472" i="32"/>
  <c r="AN472" i="32" s="1"/>
  <c r="AF472" i="32"/>
  <c r="AH471" i="32"/>
  <c r="AO471" i="32"/>
  <c r="AG471" i="32"/>
  <c r="AN471" i="32" s="1"/>
  <c r="AF471" i="32"/>
  <c r="AH470" i="32"/>
  <c r="AO470" i="32" s="1"/>
  <c r="AG470" i="32"/>
  <c r="AN470" i="32" s="1"/>
  <c r="AF470" i="32"/>
  <c r="AH469" i="32"/>
  <c r="AO469" i="32" s="1"/>
  <c r="AG469" i="32"/>
  <c r="AN469" i="32" s="1"/>
  <c r="AF469" i="32"/>
  <c r="AH468" i="32"/>
  <c r="AO468" i="32" s="1"/>
  <c r="AG468" i="32"/>
  <c r="AN468" i="32" s="1"/>
  <c r="AF468" i="32"/>
  <c r="AH467" i="32"/>
  <c r="AO467" i="32" s="1"/>
  <c r="AG467" i="32"/>
  <c r="AN467" i="32" s="1"/>
  <c r="AF467" i="32"/>
  <c r="AH466" i="32"/>
  <c r="AO466" i="32" s="1"/>
  <c r="AG466" i="32"/>
  <c r="AN466" i="32" s="1"/>
  <c r="AF466" i="32"/>
  <c r="AH465" i="32"/>
  <c r="AO465" i="32" s="1"/>
  <c r="AG465" i="32"/>
  <c r="AN465" i="32" s="1"/>
  <c r="AF465" i="32"/>
  <c r="AH464" i="32"/>
  <c r="AO464" i="32" s="1"/>
  <c r="AG464" i="32"/>
  <c r="AN464" i="32" s="1"/>
  <c r="AF464" i="32"/>
  <c r="AH463" i="32"/>
  <c r="AO463" i="32" s="1"/>
  <c r="AG463" i="32"/>
  <c r="AN463" i="32" s="1"/>
  <c r="AF463" i="32"/>
  <c r="AH462" i="32"/>
  <c r="AO462" i="32" s="1"/>
  <c r="AG462" i="32"/>
  <c r="AN462" i="32" s="1"/>
  <c r="AF462" i="32"/>
  <c r="AH461" i="32"/>
  <c r="AO461" i="32" s="1"/>
  <c r="AG461" i="32"/>
  <c r="AN461" i="32" s="1"/>
  <c r="AF461" i="32"/>
  <c r="AH460" i="32"/>
  <c r="AO460" i="32" s="1"/>
  <c r="AG460" i="32"/>
  <c r="AN460" i="32" s="1"/>
  <c r="AF460" i="32"/>
  <c r="AH459" i="32"/>
  <c r="AO459" i="32" s="1"/>
  <c r="AG459" i="32"/>
  <c r="AN459" i="32" s="1"/>
  <c r="AF459" i="32"/>
  <c r="AH458" i="32"/>
  <c r="AO458" i="32" s="1"/>
  <c r="AG458" i="32"/>
  <c r="AN458" i="32" s="1"/>
  <c r="AF458" i="32"/>
  <c r="AH457" i="32"/>
  <c r="AO457" i="32" s="1"/>
  <c r="AG457" i="32"/>
  <c r="AN457" i="32" s="1"/>
  <c r="AF457" i="32"/>
  <c r="AH456" i="32"/>
  <c r="AO456" i="32" s="1"/>
  <c r="AG456" i="32"/>
  <c r="AN456" i="32" s="1"/>
  <c r="AF456" i="32"/>
  <c r="AH455" i="32"/>
  <c r="AO455" i="32" s="1"/>
  <c r="AG455" i="32"/>
  <c r="AN455" i="32" s="1"/>
  <c r="AF455" i="32"/>
  <c r="AH454" i="32"/>
  <c r="AO454" i="32" s="1"/>
  <c r="AG454" i="32"/>
  <c r="AN454" i="32" s="1"/>
  <c r="AF454" i="32"/>
  <c r="AH453" i="32"/>
  <c r="AO453" i="32" s="1"/>
  <c r="AG453" i="32"/>
  <c r="AN453" i="32" s="1"/>
  <c r="AF453" i="32"/>
  <c r="AH452" i="32"/>
  <c r="AO452" i="32" s="1"/>
  <c r="AG452" i="32"/>
  <c r="AN452" i="32" s="1"/>
  <c r="AF452" i="32"/>
  <c r="AH451" i="32"/>
  <c r="AO451" i="32" s="1"/>
  <c r="AG451" i="32"/>
  <c r="AN451" i="32" s="1"/>
  <c r="AF451" i="32"/>
  <c r="AH450" i="32"/>
  <c r="AO450" i="32" s="1"/>
  <c r="AG450" i="32"/>
  <c r="AN450" i="32" s="1"/>
  <c r="AF450" i="32"/>
  <c r="AH449" i="32"/>
  <c r="AO449" i="32" s="1"/>
  <c r="AG449" i="32"/>
  <c r="AN449" i="32" s="1"/>
  <c r="AF449" i="32"/>
  <c r="AH448" i="32"/>
  <c r="AO448" i="32" s="1"/>
  <c r="AG448" i="32"/>
  <c r="AN448" i="32" s="1"/>
  <c r="AF448" i="32"/>
  <c r="AH447" i="32"/>
  <c r="AO447" i="32" s="1"/>
  <c r="AG447" i="32"/>
  <c r="AN447" i="32" s="1"/>
  <c r="AF447" i="32"/>
  <c r="AH446" i="32"/>
  <c r="AO446" i="32" s="1"/>
  <c r="AG446" i="32"/>
  <c r="AN446" i="32" s="1"/>
  <c r="AF446" i="32"/>
  <c r="AH445" i="32"/>
  <c r="AO445" i="32" s="1"/>
  <c r="AG445" i="32"/>
  <c r="AN445" i="32" s="1"/>
  <c r="AF445" i="32"/>
  <c r="AH444" i="32"/>
  <c r="AO444" i="32" s="1"/>
  <c r="AG444" i="32"/>
  <c r="AN444" i="32" s="1"/>
  <c r="AF444" i="32"/>
  <c r="AH443" i="32"/>
  <c r="AO443" i="32" s="1"/>
  <c r="AG443" i="32"/>
  <c r="AN443" i="32" s="1"/>
  <c r="AF443" i="32"/>
  <c r="AH442" i="32"/>
  <c r="AO442" i="32" s="1"/>
  <c r="AG442" i="32"/>
  <c r="AN442" i="32" s="1"/>
  <c r="AF442" i="32"/>
  <c r="AH441" i="32"/>
  <c r="AO441" i="32" s="1"/>
  <c r="AG441" i="32"/>
  <c r="AN441" i="32" s="1"/>
  <c r="AF441" i="32"/>
  <c r="AH440" i="32"/>
  <c r="AO440" i="32" s="1"/>
  <c r="AG440" i="32"/>
  <c r="AN440" i="32" s="1"/>
  <c r="AF440" i="32"/>
  <c r="AH439" i="32"/>
  <c r="AO439" i="32" s="1"/>
  <c r="AG439" i="32"/>
  <c r="AN439" i="32" s="1"/>
  <c r="AF439" i="32"/>
  <c r="AH438" i="32"/>
  <c r="AO438" i="32" s="1"/>
  <c r="AG438" i="32"/>
  <c r="AN438" i="32" s="1"/>
  <c r="AF438" i="32"/>
  <c r="AH437" i="32"/>
  <c r="AO437" i="32" s="1"/>
  <c r="AG437" i="32"/>
  <c r="AN437" i="32" s="1"/>
  <c r="AF437" i="32"/>
  <c r="AH436" i="32"/>
  <c r="AO436" i="32" s="1"/>
  <c r="AG436" i="32"/>
  <c r="AN436" i="32" s="1"/>
  <c r="AF436" i="32"/>
  <c r="AH435" i="32"/>
  <c r="AO435" i="32" s="1"/>
  <c r="AG435" i="32"/>
  <c r="AN435" i="32" s="1"/>
  <c r="AF435" i="32"/>
  <c r="AH434" i="32"/>
  <c r="AO434" i="32" s="1"/>
  <c r="AG434" i="32"/>
  <c r="AN434" i="32" s="1"/>
  <c r="AF434" i="32"/>
  <c r="AH433" i="32"/>
  <c r="AO433" i="32" s="1"/>
  <c r="AG433" i="32"/>
  <c r="AN433" i="32" s="1"/>
  <c r="AF433" i="32"/>
  <c r="AH432" i="32"/>
  <c r="AO432" i="32" s="1"/>
  <c r="AG432" i="32"/>
  <c r="AN432" i="32" s="1"/>
  <c r="AF432" i="32"/>
  <c r="AH431" i="32"/>
  <c r="AO431" i="32" s="1"/>
  <c r="AG431" i="32"/>
  <c r="AN431" i="32" s="1"/>
  <c r="AF431" i="32"/>
  <c r="AH430" i="32"/>
  <c r="AO430" i="32" s="1"/>
  <c r="AG430" i="32"/>
  <c r="AN430" i="32" s="1"/>
  <c r="AF430" i="32"/>
  <c r="AH429" i="32"/>
  <c r="AO429" i="32" s="1"/>
  <c r="AG429" i="32"/>
  <c r="AN429" i="32" s="1"/>
  <c r="AF429" i="32"/>
  <c r="AH428" i="32"/>
  <c r="AO428" i="32" s="1"/>
  <c r="AG428" i="32"/>
  <c r="AN428" i="32" s="1"/>
  <c r="AF428" i="32"/>
  <c r="AH427" i="32"/>
  <c r="AO427" i="32" s="1"/>
  <c r="AG427" i="32"/>
  <c r="AN427" i="32" s="1"/>
  <c r="AF427" i="32"/>
  <c r="AH426" i="32"/>
  <c r="AO426" i="32" s="1"/>
  <c r="AG426" i="32"/>
  <c r="AN426" i="32" s="1"/>
  <c r="AF426" i="32"/>
  <c r="AH425" i="32"/>
  <c r="AO425" i="32" s="1"/>
  <c r="AG425" i="32"/>
  <c r="AN425" i="32" s="1"/>
  <c r="AF425" i="32"/>
  <c r="AH424" i="32"/>
  <c r="AO424" i="32" s="1"/>
  <c r="AG424" i="32"/>
  <c r="AN424" i="32" s="1"/>
  <c r="AF424" i="32"/>
  <c r="AH423" i="32"/>
  <c r="AO423" i="32" s="1"/>
  <c r="AG423" i="32"/>
  <c r="AN423" i="32" s="1"/>
  <c r="AF423" i="32"/>
  <c r="AH422" i="32"/>
  <c r="AO422" i="32" s="1"/>
  <c r="AG422" i="32"/>
  <c r="AN422" i="32" s="1"/>
  <c r="AF422" i="32"/>
  <c r="AH421" i="32"/>
  <c r="AO421" i="32" s="1"/>
  <c r="AG421" i="32"/>
  <c r="AN421" i="32" s="1"/>
  <c r="AF421" i="32"/>
  <c r="AH420" i="32"/>
  <c r="AO420" i="32" s="1"/>
  <c r="AG420" i="32"/>
  <c r="AN420" i="32" s="1"/>
  <c r="AF420" i="32"/>
  <c r="AH419" i="32"/>
  <c r="AO419" i="32" s="1"/>
  <c r="AG419" i="32"/>
  <c r="AN419" i="32" s="1"/>
  <c r="AF419" i="32"/>
  <c r="AH418" i="32"/>
  <c r="AO418" i="32" s="1"/>
  <c r="AG418" i="32"/>
  <c r="AN418" i="32" s="1"/>
  <c r="AF418" i="32"/>
  <c r="AH417" i="32"/>
  <c r="AO417" i="32" s="1"/>
  <c r="AG417" i="32"/>
  <c r="AN417" i="32" s="1"/>
  <c r="AF417" i="32"/>
  <c r="AH416" i="32"/>
  <c r="AO416" i="32" s="1"/>
  <c r="AG416" i="32"/>
  <c r="AN416" i="32" s="1"/>
  <c r="AF416" i="32"/>
  <c r="AH415" i="32"/>
  <c r="AO415" i="32" s="1"/>
  <c r="AG415" i="32"/>
  <c r="AN415" i="32" s="1"/>
  <c r="AF415" i="32"/>
  <c r="AH414" i="32"/>
  <c r="AO414" i="32" s="1"/>
  <c r="AG414" i="32"/>
  <c r="AN414" i="32" s="1"/>
  <c r="AF414" i="32"/>
  <c r="AH413" i="32"/>
  <c r="AO413" i="32" s="1"/>
  <c r="AG413" i="32"/>
  <c r="AN413" i="32" s="1"/>
  <c r="AF413" i="32"/>
  <c r="AH412" i="32"/>
  <c r="AO412" i="32" s="1"/>
  <c r="AG412" i="32"/>
  <c r="AN412" i="32" s="1"/>
  <c r="AF412" i="32"/>
  <c r="AH411" i="32"/>
  <c r="AO411" i="32" s="1"/>
  <c r="AG411" i="32"/>
  <c r="AN411" i="32" s="1"/>
  <c r="AF411" i="32"/>
  <c r="AH410" i="32"/>
  <c r="AO410" i="32" s="1"/>
  <c r="AG410" i="32"/>
  <c r="AN410" i="32" s="1"/>
  <c r="AF410" i="32"/>
  <c r="AH409" i="32"/>
  <c r="AO409" i="32" s="1"/>
  <c r="AG409" i="32"/>
  <c r="AN409" i="32" s="1"/>
  <c r="AF409" i="32"/>
  <c r="AH408" i="32"/>
  <c r="AO408" i="32" s="1"/>
  <c r="AG408" i="32"/>
  <c r="AN408" i="32" s="1"/>
  <c r="AF408" i="32"/>
  <c r="AH407" i="32"/>
  <c r="AO407" i="32" s="1"/>
  <c r="AG407" i="32"/>
  <c r="AN407" i="32" s="1"/>
  <c r="AF407" i="32"/>
  <c r="AH406" i="32"/>
  <c r="AO406" i="32" s="1"/>
  <c r="AG406" i="32"/>
  <c r="AN406" i="32" s="1"/>
  <c r="AF406" i="32"/>
  <c r="AH405" i="32"/>
  <c r="AO405" i="32" s="1"/>
  <c r="AG405" i="32"/>
  <c r="AN405" i="32" s="1"/>
  <c r="AF405" i="32"/>
  <c r="AH404" i="32"/>
  <c r="AO404" i="32" s="1"/>
  <c r="AG404" i="32"/>
  <c r="AN404" i="32" s="1"/>
  <c r="AF404" i="32"/>
  <c r="AH403" i="32"/>
  <c r="AO403" i="32" s="1"/>
  <c r="AG403" i="32"/>
  <c r="AN403" i="32" s="1"/>
  <c r="AF403" i="32"/>
  <c r="AH402" i="32"/>
  <c r="AO402" i="32" s="1"/>
  <c r="AG402" i="32"/>
  <c r="AN402" i="32" s="1"/>
  <c r="AF402" i="32"/>
  <c r="AH401" i="32"/>
  <c r="AO401" i="32" s="1"/>
  <c r="AG401" i="32"/>
  <c r="AN401" i="32" s="1"/>
  <c r="AF401" i="32"/>
  <c r="AH400" i="32"/>
  <c r="AO400" i="32" s="1"/>
  <c r="AG400" i="32"/>
  <c r="AN400" i="32" s="1"/>
  <c r="AF400" i="32"/>
  <c r="AH399" i="32"/>
  <c r="AO399" i="32" s="1"/>
  <c r="AG399" i="32"/>
  <c r="AN399" i="32" s="1"/>
  <c r="AF399" i="32"/>
  <c r="AH398" i="32"/>
  <c r="AO398" i="32"/>
  <c r="AG398" i="32"/>
  <c r="AN398" i="32" s="1"/>
  <c r="AF398" i="32"/>
  <c r="AH397" i="32"/>
  <c r="AO397" i="32"/>
  <c r="AG397" i="32"/>
  <c r="AN397" i="32" s="1"/>
  <c r="AF397" i="32"/>
  <c r="AH396" i="32"/>
  <c r="AO396" i="32"/>
  <c r="AG396" i="32"/>
  <c r="AN396" i="32" s="1"/>
  <c r="AF396" i="32"/>
  <c r="AH395" i="32"/>
  <c r="AO395" i="32"/>
  <c r="AG395" i="32"/>
  <c r="AN395" i="32" s="1"/>
  <c r="AF395" i="32"/>
  <c r="AH394" i="32"/>
  <c r="AO394" i="32"/>
  <c r="AG394" i="32"/>
  <c r="AN394" i="32" s="1"/>
  <c r="AF394" i="32"/>
  <c r="AH393" i="32"/>
  <c r="AO393" i="32"/>
  <c r="AG393" i="32"/>
  <c r="AN393" i="32" s="1"/>
  <c r="AF393" i="32"/>
  <c r="AH392" i="32"/>
  <c r="AO392" i="32"/>
  <c r="AG392" i="32"/>
  <c r="AN392" i="32" s="1"/>
  <c r="AF392" i="32"/>
  <c r="AH391" i="32"/>
  <c r="AO391" i="32"/>
  <c r="AG391" i="32"/>
  <c r="AN391" i="32" s="1"/>
  <c r="AF391" i="32"/>
  <c r="AH390" i="32"/>
  <c r="AO390" i="32"/>
  <c r="AG390" i="32"/>
  <c r="AN390" i="32" s="1"/>
  <c r="AF390" i="32"/>
  <c r="AH389" i="32"/>
  <c r="AO389" i="32"/>
  <c r="AG389" i="32"/>
  <c r="AN389" i="32" s="1"/>
  <c r="AF389" i="32"/>
  <c r="AH388" i="32"/>
  <c r="AO388" i="32"/>
  <c r="AG388" i="32"/>
  <c r="AN388" i="32" s="1"/>
  <c r="AF388" i="32"/>
  <c r="AH387" i="32"/>
  <c r="AO387" i="32"/>
  <c r="AG387" i="32"/>
  <c r="AN387" i="32" s="1"/>
  <c r="AF387" i="32"/>
  <c r="AH386" i="32"/>
  <c r="AO386" i="32"/>
  <c r="AG386" i="32"/>
  <c r="AN386" i="32" s="1"/>
  <c r="AF386" i="32"/>
  <c r="AH385" i="32"/>
  <c r="AO385" i="32"/>
  <c r="AG385" i="32"/>
  <c r="AN385" i="32" s="1"/>
  <c r="AF385" i="32"/>
  <c r="AH384" i="32"/>
  <c r="AO384" i="32"/>
  <c r="AG384" i="32"/>
  <c r="AN384" i="32" s="1"/>
  <c r="AF384" i="32"/>
  <c r="AH383" i="32"/>
  <c r="AO383" i="32"/>
  <c r="AG383" i="32"/>
  <c r="AN383" i="32" s="1"/>
  <c r="AF383" i="32"/>
  <c r="AH382" i="32"/>
  <c r="AO382" i="32"/>
  <c r="AG382" i="32"/>
  <c r="AN382" i="32" s="1"/>
  <c r="AF382" i="32"/>
  <c r="AH381" i="32"/>
  <c r="AO381" i="32"/>
  <c r="AG381" i="32"/>
  <c r="AN381" i="32" s="1"/>
  <c r="AF381" i="32"/>
  <c r="AH380" i="32"/>
  <c r="AO380" i="32"/>
  <c r="AG380" i="32"/>
  <c r="AN380" i="32" s="1"/>
  <c r="AF380" i="32"/>
  <c r="AH379" i="32"/>
  <c r="AO379" i="32"/>
  <c r="AG379" i="32"/>
  <c r="AN379" i="32" s="1"/>
  <c r="AF379" i="32"/>
  <c r="AH378" i="32"/>
  <c r="AO378" i="32"/>
  <c r="AG378" i="32"/>
  <c r="AN378" i="32" s="1"/>
  <c r="AF378" i="32"/>
  <c r="AH377" i="32"/>
  <c r="AO377" i="32"/>
  <c r="AG377" i="32"/>
  <c r="AN377" i="32" s="1"/>
  <c r="AF377" i="32"/>
  <c r="AH376" i="32"/>
  <c r="AO376" i="32"/>
  <c r="AG376" i="32"/>
  <c r="AN376" i="32" s="1"/>
  <c r="AF376" i="32"/>
  <c r="AH375" i="32"/>
  <c r="AO375" i="32"/>
  <c r="AG375" i="32"/>
  <c r="AN375" i="32" s="1"/>
  <c r="AF375" i="32"/>
  <c r="AH374" i="32"/>
  <c r="AO374" i="32"/>
  <c r="AG374" i="32"/>
  <c r="AN374" i="32" s="1"/>
  <c r="AF374" i="32"/>
  <c r="AH373" i="32"/>
  <c r="AO373" i="32"/>
  <c r="AG373" i="32"/>
  <c r="AN373" i="32" s="1"/>
  <c r="AF373" i="32"/>
  <c r="AH372" i="32"/>
  <c r="AO372" i="32"/>
  <c r="AG372" i="32"/>
  <c r="AN372" i="32" s="1"/>
  <c r="AF372" i="32"/>
  <c r="AH371" i="32"/>
  <c r="AO371" i="32"/>
  <c r="AG371" i="32"/>
  <c r="AN371" i="32" s="1"/>
  <c r="AF371" i="32"/>
  <c r="AH370" i="32"/>
  <c r="AO370" i="32"/>
  <c r="AG370" i="32"/>
  <c r="AN370" i="32" s="1"/>
  <c r="AF370" i="32"/>
  <c r="AH369" i="32"/>
  <c r="AO369" i="32"/>
  <c r="AG369" i="32"/>
  <c r="AN369" i="32" s="1"/>
  <c r="AF369" i="32"/>
  <c r="AH368" i="32"/>
  <c r="AO368" i="32"/>
  <c r="AG368" i="32"/>
  <c r="AN368" i="32" s="1"/>
  <c r="AF368" i="32"/>
  <c r="AH367" i="32"/>
  <c r="AO367" i="32"/>
  <c r="AG367" i="32"/>
  <c r="AN367" i="32" s="1"/>
  <c r="AF367" i="32"/>
  <c r="AH366" i="32"/>
  <c r="AO366" i="32"/>
  <c r="AG366" i="32"/>
  <c r="AN366" i="32" s="1"/>
  <c r="AF366" i="32"/>
  <c r="AH365" i="32"/>
  <c r="AO365" i="32"/>
  <c r="AG365" i="32"/>
  <c r="AN365" i="32" s="1"/>
  <c r="AF365" i="32"/>
  <c r="AH364" i="32"/>
  <c r="AO364" i="32"/>
  <c r="AG364" i="32"/>
  <c r="AN364" i="32" s="1"/>
  <c r="AF364" i="32"/>
  <c r="AH363" i="32"/>
  <c r="AO363" i="32"/>
  <c r="AG363" i="32"/>
  <c r="AN363" i="32" s="1"/>
  <c r="AF363" i="32"/>
  <c r="AH362" i="32"/>
  <c r="AO362" i="32"/>
  <c r="AG362" i="32"/>
  <c r="AN362" i="32" s="1"/>
  <c r="AF362" i="32"/>
  <c r="AH361" i="32"/>
  <c r="AO361" i="32"/>
  <c r="AG361" i="32"/>
  <c r="AN361" i="32" s="1"/>
  <c r="AF361" i="32"/>
  <c r="AH360" i="32"/>
  <c r="AO360" i="32"/>
  <c r="AG360" i="32"/>
  <c r="AN360" i="32" s="1"/>
  <c r="AF360" i="32"/>
  <c r="AH359" i="32"/>
  <c r="AO359" i="32"/>
  <c r="AG359" i="32"/>
  <c r="AN359" i="32" s="1"/>
  <c r="AF359" i="32"/>
  <c r="AH358" i="32"/>
  <c r="AO358" i="32"/>
  <c r="AG358" i="32"/>
  <c r="AN358" i="32" s="1"/>
  <c r="AF358" i="32"/>
  <c r="AH357" i="32"/>
  <c r="AO357" i="32"/>
  <c r="AG357" i="32"/>
  <c r="AN357" i="32" s="1"/>
  <c r="AF357" i="32"/>
  <c r="AH356" i="32"/>
  <c r="AO356" i="32"/>
  <c r="AG356" i="32"/>
  <c r="AN356" i="32" s="1"/>
  <c r="AF356" i="32"/>
  <c r="AH355" i="32"/>
  <c r="AO355" i="32"/>
  <c r="AG355" i="32"/>
  <c r="AN355" i="32" s="1"/>
  <c r="AF355" i="32"/>
  <c r="AH354" i="32"/>
  <c r="AO354" i="32"/>
  <c r="AG354" i="32"/>
  <c r="AN354" i="32" s="1"/>
  <c r="AF354" i="32"/>
  <c r="AH353" i="32"/>
  <c r="AO353" i="32"/>
  <c r="AG353" i="32"/>
  <c r="AN353" i="32" s="1"/>
  <c r="AF353" i="32"/>
  <c r="AH352" i="32"/>
  <c r="AO352" i="32"/>
  <c r="AG352" i="32"/>
  <c r="AN352" i="32" s="1"/>
  <c r="AF352" i="32"/>
  <c r="AH351" i="32"/>
  <c r="AO351" i="32"/>
  <c r="AG351" i="32"/>
  <c r="AN351" i="32" s="1"/>
  <c r="AF351" i="32"/>
  <c r="AH350" i="32"/>
  <c r="AO350" i="32"/>
  <c r="AG350" i="32"/>
  <c r="AN350" i="32" s="1"/>
  <c r="AF350" i="32"/>
  <c r="AH349" i="32"/>
  <c r="AO349" i="32"/>
  <c r="AG349" i="32"/>
  <c r="AN349" i="32" s="1"/>
  <c r="AF349" i="32"/>
  <c r="AH348" i="32"/>
  <c r="AO348" i="32"/>
  <c r="AG348" i="32"/>
  <c r="AN348" i="32" s="1"/>
  <c r="AF348" i="32"/>
  <c r="AH347" i="32"/>
  <c r="AO347" i="32"/>
  <c r="AG347" i="32"/>
  <c r="AN347" i="32" s="1"/>
  <c r="AF347" i="32"/>
  <c r="AH346" i="32"/>
  <c r="AO346" i="32"/>
  <c r="AG346" i="32"/>
  <c r="AN346" i="32" s="1"/>
  <c r="AF346" i="32"/>
  <c r="AH345" i="32"/>
  <c r="AO345" i="32"/>
  <c r="AG345" i="32"/>
  <c r="AN345" i="32" s="1"/>
  <c r="AF345" i="32"/>
  <c r="AH344" i="32"/>
  <c r="AO344" i="32"/>
  <c r="AG344" i="32"/>
  <c r="AN344" i="32" s="1"/>
  <c r="AF344" i="32"/>
  <c r="AH343" i="32"/>
  <c r="AO343" i="32"/>
  <c r="AG343" i="32"/>
  <c r="AN343" i="32" s="1"/>
  <c r="AF343" i="32"/>
  <c r="AH342" i="32"/>
  <c r="AO342" i="32"/>
  <c r="AG342" i="32"/>
  <c r="AN342" i="32" s="1"/>
  <c r="AF342" i="32"/>
  <c r="AH341" i="32"/>
  <c r="AO341" i="32"/>
  <c r="AG341" i="32"/>
  <c r="AN341" i="32" s="1"/>
  <c r="AF341" i="32"/>
  <c r="AH340" i="32"/>
  <c r="AO340" i="32"/>
  <c r="AG340" i="32"/>
  <c r="AN340" i="32" s="1"/>
  <c r="AF340" i="32"/>
  <c r="AH339" i="32"/>
  <c r="AO339" i="32"/>
  <c r="AG339" i="32"/>
  <c r="AN339" i="32" s="1"/>
  <c r="AF339" i="32"/>
  <c r="AH338" i="32"/>
  <c r="AO338" i="32"/>
  <c r="AG338" i="32"/>
  <c r="AN338" i="32" s="1"/>
  <c r="AF338" i="32"/>
  <c r="AH337" i="32"/>
  <c r="AO337" i="32"/>
  <c r="AG337" i="32"/>
  <c r="AN337" i="32" s="1"/>
  <c r="AF337" i="32"/>
  <c r="AH336" i="32"/>
  <c r="AO336" i="32"/>
  <c r="AG336" i="32"/>
  <c r="AN336" i="32" s="1"/>
  <c r="AF336" i="32"/>
  <c r="AH335" i="32"/>
  <c r="AO335" i="32"/>
  <c r="AG335" i="32"/>
  <c r="AN335" i="32" s="1"/>
  <c r="AF335" i="32"/>
  <c r="AH334" i="32"/>
  <c r="AO334" i="32"/>
  <c r="AG334" i="32"/>
  <c r="AN334" i="32" s="1"/>
  <c r="AF334" i="32"/>
  <c r="AH333" i="32"/>
  <c r="AO333" i="32"/>
  <c r="AG333" i="32"/>
  <c r="AN333" i="32" s="1"/>
  <c r="AF333" i="32"/>
  <c r="AH332" i="32"/>
  <c r="AO332" i="32"/>
  <c r="AG332" i="32"/>
  <c r="AN332" i="32" s="1"/>
  <c r="AF332" i="32"/>
  <c r="AH331" i="32"/>
  <c r="AO331" i="32"/>
  <c r="AG331" i="32"/>
  <c r="AN331" i="32" s="1"/>
  <c r="AF331" i="32"/>
  <c r="AH330" i="32"/>
  <c r="AO330" i="32"/>
  <c r="AG330" i="32"/>
  <c r="AN330" i="32" s="1"/>
  <c r="AF330" i="32"/>
  <c r="AH329" i="32"/>
  <c r="AO329" i="32"/>
  <c r="AG329" i="32"/>
  <c r="AN329" i="32" s="1"/>
  <c r="AF329" i="32"/>
  <c r="AH328" i="32"/>
  <c r="AO328" i="32"/>
  <c r="AG328" i="32"/>
  <c r="AN328" i="32" s="1"/>
  <c r="AF328" i="32"/>
  <c r="AH327" i="32"/>
  <c r="AO327" i="32"/>
  <c r="AG327" i="32"/>
  <c r="AN327" i="32" s="1"/>
  <c r="AF327" i="32"/>
  <c r="AH326" i="32"/>
  <c r="AO326" i="32"/>
  <c r="AG326" i="32"/>
  <c r="AN326" i="32"/>
  <c r="AF326" i="32"/>
  <c r="AH325" i="32"/>
  <c r="AO325" i="32" s="1"/>
  <c r="AG325" i="32"/>
  <c r="AN325" i="32" s="1"/>
  <c r="AF325" i="32"/>
  <c r="AH324" i="32"/>
  <c r="AO324" i="32" s="1"/>
  <c r="AG324" i="32"/>
  <c r="AN324" i="32"/>
  <c r="AF324" i="32"/>
  <c r="AH323" i="32"/>
  <c r="AO323" i="32"/>
  <c r="AG323" i="32"/>
  <c r="AN323" i="32" s="1"/>
  <c r="AF323" i="32"/>
  <c r="AH322" i="32"/>
  <c r="AO322" i="32"/>
  <c r="AG322" i="32"/>
  <c r="AN322" i="32"/>
  <c r="AF322" i="32"/>
  <c r="AH321" i="32"/>
  <c r="AO321" i="32"/>
  <c r="AG321" i="32"/>
  <c r="AN321" i="32" s="1"/>
  <c r="AF321" i="32"/>
  <c r="AH320" i="32"/>
  <c r="AO320" i="32"/>
  <c r="AG320" i="32"/>
  <c r="AN320" i="32" s="1"/>
  <c r="AF320" i="32"/>
  <c r="AH319" i="32"/>
  <c r="AO319" i="32"/>
  <c r="AG319" i="32"/>
  <c r="AN319" i="32" s="1"/>
  <c r="AF319" i="32"/>
  <c r="AH318" i="32"/>
  <c r="AO318" i="32"/>
  <c r="AG318" i="32"/>
  <c r="AN318" i="32"/>
  <c r="AF318" i="32"/>
  <c r="AH317" i="32"/>
  <c r="AO317" i="32" s="1"/>
  <c r="AG317" i="32"/>
  <c r="AN317" i="32" s="1"/>
  <c r="AF317" i="32"/>
  <c r="AH316" i="32"/>
  <c r="AO316" i="32" s="1"/>
  <c r="AG316" i="32"/>
  <c r="AN316" i="32"/>
  <c r="AF316" i="32"/>
  <c r="AH315" i="32"/>
  <c r="AO315" i="32"/>
  <c r="AG315" i="32"/>
  <c r="AN315" i="32" s="1"/>
  <c r="AF315" i="32"/>
  <c r="AH314" i="32"/>
  <c r="AO314" i="32"/>
  <c r="AG314" i="32"/>
  <c r="AN314" i="32"/>
  <c r="AF314" i="32"/>
  <c r="AH313" i="32"/>
  <c r="AO313" i="32"/>
  <c r="AG313" i="32"/>
  <c r="AN313" i="32" s="1"/>
  <c r="AF313" i="32"/>
  <c r="AH312" i="32"/>
  <c r="AO312" i="32"/>
  <c r="AG312" i="32"/>
  <c r="AN312" i="32" s="1"/>
  <c r="AF312" i="32"/>
  <c r="AH311" i="32"/>
  <c r="AO311" i="32"/>
  <c r="AG311" i="32"/>
  <c r="AN311" i="32" s="1"/>
  <c r="AF311" i="32"/>
  <c r="AH310" i="32"/>
  <c r="AO310" i="32"/>
  <c r="AG310" i="32"/>
  <c r="AN310" i="32"/>
  <c r="AF310" i="32"/>
  <c r="AH309" i="32"/>
  <c r="AO309" i="32" s="1"/>
  <c r="AG309" i="32"/>
  <c r="AN309" i="32" s="1"/>
  <c r="AF309" i="32"/>
  <c r="AH308" i="32"/>
  <c r="AO308" i="32" s="1"/>
  <c r="AG308" i="32"/>
  <c r="AN308" i="32"/>
  <c r="AF308" i="32"/>
  <c r="AH307" i="32"/>
  <c r="AO307" i="32"/>
  <c r="AG307" i="32"/>
  <c r="AN307" i="32" s="1"/>
  <c r="AF307" i="32"/>
  <c r="AM306" i="32"/>
  <c r="AA304" i="32"/>
  <c r="AA247" i="32"/>
  <c r="AA173" i="32"/>
  <c r="G183" i="25"/>
  <c r="G306" i="25"/>
  <c r="AD306" i="32" s="1"/>
  <c r="K306" i="25"/>
  <c r="AC306" i="32" s="1"/>
  <c r="AM305" i="32"/>
  <c r="AM304" i="32"/>
  <c r="G304" i="25"/>
  <c r="AD304" i="32" s="1"/>
  <c r="G262" i="25"/>
  <c r="G238" i="25"/>
  <c r="G305" i="25"/>
  <c r="AD305" i="32"/>
  <c r="K305" i="25"/>
  <c r="AC305" i="32" s="1"/>
  <c r="AM247" i="32"/>
  <c r="AM248" i="32"/>
  <c r="AM173" i="32"/>
  <c r="G194" i="25"/>
  <c r="G174" i="25"/>
  <c r="G186" i="25"/>
  <c r="G217" i="25"/>
  <c r="K304" i="25"/>
  <c r="AC304" i="32"/>
  <c r="AM303" i="32"/>
  <c r="AM290" i="32"/>
  <c r="AA292" i="32"/>
  <c r="G290" i="25"/>
  <c r="G291" i="25"/>
  <c r="G292" i="25"/>
  <c r="G293" i="25"/>
  <c r="G294" i="25"/>
  <c r="G295" i="25"/>
  <c r="G296" i="25"/>
  <c r="AD296" i="32" s="1"/>
  <c r="G297" i="25"/>
  <c r="G298" i="25"/>
  <c r="G299" i="25"/>
  <c r="AD299" i="32" s="1"/>
  <c r="G300" i="25"/>
  <c r="AD300" i="32" s="1"/>
  <c r="G301" i="25"/>
  <c r="G302" i="25"/>
  <c r="G303" i="25"/>
  <c r="AD303" i="32" s="1"/>
  <c r="AA293" i="32"/>
  <c r="AA295" i="32"/>
  <c r="AA297" i="32"/>
  <c r="AA300" i="32"/>
  <c r="AM291" i="32"/>
  <c r="AM292" i="32"/>
  <c r="AM293" i="32"/>
  <c r="AM294" i="32"/>
  <c r="AM295" i="32"/>
  <c r="AM296" i="32"/>
  <c r="AM297" i="32"/>
  <c r="AM298" i="32"/>
  <c r="AM299" i="32"/>
  <c r="AM300" i="32"/>
  <c r="AM301" i="32"/>
  <c r="AM302" i="32"/>
  <c r="G173" i="25"/>
  <c r="G206" i="25"/>
  <c r="K303" i="25"/>
  <c r="AC303" i="32" s="1"/>
  <c r="AD302" i="32"/>
  <c r="K302" i="25"/>
  <c r="AC302" i="32"/>
  <c r="AD301" i="32"/>
  <c r="K301" i="25"/>
  <c r="AC301" i="32"/>
  <c r="K300" i="25"/>
  <c r="AC300" i="32" s="1"/>
  <c r="K299" i="25"/>
  <c r="AC299" i="32"/>
  <c r="G200" i="25"/>
  <c r="AD298" i="32"/>
  <c r="K298" i="25"/>
  <c r="AC298" i="32" s="1"/>
  <c r="AD297" i="32"/>
  <c r="K297" i="25"/>
  <c r="AC297" i="32" s="1"/>
  <c r="K296" i="25"/>
  <c r="AC296" i="32" s="1"/>
  <c r="AD295" i="32"/>
  <c r="K295" i="25"/>
  <c r="AC295" i="32" s="1"/>
  <c r="G195" i="25"/>
  <c r="G226" i="25"/>
  <c r="G242" i="25"/>
  <c r="AD294" i="32"/>
  <c r="K294" i="25"/>
  <c r="AC294" i="32" s="1"/>
  <c r="AD293" i="32"/>
  <c r="K293" i="25"/>
  <c r="AC293" i="32"/>
  <c r="AD292" i="32"/>
  <c r="K292" i="25"/>
  <c r="AC292" i="32" s="1"/>
  <c r="AD291" i="32"/>
  <c r="K291" i="25"/>
  <c r="AC291" i="32"/>
  <c r="AD290" i="32"/>
  <c r="K290" i="25"/>
  <c r="AC290" i="32" s="1"/>
  <c r="AA289" i="32"/>
  <c r="AM289" i="32"/>
  <c r="AA274" i="32"/>
  <c r="AM275" i="32"/>
  <c r="AA276" i="32"/>
  <c r="G274" i="25"/>
  <c r="G275" i="25"/>
  <c r="G276" i="25"/>
  <c r="G277" i="25"/>
  <c r="G278" i="25"/>
  <c r="G279" i="25"/>
  <c r="AD279" i="32" s="1"/>
  <c r="G280" i="25"/>
  <c r="AD280" i="32" s="1"/>
  <c r="G281" i="25"/>
  <c r="G282" i="25"/>
  <c r="AD282" i="32" s="1"/>
  <c r="G283" i="25"/>
  <c r="AD283" i="32" s="1"/>
  <c r="G284" i="25"/>
  <c r="AD284" i="32" s="1"/>
  <c r="G285" i="25"/>
  <c r="G286" i="25"/>
  <c r="AD286" i="32" s="1"/>
  <c r="G287" i="25"/>
  <c r="AD287" i="32" s="1"/>
  <c r="G288" i="25"/>
  <c r="AD288" i="32" s="1"/>
  <c r="G289" i="25"/>
  <c r="AA278" i="32"/>
  <c r="AA280" i="32"/>
  <c r="AA282" i="32"/>
  <c r="AA284" i="32"/>
  <c r="AA286" i="32"/>
  <c r="AM274" i="32"/>
  <c r="AM276" i="32"/>
  <c r="AM277" i="32"/>
  <c r="AM278" i="32"/>
  <c r="AM279" i="32"/>
  <c r="AM280" i="32"/>
  <c r="AM281" i="32"/>
  <c r="AM282" i="32"/>
  <c r="AM283" i="32"/>
  <c r="AM284" i="32"/>
  <c r="AM285" i="32"/>
  <c r="AM286" i="32"/>
  <c r="AM287" i="32"/>
  <c r="AM288" i="32"/>
  <c r="AD289" i="32"/>
  <c r="K289" i="25"/>
  <c r="AC289" i="32"/>
  <c r="K288" i="25"/>
  <c r="AC288" i="32"/>
  <c r="K287" i="25"/>
  <c r="AC287" i="32"/>
  <c r="K286" i="25"/>
  <c r="AC286" i="32"/>
  <c r="AD285" i="32"/>
  <c r="K285" i="25"/>
  <c r="AC285" i="32" s="1"/>
  <c r="K284" i="25"/>
  <c r="AC284" i="32" s="1"/>
  <c r="K283" i="25"/>
  <c r="AC283" i="32" s="1"/>
  <c r="G185" i="25"/>
  <c r="G192" i="25"/>
  <c r="G205" i="25"/>
  <c r="G213" i="25"/>
  <c r="K282" i="25"/>
  <c r="AC282" i="32" s="1"/>
  <c r="AD281" i="32"/>
  <c r="K281" i="25"/>
  <c r="AC281" i="32"/>
  <c r="K280" i="25"/>
  <c r="AC280" i="32" s="1"/>
  <c r="K279" i="25"/>
  <c r="AC279" i="32" s="1"/>
  <c r="AD278" i="32"/>
  <c r="K278" i="25"/>
  <c r="AC278" i="32"/>
  <c r="G199" i="25"/>
  <c r="AD199" i="32" s="1"/>
  <c r="AD277" i="32"/>
  <c r="K277" i="25"/>
  <c r="AC277" i="32" s="1"/>
  <c r="AD276" i="32"/>
  <c r="K276" i="25"/>
  <c r="AC276" i="32" s="1"/>
  <c r="AD275" i="32"/>
  <c r="K275" i="25"/>
  <c r="AC275" i="32" s="1"/>
  <c r="AD274" i="32"/>
  <c r="K274" i="25"/>
  <c r="AC274" i="32" s="1"/>
  <c r="AM273" i="32"/>
  <c r="AA253" i="32"/>
  <c r="AA254" i="32"/>
  <c r="G252" i="25"/>
  <c r="G253" i="25"/>
  <c r="G254" i="25"/>
  <c r="AD254" i="32" s="1"/>
  <c r="G255" i="25"/>
  <c r="G256" i="25"/>
  <c r="G257" i="25"/>
  <c r="G258" i="25"/>
  <c r="AD258" i="32" s="1"/>
  <c r="G259" i="25"/>
  <c r="G260" i="25"/>
  <c r="G261" i="25"/>
  <c r="G263" i="25"/>
  <c r="AD263" i="32" s="1"/>
  <c r="G264" i="25"/>
  <c r="G265" i="25"/>
  <c r="G266" i="25"/>
  <c r="AD266" i="32" s="1"/>
  <c r="G267" i="25"/>
  <c r="AD267" i="32" s="1"/>
  <c r="G268" i="25"/>
  <c r="G269" i="25"/>
  <c r="G270" i="25"/>
  <c r="AD270" i="32" s="1"/>
  <c r="G271" i="25"/>
  <c r="AD271" i="32" s="1"/>
  <c r="G272" i="25"/>
  <c r="G273" i="25"/>
  <c r="AA256" i="32"/>
  <c r="AA257" i="32"/>
  <c r="AA258" i="32"/>
  <c r="AA259" i="32"/>
  <c r="AA260" i="32"/>
  <c r="AA262" i="32"/>
  <c r="AA264" i="32"/>
  <c r="AA266" i="32"/>
  <c r="AA268" i="32"/>
  <c r="AA270" i="32"/>
  <c r="AA272" i="32"/>
  <c r="AM252" i="32"/>
  <c r="AM253" i="32"/>
  <c r="AM254" i="32"/>
  <c r="AM255" i="32"/>
  <c r="AM256" i="32"/>
  <c r="AM257" i="32"/>
  <c r="AM258" i="32"/>
  <c r="AM259" i="32"/>
  <c r="AM260" i="32"/>
  <c r="AM261" i="32"/>
  <c r="AM262" i="32"/>
  <c r="AM263" i="32"/>
  <c r="AM264" i="32"/>
  <c r="AM265" i="32"/>
  <c r="AM266" i="32"/>
  <c r="AM267" i="32"/>
  <c r="AM268" i="32"/>
  <c r="AM269" i="32"/>
  <c r="AM270" i="32"/>
  <c r="AM271" i="32"/>
  <c r="AM272" i="32"/>
  <c r="AD273" i="32"/>
  <c r="K273" i="25"/>
  <c r="AC273" i="32"/>
  <c r="AD272" i="32"/>
  <c r="K272" i="25"/>
  <c r="AC272" i="32" s="1"/>
  <c r="K271" i="25"/>
  <c r="AC271" i="32"/>
  <c r="K270" i="25"/>
  <c r="AC270" i="32" s="1"/>
  <c r="AD269" i="32"/>
  <c r="K269" i="25"/>
  <c r="AC269" i="32" s="1"/>
  <c r="AD268" i="32"/>
  <c r="K268" i="25"/>
  <c r="AC268" i="32"/>
  <c r="K267" i="25"/>
  <c r="AC267" i="32" s="1"/>
  <c r="K266" i="25"/>
  <c r="AC266" i="32"/>
  <c r="AD265" i="32"/>
  <c r="K265" i="25"/>
  <c r="AC265" i="32"/>
  <c r="AD264" i="32"/>
  <c r="K264" i="25"/>
  <c r="AC264" i="32" s="1"/>
  <c r="K263" i="25"/>
  <c r="AC263" i="32"/>
  <c r="AD262" i="32"/>
  <c r="K262" i="25"/>
  <c r="AC262" i="32"/>
  <c r="AD261" i="32"/>
  <c r="K261" i="25"/>
  <c r="AC261" i="32" s="1"/>
  <c r="AD260" i="32"/>
  <c r="K260" i="25"/>
  <c r="AC260" i="32" s="1"/>
  <c r="AD259" i="32"/>
  <c r="K259" i="25"/>
  <c r="AC259" i="32"/>
  <c r="K258" i="25"/>
  <c r="AC258" i="32" s="1"/>
  <c r="AD257" i="32"/>
  <c r="K257" i="25"/>
  <c r="AC257" i="32" s="1"/>
  <c r="AD256" i="32"/>
  <c r="K256" i="25"/>
  <c r="AC256" i="32"/>
  <c r="AD255" i="32"/>
  <c r="K255" i="25"/>
  <c r="AC255" i="32"/>
  <c r="K254" i="25"/>
  <c r="AC254" i="32" s="1"/>
  <c r="AD253" i="32"/>
  <c r="K253" i="25"/>
  <c r="AC253" i="32"/>
  <c r="AD252" i="32"/>
  <c r="K252" i="25"/>
  <c r="AC252" i="32"/>
  <c r="AA251" i="32"/>
  <c r="AM251" i="32"/>
  <c r="AA246" i="32"/>
  <c r="AA249" i="32"/>
  <c r="G251" i="25"/>
  <c r="AD251" i="32" s="1"/>
  <c r="K251" i="25"/>
  <c r="AC251" i="32"/>
  <c r="AM250" i="32"/>
  <c r="G250" i="25"/>
  <c r="AD250" i="32"/>
  <c r="K250" i="25"/>
  <c r="AC250" i="32" s="1"/>
  <c r="AM249" i="32"/>
  <c r="G249" i="25"/>
  <c r="AD249" i="32"/>
  <c r="K249" i="25"/>
  <c r="AC249" i="32" s="1"/>
  <c r="G248" i="25"/>
  <c r="AD248" i="32" s="1"/>
  <c r="K248" i="25"/>
  <c r="AC248" i="32" s="1"/>
  <c r="G247" i="25"/>
  <c r="AD247" i="32"/>
  <c r="K247" i="25"/>
  <c r="AC247" i="32" s="1"/>
  <c r="AM246" i="32"/>
  <c r="G246" i="25"/>
  <c r="AD246" i="32"/>
  <c r="K246" i="25"/>
  <c r="AC246" i="32" s="1"/>
  <c r="AA245" i="32"/>
  <c r="AM245" i="32"/>
  <c r="AA244" i="32"/>
  <c r="G245" i="25"/>
  <c r="AD245" i="32" s="1"/>
  <c r="K245" i="25"/>
  <c r="AC245" i="32" s="1"/>
  <c r="AM244" i="32"/>
  <c r="G244" i="25"/>
  <c r="AD244" i="32" s="1"/>
  <c r="K244" i="25"/>
  <c r="AC244" i="32" s="1"/>
  <c r="AM243" i="32"/>
  <c r="G243" i="25"/>
  <c r="AD243" i="32" s="1"/>
  <c r="K243" i="25"/>
  <c r="AC243" i="32" s="1"/>
  <c r="AA242" i="32"/>
  <c r="AM242" i="32"/>
  <c r="AD242" i="32"/>
  <c r="K242" i="25"/>
  <c r="AC242" i="32" s="1"/>
  <c r="AM241" i="32"/>
  <c r="G241" i="25"/>
  <c r="AD241" i="32" s="1"/>
  <c r="K241" i="25"/>
  <c r="AC241" i="32" s="1"/>
  <c r="AA240" i="32"/>
  <c r="AM240" i="32"/>
  <c r="G240" i="25"/>
  <c r="AD240" i="32" s="1"/>
  <c r="K240" i="25"/>
  <c r="AC240" i="32" s="1"/>
  <c r="AA239" i="32"/>
  <c r="AM239" i="32"/>
  <c r="G239" i="25"/>
  <c r="AD239" i="32" s="1"/>
  <c r="K239" i="25"/>
  <c r="AC239" i="32"/>
  <c r="AA238" i="32"/>
  <c r="AM238" i="32"/>
  <c r="AD238" i="32"/>
  <c r="K238" i="25"/>
  <c r="AC238" i="32" s="1"/>
  <c r="AM237" i="32"/>
  <c r="G237" i="25"/>
  <c r="AD237" i="32" s="1"/>
  <c r="K237" i="25"/>
  <c r="AC237" i="32" s="1"/>
  <c r="AM236" i="32"/>
  <c r="G236" i="25"/>
  <c r="AD236" i="32" s="1"/>
  <c r="K236" i="25"/>
  <c r="AC236" i="32" s="1"/>
  <c r="AA235" i="32"/>
  <c r="AM235" i="32"/>
  <c r="G235" i="25"/>
  <c r="AD235" i="32" s="1"/>
  <c r="K235" i="25"/>
  <c r="AC235" i="32"/>
  <c r="AA234" i="32"/>
  <c r="AM234" i="32"/>
  <c r="G234" i="25"/>
  <c r="AD234" i="32"/>
  <c r="K234" i="25"/>
  <c r="AC234" i="32" s="1"/>
  <c r="AM233" i="32"/>
  <c r="G233" i="25"/>
  <c r="AD233" i="32" s="1"/>
  <c r="K233" i="25"/>
  <c r="AC233" i="32" s="1"/>
  <c r="AM232" i="32"/>
  <c r="G232" i="25"/>
  <c r="AD232" i="32" s="1"/>
  <c r="K232" i="25"/>
  <c r="AC232" i="32" s="1"/>
  <c r="AA231" i="32"/>
  <c r="AM231" i="32"/>
  <c r="G231" i="25"/>
  <c r="AD231" i="32" s="1"/>
  <c r="K231" i="25"/>
  <c r="AC231" i="32"/>
  <c r="AA230" i="32"/>
  <c r="AM230" i="32"/>
  <c r="G230" i="25"/>
  <c r="AD230" i="32"/>
  <c r="K230" i="25"/>
  <c r="AC230" i="32" s="1"/>
  <c r="AM229" i="32"/>
  <c r="G229" i="25"/>
  <c r="AD229" i="32" s="1"/>
  <c r="K229" i="25"/>
  <c r="AC229" i="32" s="1"/>
  <c r="AM228" i="32"/>
  <c r="G228" i="25"/>
  <c r="AD228" i="32" s="1"/>
  <c r="K228" i="25"/>
  <c r="AC228" i="32" s="1"/>
  <c r="AA227" i="32"/>
  <c r="AM227" i="32"/>
  <c r="G227" i="25"/>
  <c r="AD227" i="32" s="1"/>
  <c r="K227" i="25"/>
  <c r="AC227" i="32"/>
  <c r="AA226" i="32"/>
  <c r="AM226" i="32"/>
  <c r="AD226" i="32"/>
  <c r="K226" i="25"/>
  <c r="AC226" i="32"/>
  <c r="AM225" i="32"/>
  <c r="G225" i="25"/>
  <c r="AD225" i="32"/>
  <c r="K225" i="25"/>
  <c r="AC225" i="32" s="1"/>
  <c r="AM224" i="32"/>
  <c r="G224" i="25"/>
  <c r="AD224" i="32" s="1"/>
  <c r="K224" i="25"/>
  <c r="AC224" i="32" s="1"/>
  <c r="AA223" i="32"/>
  <c r="AM223" i="32"/>
  <c r="G223" i="25"/>
  <c r="AD223" i="32" s="1"/>
  <c r="K223" i="25"/>
  <c r="AC223" i="32" s="1"/>
  <c r="AA222" i="32"/>
  <c r="AM222" i="32"/>
  <c r="G222" i="25"/>
  <c r="AD222" i="32" s="1"/>
  <c r="K222" i="25"/>
  <c r="AC222" i="32"/>
  <c r="AM221" i="32"/>
  <c r="G221" i="25"/>
  <c r="AD221" i="32"/>
  <c r="K221" i="25"/>
  <c r="AC221" i="32" s="1"/>
  <c r="AM220" i="32"/>
  <c r="G220" i="25"/>
  <c r="AD220" i="32" s="1"/>
  <c r="K220" i="25"/>
  <c r="AC220" i="32" s="1"/>
  <c r="AA219" i="32"/>
  <c r="AM219" i="32"/>
  <c r="G219" i="25"/>
  <c r="AD219" i="32" s="1"/>
  <c r="K219" i="25"/>
  <c r="AC219" i="32" s="1"/>
  <c r="AA218" i="32"/>
  <c r="AM218" i="32"/>
  <c r="G218" i="25"/>
  <c r="AD218" i="32" s="1"/>
  <c r="K218" i="25"/>
  <c r="AC218" i="32"/>
  <c r="AM217" i="32"/>
  <c r="AD217" i="32"/>
  <c r="K217" i="25"/>
  <c r="AC217" i="32" s="1"/>
  <c r="AM216" i="32"/>
  <c r="G216" i="25"/>
  <c r="AD216" i="32" s="1"/>
  <c r="K216" i="25"/>
  <c r="AC216" i="32" s="1"/>
  <c r="AA215" i="32"/>
  <c r="AM215" i="32"/>
  <c r="G215" i="25"/>
  <c r="AD215" i="32" s="1"/>
  <c r="K215" i="25"/>
  <c r="AC215" i="32"/>
  <c r="AA214" i="32"/>
  <c r="AM214" i="32"/>
  <c r="G214" i="25"/>
  <c r="AD214" i="32"/>
  <c r="K214" i="25"/>
  <c r="AC214" i="32" s="1"/>
  <c r="AM213" i="32"/>
  <c r="AD213" i="32"/>
  <c r="K213" i="25"/>
  <c r="AC213" i="32" s="1"/>
  <c r="AM212" i="32"/>
  <c r="G212" i="25"/>
  <c r="AD212" i="32" s="1"/>
  <c r="K212" i="25"/>
  <c r="AC212" i="32" s="1"/>
  <c r="AA211" i="32"/>
  <c r="AM211" i="32"/>
  <c r="G211" i="25"/>
  <c r="AD211" i="32" s="1"/>
  <c r="K211" i="25"/>
  <c r="AC211" i="32" s="1"/>
  <c r="AA210" i="32"/>
  <c r="AM210" i="32"/>
  <c r="G210" i="25"/>
  <c r="AD210" i="32" s="1"/>
  <c r="K210" i="25"/>
  <c r="AC210" i="32"/>
  <c r="AM209" i="32"/>
  <c r="G209" i="25"/>
  <c r="AD209" i="32"/>
  <c r="K209" i="25"/>
  <c r="AC209" i="32" s="1"/>
  <c r="AM208" i="32"/>
  <c r="G208" i="25"/>
  <c r="AD208" i="32" s="1"/>
  <c r="K208" i="25"/>
  <c r="AC208" i="32" s="1"/>
  <c r="AA207" i="32"/>
  <c r="AM207" i="32"/>
  <c r="G207" i="25"/>
  <c r="AD207" i="32" s="1"/>
  <c r="K207" i="25"/>
  <c r="AC207" i="32" s="1"/>
  <c r="AA206" i="32"/>
  <c r="AM206" i="32"/>
  <c r="AD206" i="32"/>
  <c r="K206" i="25"/>
  <c r="AC206" i="32" s="1"/>
  <c r="AM205" i="32"/>
  <c r="AD205" i="32"/>
  <c r="K205" i="25"/>
  <c r="AC205" i="32"/>
  <c r="AM204" i="32"/>
  <c r="G204" i="25"/>
  <c r="AD204" i="32"/>
  <c r="K204" i="25"/>
  <c r="AC204" i="32" s="1"/>
  <c r="AA203" i="32"/>
  <c r="AM203" i="32"/>
  <c r="G203" i="25"/>
  <c r="AD203" i="32" s="1"/>
  <c r="K203" i="25"/>
  <c r="AC203" i="32" s="1"/>
  <c r="AA202" i="32"/>
  <c r="AM202" i="32"/>
  <c r="G202" i="25"/>
  <c r="AD202" i="32" s="1"/>
  <c r="K202" i="25"/>
  <c r="AC202" i="32" s="1"/>
  <c r="AM201" i="32"/>
  <c r="G201" i="25"/>
  <c r="AD201" i="32" s="1"/>
  <c r="K201" i="25"/>
  <c r="AC201" i="32"/>
  <c r="AM200" i="32"/>
  <c r="AD200" i="32"/>
  <c r="K200" i="25"/>
  <c r="AC200" i="32"/>
  <c r="AA199" i="32"/>
  <c r="AM199" i="32"/>
  <c r="K199" i="25"/>
  <c r="AC199" i="32"/>
  <c r="AA198" i="32"/>
  <c r="AM198" i="32"/>
  <c r="G198" i="25"/>
  <c r="AD198" i="32"/>
  <c r="K198" i="25"/>
  <c r="AC198" i="32" s="1"/>
  <c r="AM197" i="32"/>
  <c r="G197" i="25"/>
  <c r="AD197" i="32" s="1"/>
  <c r="K197" i="25"/>
  <c r="AC197" i="32" s="1"/>
  <c r="AM196" i="32"/>
  <c r="G196" i="25"/>
  <c r="AD196" i="32" s="1"/>
  <c r="K196" i="25"/>
  <c r="AC196" i="32" s="1"/>
  <c r="AA195" i="32"/>
  <c r="AM195" i="32"/>
  <c r="AD195" i="32"/>
  <c r="K195" i="25"/>
  <c r="AC195" i="32"/>
  <c r="AA194" i="32"/>
  <c r="AM194" i="32"/>
  <c r="AD194" i="32"/>
  <c r="K194" i="25"/>
  <c r="AC194" i="32" s="1"/>
  <c r="AM193" i="32"/>
  <c r="G193" i="25"/>
  <c r="AD193" i="32" s="1"/>
  <c r="K193" i="25"/>
  <c r="AC193" i="32" s="1"/>
  <c r="AM192" i="32"/>
  <c r="AD192" i="32"/>
  <c r="K192" i="25"/>
  <c r="AC192" i="32" s="1"/>
  <c r="AA191" i="32"/>
  <c r="AM191" i="32"/>
  <c r="G191" i="25"/>
  <c r="AD191" i="32" s="1"/>
  <c r="K191" i="25"/>
  <c r="AC191" i="32"/>
  <c r="AA190" i="32"/>
  <c r="AM190" i="32"/>
  <c r="G190" i="25"/>
  <c r="AD190" i="32"/>
  <c r="K190" i="25"/>
  <c r="AC190" i="32" s="1"/>
  <c r="AM189" i="32"/>
  <c r="G189" i="25"/>
  <c r="AD189" i="32" s="1"/>
  <c r="K189" i="25"/>
  <c r="AC189" i="32" s="1"/>
  <c r="AA188" i="32"/>
  <c r="AM188" i="32"/>
  <c r="G188" i="25"/>
  <c r="AD188" i="32" s="1"/>
  <c r="K188" i="25"/>
  <c r="AC188" i="32" s="1"/>
  <c r="AA187" i="32"/>
  <c r="AM187" i="32"/>
  <c r="G187" i="25"/>
  <c r="AD187" i="32" s="1"/>
  <c r="K187" i="25"/>
  <c r="AC187" i="32"/>
  <c r="AA186" i="32"/>
  <c r="AM186" i="32"/>
  <c r="AD186" i="32"/>
  <c r="K186" i="25"/>
  <c r="AC186" i="32" s="1"/>
  <c r="AM185" i="32"/>
  <c r="AD185" i="32"/>
  <c r="K185" i="25"/>
  <c r="AC185" i="32" s="1"/>
  <c r="AA184" i="32"/>
  <c r="AM184" i="32"/>
  <c r="G184" i="25"/>
  <c r="AD184" i="32" s="1"/>
  <c r="K184" i="25"/>
  <c r="AC184" i="32"/>
  <c r="AA183" i="32"/>
  <c r="AM183" i="32"/>
  <c r="AD183" i="32"/>
  <c r="K183" i="25"/>
  <c r="AC183" i="32" s="1"/>
  <c r="AA182" i="32"/>
  <c r="AM182" i="32"/>
  <c r="G182" i="25"/>
  <c r="AD182" i="32" s="1"/>
  <c r="K182" i="25"/>
  <c r="AC182" i="32" s="1"/>
  <c r="AM181" i="32"/>
  <c r="G181" i="25"/>
  <c r="AD181" i="32" s="1"/>
  <c r="K181" i="25"/>
  <c r="AC181" i="32"/>
  <c r="AA180" i="32"/>
  <c r="AM180" i="32"/>
  <c r="G180" i="25"/>
  <c r="AD180" i="32"/>
  <c r="K180" i="25"/>
  <c r="AC180" i="32" s="1"/>
  <c r="AA179" i="32"/>
  <c r="AM179" i="32"/>
  <c r="G179" i="25"/>
  <c r="AD179" i="32" s="1"/>
  <c r="K179" i="25"/>
  <c r="AC179" i="32" s="1"/>
  <c r="AA178" i="32"/>
  <c r="AM178" i="32"/>
  <c r="G178" i="25"/>
  <c r="AD178" i="32" s="1"/>
  <c r="K178" i="25"/>
  <c r="AC178" i="32" s="1"/>
  <c r="AM177" i="32"/>
  <c r="G177" i="25"/>
  <c r="AD177" i="32" s="1"/>
  <c r="K177" i="25"/>
  <c r="AC177" i="32"/>
  <c r="AA176" i="32"/>
  <c r="AM176" i="32"/>
  <c r="G176" i="25"/>
  <c r="AD176" i="32"/>
  <c r="K176" i="25"/>
  <c r="AC176" i="32" s="1"/>
  <c r="AA175" i="32"/>
  <c r="AM175" i="32"/>
  <c r="G175" i="25"/>
  <c r="AD175" i="32" s="1"/>
  <c r="K175" i="25"/>
  <c r="AC175" i="32" s="1"/>
  <c r="AA174" i="32"/>
  <c r="AM174" i="32"/>
  <c r="AD174" i="32"/>
  <c r="K174" i="25"/>
  <c r="AC174" i="32" s="1"/>
  <c r="AD173" i="32"/>
  <c r="K173" i="25"/>
  <c r="AC173" i="32"/>
  <c r="AA172" i="32"/>
  <c r="AM172" i="32"/>
  <c r="G172" i="25"/>
  <c r="AD172" i="32" s="1"/>
  <c r="K172" i="25"/>
  <c r="AC172" i="32" s="1"/>
  <c r="AM171" i="32"/>
  <c r="G171" i="25"/>
  <c r="AD171" i="32" s="1"/>
  <c r="K171" i="25"/>
  <c r="AC171" i="32" s="1"/>
  <c r="AA170" i="32"/>
  <c r="AM170" i="32"/>
  <c r="G170" i="25"/>
  <c r="AD170" i="32" s="1"/>
  <c r="K170" i="25"/>
  <c r="AC170" i="32"/>
  <c r="AA169" i="32"/>
  <c r="AM169" i="32"/>
  <c r="G169" i="25"/>
  <c r="AD169" i="32" s="1"/>
  <c r="K169" i="25"/>
  <c r="AC169" i="32"/>
  <c r="AA168" i="32"/>
  <c r="AM168" i="32"/>
  <c r="G168" i="25"/>
  <c r="AD168" i="32" s="1"/>
  <c r="K168" i="25"/>
  <c r="AC168" i="32" s="1"/>
  <c r="AA167" i="32"/>
  <c r="AM167" i="32"/>
  <c r="G167" i="25"/>
  <c r="AD167" i="32" s="1"/>
  <c r="K167" i="25"/>
  <c r="AC167" i="32" s="1"/>
  <c r="AA166" i="32"/>
  <c r="AM166" i="32"/>
  <c r="G166" i="25"/>
  <c r="AD166" i="32" s="1"/>
  <c r="K166" i="25"/>
  <c r="AC166" i="32"/>
  <c r="AA165" i="32"/>
  <c r="AM165" i="32"/>
  <c r="G165" i="25"/>
  <c r="AD165" i="32" s="1"/>
  <c r="K165" i="25"/>
  <c r="AC165" i="32"/>
  <c r="AA164" i="32"/>
  <c r="AM164" i="32"/>
  <c r="G164" i="25"/>
  <c r="AD164" i="32" s="1"/>
  <c r="K164" i="25"/>
  <c r="AC164" i="32" s="1"/>
  <c r="AM163" i="32"/>
  <c r="G163" i="25"/>
  <c r="AD163" i="32" s="1"/>
  <c r="K163" i="25"/>
  <c r="AC163" i="32" s="1"/>
  <c r="AA162" i="32"/>
  <c r="AM162" i="32"/>
  <c r="G162" i="25"/>
  <c r="AD162" i="32" s="1"/>
  <c r="K162" i="25"/>
  <c r="AC162" i="32"/>
  <c r="AA161" i="32"/>
  <c r="AM161" i="32"/>
  <c r="G161" i="25"/>
  <c r="AD161" i="32" s="1"/>
  <c r="K161" i="25"/>
  <c r="AC161" i="32"/>
  <c r="AA160" i="32"/>
  <c r="AM160" i="32"/>
  <c r="G160" i="25"/>
  <c r="AD160" i="32" s="1"/>
  <c r="K160" i="25"/>
  <c r="AC160" i="32" s="1"/>
  <c r="AA159" i="32"/>
  <c r="AM159" i="32"/>
  <c r="G159" i="25"/>
  <c r="AD159" i="32" s="1"/>
  <c r="K159" i="25"/>
  <c r="AC159" i="32" s="1"/>
  <c r="AA158" i="32"/>
  <c r="AM158" i="32"/>
  <c r="G158" i="25"/>
  <c r="AD158" i="32" s="1"/>
  <c r="K158" i="25"/>
  <c r="AC158" i="32"/>
  <c r="AA157" i="32"/>
  <c r="AM157" i="32"/>
  <c r="G157" i="25"/>
  <c r="AD157" i="32" s="1"/>
  <c r="K157" i="25"/>
  <c r="AC157" i="32"/>
  <c r="AA156" i="32"/>
  <c r="AM156" i="32"/>
  <c r="G156" i="25"/>
  <c r="AD156" i="32" s="1"/>
  <c r="K156" i="25"/>
  <c r="AC156" i="32" s="1"/>
  <c r="AM155" i="32"/>
  <c r="G155" i="25"/>
  <c r="AD155" i="32" s="1"/>
  <c r="K155" i="25"/>
  <c r="AC155" i="32" s="1"/>
  <c r="AA154" i="32"/>
  <c r="AM154" i="32"/>
  <c r="G154" i="25"/>
  <c r="AD154" i="32" s="1"/>
  <c r="K154" i="25"/>
  <c r="AC154" i="32"/>
  <c r="AA153" i="32"/>
  <c r="AM153" i="32"/>
  <c r="G153" i="25"/>
  <c r="AD153" i="32" s="1"/>
  <c r="K153" i="25"/>
  <c r="AC153" i="32"/>
  <c r="AA152" i="32"/>
  <c r="AM152" i="32"/>
  <c r="G152" i="25"/>
  <c r="AD152" i="32" s="1"/>
  <c r="K152" i="25"/>
  <c r="AC152" i="32" s="1"/>
  <c r="AA151" i="32"/>
  <c r="AM151" i="32"/>
  <c r="G151" i="25"/>
  <c r="AD151" i="32" s="1"/>
  <c r="K151" i="25"/>
  <c r="AC151" i="32" s="1"/>
  <c r="AA150" i="32"/>
  <c r="AM150" i="32"/>
  <c r="G150" i="25"/>
  <c r="AD150" i="32" s="1"/>
  <c r="K150" i="25"/>
  <c r="AC150" i="32" s="1"/>
  <c r="AA149" i="32"/>
  <c r="AM149" i="32"/>
  <c r="G149" i="25"/>
  <c r="AD149" i="32" s="1"/>
  <c r="K149" i="25"/>
  <c r="AC149" i="32" s="1"/>
  <c r="AA148" i="32"/>
  <c r="AM148" i="32"/>
  <c r="G148" i="25"/>
  <c r="AD148" i="32" s="1"/>
  <c r="K148" i="25"/>
  <c r="AC148" i="32" s="1"/>
  <c r="AM147" i="32"/>
  <c r="G147" i="25"/>
  <c r="AD147" i="32" s="1"/>
  <c r="K147" i="25"/>
  <c r="AC147" i="32" s="1"/>
  <c r="AA146" i="32"/>
  <c r="AM146" i="32"/>
  <c r="G146" i="25"/>
  <c r="AD146" i="32" s="1"/>
  <c r="K146" i="25"/>
  <c r="AC146" i="32" s="1"/>
  <c r="AA145" i="32"/>
  <c r="AM145" i="32"/>
  <c r="G145" i="25"/>
  <c r="AD145" i="32" s="1"/>
  <c r="K145" i="25"/>
  <c r="AC145" i="32" s="1"/>
  <c r="AM144" i="32"/>
  <c r="G144" i="25"/>
  <c r="AD144" i="32" s="1"/>
  <c r="K144" i="25"/>
  <c r="AC144" i="32" s="1"/>
  <c r="AA143" i="32"/>
  <c r="AM143" i="32"/>
  <c r="G143" i="25"/>
  <c r="AD143" i="32" s="1"/>
  <c r="K143" i="25"/>
  <c r="AC143" i="32" s="1"/>
  <c r="AA142" i="32"/>
  <c r="AM142" i="32"/>
  <c r="G142" i="25"/>
  <c r="AD142" i="32" s="1"/>
  <c r="K142" i="25"/>
  <c r="AC142" i="32" s="1"/>
  <c r="AA141" i="32"/>
  <c r="AM141" i="32"/>
  <c r="G141" i="25"/>
  <c r="AD141" i="32" s="1"/>
  <c r="K141" i="25"/>
  <c r="AC141" i="32" s="1"/>
  <c r="AA140" i="32"/>
  <c r="AM140" i="32"/>
  <c r="G140" i="25"/>
  <c r="AD140" i="32" s="1"/>
  <c r="K140" i="25"/>
  <c r="AC140" i="32" s="1"/>
  <c r="AM139" i="32"/>
  <c r="G139" i="25"/>
  <c r="AD139" i="32" s="1"/>
  <c r="K139" i="25"/>
  <c r="AC139" i="32" s="1"/>
  <c r="AA138" i="32"/>
  <c r="AM138" i="32"/>
  <c r="G138" i="25"/>
  <c r="AD138" i="32" s="1"/>
  <c r="K138" i="25"/>
  <c r="AC138" i="32" s="1"/>
  <c r="AA137" i="32"/>
  <c r="AM137" i="32"/>
  <c r="G137" i="25"/>
  <c r="AD137" i="32" s="1"/>
  <c r="K137" i="25"/>
  <c r="AC137" i="32" s="1"/>
  <c r="AA136" i="32"/>
  <c r="AM136" i="32"/>
  <c r="G136" i="25"/>
  <c r="AD136" i="32" s="1"/>
  <c r="K136" i="25"/>
  <c r="AC136" i="32" s="1"/>
  <c r="AA135" i="32"/>
  <c r="AM135" i="32"/>
  <c r="G135" i="25"/>
  <c r="AD135" i="32" s="1"/>
  <c r="K135" i="25"/>
  <c r="AC135" i="32" s="1"/>
  <c r="AA134" i="32"/>
  <c r="AM134" i="32"/>
  <c r="G134" i="25"/>
  <c r="AD134" i="32" s="1"/>
  <c r="K134" i="25"/>
  <c r="AC134" i="32" s="1"/>
  <c r="AA133" i="32"/>
  <c r="AM133" i="32"/>
  <c r="G133" i="25"/>
  <c r="AD133" i="32"/>
  <c r="K133" i="25"/>
  <c r="AC133" i="32" s="1"/>
  <c r="AA132" i="32"/>
  <c r="AM132" i="32"/>
  <c r="G132" i="25"/>
  <c r="AD132" i="32" s="1"/>
  <c r="K132" i="25"/>
  <c r="AC132" i="32" s="1"/>
  <c r="AM131" i="32"/>
  <c r="G131" i="25"/>
  <c r="AD131" i="32" s="1"/>
  <c r="K131" i="25"/>
  <c r="AC131" i="32" s="1"/>
  <c r="AA130" i="32"/>
  <c r="AM130" i="32"/>
  <c r="G130" i="25"/>
  <c r="AD130" i="32" s="1"/>
  <c r="K130" i="25"/>
  <c r="AC130" i="32" s="1"/>
  <c r="AM129" i="32"/>
  <c r="G129" i="25"/>
  <c r="AD129" i="32"/>
  <c r="K129" i="25"/>
  <c r="AC129" i="32" s="1"/>
  <c r="AA128" i="32"/>
  <c r="AM128" i="32"/>
  <c r="G128" i="25"/>
  <c r="AD128" i="32" s="1"/>
  <c r="K128" i="25"/>
  <c r="AC128" i="32" s="1"/>
  <c r="AA127" i="32"/>
  <c r="AM127" i="32"/>
  <c r="G127" i="25"/>
  <c r="AD127" i="32" s="1"/>
  <c r="K127" i="25"/>
  <c r="AC127" i="32" s="1"/>
  <c r="AA126" i="32"/>
  <c r="AM126" i="32"/>
  <c r="G126" i="25"/>
  <c r="AD126" i="32" s="1"/>
  <c r="K126" i="25"/>
  <c r="AC126" i="32" s="1"/>
  <c r="AA125" i="32"/>
  <c r="AM125" i="32"/>
  <c r="G125" i="25"/>
  <c r="AD125" i="32" s="1"/>
  <c r="K125" i="25"/>
  <c r="AC125" i="32" s="1"/>
  <c r="AA124" i="32"/>
  <c r="AM124" i="32"/>
  <c r="G124" i="25"/>
  <c r="AD124" i="32" s="1"/>
  <c r="K124" i="25"/>
  <c r="AC124" i="32" s="1"/>
  <c r="AM123" i="32"/>
  <c r="G123" i="25"/>
  <c r="AD123" i="32" s="1"/>
  <c r="K123" i="25"/>
  <c r="AC123" i="32" s="1"/>
  <c r="AA122" i="32"/>
  <c r="AM122" i="32"/>
  <c r="G122" i="25"/>
  <c r="AD122" i="32" s="1"/>
  <c r="K122" i="25"/>
  <c r="AC122" i="32" s="1"/>
  <c r="AA121" i="32"/>
  <c r="AM121" i="32"/>
  <c r="G121" i="25"/>
  <c r="AD121" i="32" s="1"/>
  <c r="K121" i="25"/>
  <c r="AC121" i="32" s="1"/>
  <c r="AA120" i="32"/>
  <c r="AM120" i="32"/>
  <c r="G120" i="25"/>
  <c r="AD120" i="32" s="1"/>
  <c r="K120" i="25"/>
  <c r="AC120" i="32" s="1"/>
  <c r="AA119" i="32"/>
  <c r="AM119" i="32"/>
  <c r="G119" i="25"/>
  <c r="AD119" i="32" s="1"/>
  <c r="K119" i="25"/>
  <c r="AC119" i="32" s="1"/>
  <c r="AA118" i="32"/>
  <c r="AM118" i="32"/>
  <c r="G118" i="25"/>
  <c r="AD118" i="32" s="1"/>
  <c r="K118" i="25"/>
  <c r="AC118" i="32" s="1"/>
  <c r="AA117" i="32"/>
  <c r="AM117" i="32"/>
  <c r="G117" i="25"/>
  <c r="AD117" i="32" s="1"/>
  <c r="K117" i="25"/>
  <c r="AC117" i="32" s="1"/>
  <c r="AA116" i="32"/>
  <c r="AM116" i="32"/>
  <c r="G116" i="25"/>
  <c r="AD116" i="32" s="1"/>
  <c r="K116" i="25"/>
  <c r="AC116" i="32" s="1"/>
  <c r="AM115" i="32"/>
  <c r="G115" i="25"/>
  <c r="AD115" i="32" s="1"/>
  <c r="K115" i="25"/>
  <c r="AC115" i="32" s="1"/>
  <c r="AA114" i="32"/>
  <c r="AM114" i="32"/>
  <c r="G114" i="25"/>
  <c r="AD114" i="32" s="1"/>
  <c r="K114" i="25"/>
  <c r="AC114" i="32" s="1"/>
  <c r="AM113" i="32"/>
  <c r="G113" i="25"/>
  <c r="AD113" i="32" s="1"/>
  <c r="K113" i="25"/>
  <c r="AC113" i="32" s="1"/>
  <c r="AA112" i="32"/>
  <c r="AM112" i="32"/>
  <c r="G112" i="25"/>
  <c r="AD112" i="32" s="1"/>
  <c r="K112" i="25"/>
  <c r="AC112" i="32" s="1"/>
  <c r="AA111" i="32"/>
  <c r="AM111" i="32"/>
  <c r="G111" i="25"/>
  <c r="AD111" i="32" s="1"/>
  <c r="K111" i="25"/>
  <c r="AC111" i="32" s="1"/>
  <c r="AA110" i="32"/>
  <c r="AM110" i="32"/>
  <c r="G110" i="25"/>
  <c r="AD110" i="32" s="1"/>
  <c r="K110" i="25"/>
  <c r="AC110" i="32" s="1"/>
  <c r="AA109" i="32"/>
  <c r="AM109" i="32"/>
  <c r="G109" i="25"/>
  <c r="AD109" i="32" s="1"/>
  <c r="K109" i="25"/>
  <c r="AC109" i="32" s="1"/>
  <c r="AA108" i="32"/>
  <c r="AM108" i="32"/>
  <c r="G108" i="25"/>
  <c r="AD108" i="32" s="1"/>
  <c r="K108" i="25"/>
  <c r="AC108" i="32" s="1"/>
  <c r="AM107" i="32"/>
  <c r="G107" i="25"/>
  <c r="AD107" i="32" s="1"/>
  <c r="K107" i="25"/>
  <c r="AC107" i="32" s="1"/>
  <c r="AA106" i="32"/>
  <c r="AM106" i="32"/>
  <c r="G106" i="25"/>
  <c r="AD106" i="32" s="1"/>
  <c r="K106" i="25"/>
  <c r="AC106" i="32" s="1"/>
  <c r="AA105" i="32"/>
  <c r="AM105" i="32"/>
  <c r="G105" i="25"/>
  <c r="AD105" i="32" s="1"/>
  <c r="K105" i="25"/>
  <c r="AC105" i="32" s="1"/>
  <c r="AA104" i="32"/>
  <c r="AM104" i="32"/>
  <c r="G104" i="25"/>
  <c r="AD104" i="32" s="1"/>
  <c r="K104" i="25"/>
  <c r="AC104" i="32" s="1"/>
  <c r="AA103" i="32"/>
  <c r="AM103" i="32"/>
  <c r="G103" i="25"/>
  <c r="AD103" i="32" s="1"/>
  <c r="K103" i="25"/>
  <c r="AC103" i="32" s="1"/>
  <c r="AA102" i="32"/>
  <c r="AM102" i="32"/>
  <c r="G102" i="25"/>
  <c r="AD102" i="32" s="1"/>
  <c r="K102" i="25"/>
  <c r="AC102" i="32" s="1"/>
  <c r="AM101" i="32"/>
  <c r="G101" i="25"/>
  <c r="AD101" i="32" s="1"/>
  <c r="K101" i="25"/>
  <c r="AC101" i="32" s="1"/>
  <c r="AA100" i="32"/>
  <c r="AM100" i="32"/>
  <c r="G100" i="25"/>
  <c r="AD100" i="32" s="1"/>
  <c r="K100" i="25"/>
  <c r="AC100" i="32" s="1"/>
  <c r="AM99" i="32"/>
  <c r="G99" i="25"/>
  <c r="K99" i="25"/>
  <c r="AC99" i="32" s="1"/>
  <c r="AA98" i="32"/>
  <c r="AM98" i="32"/>
  <c r="G98" i="25"/>
  <c r="K98" i="25"/>
  <c r="AC98" i="32" s="1"/>
  <c r="AM97" i="32"/>
  <c r="G97" i="25"/>
  <c r="K97" i="25"/>
  <c r="AC97" i="32" s="1"/>
  <c r="AM96" i="32"/>
  <c r="G96" i="25"/>
  <c r="K96" i="25"/>
  <c r="AC96" i="32" s="1"/>
  <c r="AA95" i="32"/>
  <c r="AM95" i="32"/>
  <c r="G95" i="25"/>
  <c r="K95" i="25"/>
  <c r="AC95" i="32" s="1"/>
  <c r="AA94" i="32"/>
  <c r="AM94" i="32"/>
  <c r="G94" i="25"/>
  <c r="K94" i="25"/>
  <c r="AC94" i="32" s="1"/>
  <c r="AM93" i="32"/>
  <c r="G93" i="25"/>
  <c r="K93" i="25"/>
  <c r="AC93" i="32" s="1"/>
  <c r="AA92" i="32"/>
  <c r="AM92" i="32"/>
  <c r="G92" i="25"/>
  <c r="K92" i="25"/>
  <c r="AC92" i="32" s="1"/>
  <c r="AM91" i="32"/>
  <c r="G91" i="25"/>
  <c r="K91" i="25"/>
  <c r="AC91" i="32" s="1"/>
  <c r="AA90" i="32"/>
  <c r="AM90" i="32"/>
  <c r="G90" i="25"/>
  <c r="AD90" i="32" s="1"/>
  <c r="K90" i="25"/>
  <c r="AC90" i="32" s="1"/>
  <c r="AM89" i="32"/>
  <c r="G89" i="25"/>
  <c r="AD89" i="32" s="1"/>
  <c r="K89" i="25"/>
  <c r="AC89" i="32" s="1"/>
  <c r="AM88" i="32"/>
  <c r="G88" i="25"/>
  <c r="AD88" i="32" s="1"/>
  <c r="K88" i="25"/>
  <c r="AC88" i="32" s="1"/>
  <c r="AA87" i="32"/>
  <c r="AM87" i="32"/>
  <c r="G87" i="25"/>
  <c r="AD87" i="32" s="1"/>
  <c r="K87" i="25"/>
  <c r="AC87" i="32" s="1"/>
  <c r="AA86" i="32"/>
  <c r="AM86" i="32"/>
  <c r="G86" i="25"/>
  <c r="AD86" i="32" s="1"/>
  <c r="K86" i="25"/>
  <c r="AC86" i="32" s="1"/>
  <c r="AM85" i="32"/>
  <c r="G85" i="25"/>
  <c r="AD85" i="32" s="1"/>
  <c r="K85" i="25"/>
  <c r="AC85" i="32" s="1"/>
  <c r="AA84" i="32"/>
  <c r="AM84" i="32"/>
  <c r="G84" i="25"/>
  <c r="AD84" i="32" s="1"/>
  <c r="K84" i="25"/>
  <c r="AC84" i="32" s="1"/>
  <c r="AA83" i="32"/>
  <c r="AM83" i="32"/>
  <c r="G83" i="25"/>
  <c r="AD83" i="32" s="1"/>
  <c r="K83" i="25"/>
  <c r="AC83" i="32" s="1"/>
  <c r="AM82" i="32"/>
  <c r="G82" i="25"/>
  <c r="AD82" i="32" s="1"/>
  <c r="K82" i="25"/>
  <c r="AC82" i="32" s="1"/>
  <c r="AA81" i="32"/>
  <c r="AM81" i="32"/>
  <c r="G81" i="25"/>
  <c r="AD81" i="32" s="1"/>
  <c r="K81" i="25"/>
  <c r="AC81" i="32" s="1"/>
  <c r="AA80" i="32"/>
  <c r="AM80" i="32"/>
  <c r="G80" i="25"/>
  <c r="AD80" i="32" s="1"/>
  <c r="K80" i="25"/>
  <c r="AC80" i="32" s="1"/>
  <c r="AM79" i="32"/>
  <c r="G79" i="25"/>
  <c r="AD79" i="32" s="1"/>
  <c r="K79" i="25"/>
  <c r="AC79" i="32" s="1"/>
  <c r="AA78" i="32"/>
  <c r="AM78" i="32"/>
  <c r="G78" i="25"/>
  <c r="AD78" i="32" s="1"/>
  <c r="K78" i="25"/>
  <c r="AC78" i="32" s="1"/>
  <c r="AM77" i="32"/>
  <c r="G77" i="25"/>
  <c r="AD77" i="32" s="1"/>
  <c r="K77" i="25"/>
  <c r="AC77" i="32" s="1"/>
  <c r="AA76" i="32"/>
  <c r="AM76" i="32"/>
  <c r="G76" i="25"/>
  <c r="AD76" i="32" s="1"/>
  <c r="K76" i="25"/>
  <c r="AC76" i="32" s="1"/>
  <c r="AM75" i="32"/>
  <c r="G75" i="25"/>
  <c r="AD75" i="32" s="1"/>
  <c r="K75" i="25"/>
  <c r="AC75" i="32" s="1"/>
  <c r="AA74" i="32"/>
  <c r="AM74" i="32"/>
  <c r="G74" i="25"/>
  <c r="AD74" i="32" s="1"/>
  <c r="K74" i="25"/>
  <c r="AC74" i="32" s="1"/>
  <c r="AA73" i="32"/>
  <c r="AM73" i="32"/>
  <c r="G73" i="25"/>
  <c r="AD73" i="32" s="1"/>
  <c r="K73" i="25"/>
  <c r="AC73" i="32" s="1"/>
  <c r="AM72" i="32"/>
  <c r="G72" i="25"/>
  <c r="K72" i="25"/>
  <c r="AC72" i="32" s="1"/>
  <c r="AM71" i="32"/>
  <c r="G71" i="25"/>
  <c r="AD71" i="32" s="1"/>
  <c r="K71" i="25"/>
  <c r="AC71" i="32"/>
  <c r="AA70" i="32"/>
  <c r="AM70" i="32"/>
  <c r="G70" i="25"/>
  <c r="AD70" i="32" s="1"/>
  <c r="K70" i="25"/>
  <c r="AC70" i="32" s="1"/>
  <c r="AM69" i="32"/>
  <c r="G69" i="25"/>
  <c r="AD69" i="32" s="1"/>
  <c r="K69" i="25"/>
  <c r="AC69" i="32" s="1"/>
  <c r="AM68" i="32"/>
  <c r="G68" i="25"/>
  <c r="K68" i="25"/>
  <c r="AC68" i="32" s="1"/>
  <c r="AM67" i="32"/>
  <c r="G67" i="25"/>
  <c r="AD67" i="32" s="1"/>
  <c r="K67" i="25"/>
  <c r="AC67" i="32" s="1"/>
  <c r="AA66" i="32"/>
  <c r="AM66" i="32"/>
  <c r="G66" i="25"/>
  <c r="K66" i="25"/>
  <c r="AC66" i="32" s="1"/>
  <c r="AM65" i="32"/>
  <c r="G65" i="25"/>
  <c r="AD65" i="32" s="1"/>
  <c r="K65" i="25"/>
  <c r="AC65" i="32" s="1"/>
  <c r="AM64" i="32"/>
  <c r="G64" i="25"/>
  <c r="AD64" i="32" s="1"/>
  <c r="K64" i="25"/>
  <c r="AA63" i="32"/>
  <c r="AM63" i="32"/>
  <c r="G63" i="25"/>
  <c r="AD63" i="32" s="1"/>
  <c r="K63" i="25"/>
  <c r="AC63" i="32" s="1"/>
  <c r="AM62" i="32"/>
  <c r="G62" i="25"/>
  <c r="K62" i="25"/>
  <c r="AC62" i="32" s="1"/>
  <c r="AM61" i="32"/>
  <c r="G61" i="25"/>
  <c r="AD61" i="32" s="1"/>
  <c r="K61" i="25"/>
  <c r="AC61" i="32"/>
  <c r="AA60" i="32"/>
  <c r="AM60" i="32"/>
  <c r="G60" i="25"/>
  <c r="AD60" i="32" s="1"/>
  <c r="K60" i="25"/>
  <c r="AQ60" i="25" s="1"/>
  <c r="AA59" i="32"/>
  <c r="AM59" i="32"/>
  <c r="G59" i="25"/>
  <c r="AD59" i="32" s="1"/>
  <c r="K59" i="25"/>
  <c r="AM58" i="32"/>
  <c r="G58" i="25"/>
  <c r="K58" i="25"/>
  <c r="AC58" i="32" s="1"/>
  <c r="AM57" i="32"/>
  <c r="G57" i="25"/>
  <c r="AD57" i="32" s="1"/>
  <c r="K57" i="25"/>
  <c r="AC57" i="32" s="1"/>
  <c r="AA56" i="32"/>
  <c r="AM56" i="32"/>
  <c r="G56" i="25"/>
  <c r="K56" i="25"/>
  <c r="AM55" i="32"/>
  <c r="G55" i="25"/>
  <c r="AD55" i="32" s="1"/>
  <c r="K55" i="25"/>
  <c r="AM54" i="32"/>
  <c r="G54" i="25"/>
  <c r="AD54" i="32" s="1"/>
  <c r="K54" i="25"/>
  <c r="AC54" i="32" s="1"/>
  <c r="AA53" i="32"/>
  <c r="AM53" i="32"/>
  <c r="G53" i="25"/>
  <c r="K53" i="25"/>
  <c r="AC53" i="32" s="1"/>
  <c r="AM52" i="32"/>
  <c r="G52" i="25"/>
  <c r="K52" i="25"/>
  <c r="AC52" i="32" s="1"/>
  <c r="AA51" i="32"/>
  <c r="AM51" i="32"/>
  <c r="G51" i="25"/>
  <c r="AD51" i="32" s="1"/>
  <c r="K51" i="25"/>
  <c r="AC51" i="32"/>
  <c r="AM50" i="32"/>
  <c r="G50" i="25"/>
  <c r="AD50" i="32" s="1"/>
  <c r="K50" i="25"/>
  <c r="AC50" i="32" s="1"/>
  <c r="AA49" i="32"/>
  <c r="AM49" i="32"/>
  <c r="G49" i="25"/>
  <c r="K49" i="25"/>
  <c r="AC49" i="32" s="1"/>
  <c r="AA48" i="32"/>
  <c r="AM48" i="32"/>
  <c r="G48" i="25"/>
  <c r="K48" i="25"/>
  <c r="AC48" i="32" s="1"/>
  <c r="AM47" i="32"/>
  <c r="G47" i="25"/>
  <c r="AD47" i="32" s="1"/>
  <c r="K47" i="25"/>
  <c r="AC47" i="32"/>
  <c r="AA46" i="32"/>
  <c r="AM46" i="32"/>
  <c r="G46" i="25"/>
  <c r="AD46" i="32" s="1"/>
  <c r="K46" i="25"/>
  <c r="AC46" i="32" s="1"/>
  <c r="AM45" i="32"/>
  <c r="G45" i="25"/>
  <c r="K45" i="25"/>
  <c r="AC45" i="32" s="1"/>
  <c r="AM44" i="32"/>
  <c r="G44" i="25"/>
  <c r="K44" i="25"/>
  <c r="AC44" i="32" s="1"/>
  <c r="AA43" i="32"/>
  <c r="AM43" i="32"/>
  <c r="G43" i="25"/>
  <c r="AD43" i="32" s="1"/>
  <c r="K43" i="25"/>
  <c r="AC43" i="32"/>
  <c r="AM42" i="32"/>
  <c r="G42" i="25"/>
  <c r="AD42" i="32" s="1"/>
  <c r="K42" i="25"/>
  <c r="AC42" i="32" s="1"/>
  <c r="AA41" i="32"/>
  <c r="AM41" i="32"/>
  <c r="G41" i="25"/>
  <c r="K41" i="25"/>
  <c r="AC41" i="32" s="1"/>
  <c r="AM40" i="32"/>
  <c r="G40" i="25"/>
  <c r="K40" i="25"/>
  <c r="AC40" i="32" s="1"/>
  <c r="AA39" i="32"/>
  <c r="AM39" i="32"/>
  <c r="G39" i="25"/>
  <c r="AD39" i="32" s="1"/>
  <c r="K39" i="25"/>
  <c r="AC39" i="32"/>
  <c r="AA38" i="32"/>
  <c r="AM38" i="32"/>
  <c r="G38" i="25"/>
  <c r="AD38" i="32" s="1"/>
  <c r="K38" i="25"/>
  <c r="AC38" i="32" s="1"/>
  <c r="AM37" i="32"/>
  <c r="G37" i="25"/>
  <c r="AD37" i="32" s="1"/>
  <c r="K37" i="25"/>
  <c r="AC37" i="32" s="1"/>
  <c r="AM36" i="32"/>
  <c r="G36" i="25"/>
  <c r="AD36" i="32" s="1"/>
  <c r="K36" i="25"/>
  <c r="AM35" i="32"/>
  <c r="G35" i="25"/>
  <c r="AD35" i="32" s="1"/>
  <c r="K35" i="25"/>
  <c r="AM34" i="32"/>
  <c r="G34" i="25"/>
  <c r="AD34" i="32" s="1"/>
  <c r="K34" i="25"/>
  <c r="AC34" i="32" s="1"/>
  <c r="AA33" i="32"/>
  <c r="AM33" i="32"/>
  <c r="G33" i="25"/>
  <c r="AD33" i="32" s="1"/>
  <c r="K33" i="25"/>
  <c r="AC33" i="32" s="1"/>
  <c r="AM32" i="32"/>
  <c r="G32" i="25"/>
  <c r="AD32" i="32"/>
  <c r="K32" i="25"/>
  <c r="AA31" i="32"/>
  <c r="AM31" i="32"/>
  <c r="G31" i="25"/>
  <c r="K31" i="25"/>
  <c r="AM30" i="32"/>
  <c r="G30" i="25"/>
  <c r="K30" i="25"/>
  <c r="AC30" i="32" s="1"/>
  <c r="AM29" i="32"/>
  <c r="G29" i="25"/>
  <c r="AD29" i="32"/>
  <c r="K29" i="25"/>
  <c r="AC29" i="32" s="1"/>
  <c r="AA28" i="32"/>
  <c r="AM28" i="32"/>
  <c r="G28" i="25"/>
  <c r="B28" i="25" s="1"/>
  <c r="K28" i="25"/>
  <c r="AC28" i="32" s="1"/>
  <c r="AA27" i="32"/>
  <c r="AM27" i="32"/>
  <c r="G27" i="25"/>
  <c r="K27" i="25"/>
  <c r="AC27" i="32" s="1"/>
  <c r="AA26" i="32"/>
  <c r="AM26" i="32"/>
  <c r="G26" i="25"/>
  <c r="AD26" i="32" s="1"/>
  <c r="K26" i="25"/>
  <c r="AC26" i="32" s="1"/>
  <c r="AA25" i="32"/>
  <c r="AM25" i="32"/>
  <c r="G25" i="25"/>
  <c r="AD25" i="32"/>
  <c r="K25" i="25"/>
  <c r="AC25" i="32" s="1"/>
  <c r="AM24" i="32"/>
  <c r="G24" i="25"/>
  <c r="H24" i="25" s="1"/>
  <c r="K24" i="25"/>
  <c r="AC24" i="32" s="1"/>
  <c r="AM2" i="32"/>
  <c r="AA3" i="32"/>
  <c r="AM3" i="32"/>
  <c r="AA4" i="32"/>
  <c r="AM4" i="32"/>
  <c r="AM5" i="32"/>
  <c r="AA6" i="32"/>
  <c r="AM6" i="32"/>
  <c r="AM7" i="32"/>
  <c r="AM8" i="32"/>
  <c r="AM9" i="32"/>
  <c r="AA10" i="32"/>
  <c r="AM10" i="32"/>
  <c r="AM11" i="32"/>
  <c r="AA12" i="32"/>
  <c r="AM12" i="32"/>
  <c r="AM13" i="32"/>
  <c r="AM14" i="32"/>
  <c r="AM15" i="32"/>
  <c r="AA16" i="32"/>
  <c r="AM16" i="32"/>
  <c r="AM17" i="32"/>
  <c r="AA18" i="32"/>
  <c r="AM18" i="32"/>
  <c r="AM19" i="32"/>
  <c r="AM20" i="32"/>
  <c r="AA21" i="32"/>
  <c r="AM21" i="32"/>
  <c r="AM22" i="32"/>
  <c r="AA23" i="32"/>
  <c r="AM23" i="32"/>
  <c r="K2" i="25"/>
  <c r="AC2" i="32" s="1"/>
  <c r="G2" i="25"/>
  <c r="AD2" i="32"/>
  <c r="K3" i="25"/>
  <c r="AC3" i="32" s="1"/>
  <c r="G3" i="25"/>
  <c r="AD3" i="32" s="1"/>
  <c r="K4" i="25"/>
  <c r="AC4" i="32" s="1"/>
  <c r="G4" i="25"/>
  <c r="AD4" i="32"/>
  <c r="K5" i="25"/>
  <c r="AC5" i="32" s="1"/>
  <c r="G5" i="25"/>
  <c r="AD5" i="32" s="1"/>
  <c r="K6" i="25"/>
  <c r="AC6" i="32"/>
  <c r="G6" i="25"/>
  <c r="AD6" i="32" s="1"/>
  <c r="K7" i="25"/>
  <c r="AC7" i="32"/>
  <c r="G7" i="25"/>
  <c r="AD7" i="32" s="1"/>
  <c r="K8" i="25"/>
  <c r="AC8" i="32"/>
  <c r="G8" i="25"/>
  <c r="K9" i="25"/>
  <c r="AC9" i="32" s="1"/>
  <c r="G9" i="25"/>
  <c r="B9" i="25" s="1"/>
  <c r="K10" i="25"/>
  <c r="AC10" i="32" s="1"/>
  <c r="G10" i="25"/>
  <c r="K11" i="25"/>
  <c r="AC11" i="32" s="1"/>
  <c r="G11" i="25"/>
  <c r="AD11" i="32" s="1"/>
  <c r="K12" i="25"/>
  <c r="AC12" i="32" s="1"/>
  <c r="G12" i="25"/>
  <c r="B12" i="25" s="1"/>
  <c r="K13" i="25"/>
  <c r="AC13" i="32" s="1"/>
  <c r="G13" i="25"/>
  <c r="AD13" i="32" s="1"/>
  <c r="K14" i="25"/>
  <c r="AC14" i="32" s="1"/>
  <c r="G14" i="25"/>
  <c r="AD14" i="32" s="1"/>
  <c r="K15" i="25"/>
  <c r="AQ15" i="25" s="1"/>
  <c r="AC15" i="32"/>
  <c r="G15" i="25"/>
  <c r="AD15" i="32" s="1"/>
  <c r="K16" i="25"/>
  <c r="AC16" i="32"/>
  <c r="G16" i="25"/>
  <c r="K17" i="25"/>
  <c r="AC17" i="32" s="1"/>
  <c r="G17" i="25"/>
  <c r="AD17" i="32"/>
  <c r="K18" i="25"/>
  <c r="AC18" i="32" s="1"/>
  <c r="G18" i="25"/>
  <c r="K19" i="25"/>
  <c r="G19" i="25"/>
  <c r="AD19" i="32" s="1"/>
  <c r="K20" i="25"/>
  <c r="AC20" i="32" s="1"/>
  <c r="G20" i="25"/>
  <c r="H20" i="25" s="1"/>
  <c r="K21" i="25"/>
  <c r="AC21" i="32" s="1"/>
  <c r="G21" i="25"/>
  <c r="AD21" i="32" s="1"/>
  <c r="K22" i="25"/>
  <c r="AC22" i="32" s="1"/>
  <c r="G22" i="25"/>
  <c r="AD22" i="32" s="1"/>
  <c r="K23" i="25"/>
  <c r="AQ23" i="25" s="1"/>
  <c r="G23" i="25"/>
  <c r="AD23" i="32" s="1"/>
  <c r="O28" i="4"/>
  <c r="AH2" i="25"/>
  <c r="AH3" i="25"/>
  <c r="AH4" i="25"/>
  <c r="AH5" i="25"/>
  <c r="AQ5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65" i="25"/>
  <c r="AH66" i="25"/>
  <c r="AH67" i="25"/>
  <c r="AH68" i="25"/>
  <c r="AH69" i="25"/>
  <c r="AH70" i="25"/>
  <c r="AH71" i="25"/>
  <c r="AH72" i="25"/>
  <c r="AH73" i="25"/>
  <c r="AH74" i="25"/>
  <c r="AH75" i="25"/>
  <c r="AH76" i="25"/>
  <c r="AH77" i="25"/>
  <c r="AH78" i="25"/>
  <c r="AH79" i="25"/>
  <c r="AH80" i="25"/>
  <c r="AH81" i="25"/>
  <c r="AH82" i="25"/>
  <c r="AH83" i="25"/>
  <c r="AH84" i="25"/>
  <c r="AH85" i="25"/>
  <c r="AH86" i="25"/>
  <c r="AH87" i="25"/>
  <c r="AH88" i="25"/>
  <c r="AH89" i="25"/>
  <c r="AH90" i="25"/>
  <c r="AH91" i="25"/>
  <c r="AH92" i="25"/>
  <c r="AH93" i="25"/>
  <c r="AH94" i="25"/>
  <c r="AH95" i="25"/>
  <c r="AH96" i="25"/>
  <c r="AH97" i="25"/>
  <c r="AH98" i="25"/>
  <c r="AH99" i="25"/>
  <c r="AH100" i="25"/>
  <c r="AH101" i="25"/>
  <c r="AH102" i="25"/>
  <c r="AH103" i="25"/>
  <c r="AH104" i="25"/>
  <c r="AH105" i="25"/>
  <c r="AH106" i="25"/>
  <c r="AH107" i="25"/>
  <c r="AH108" i="25"/>
  <c r="AH109" i="25"/>
  <c r="AH110" i="25"/>
  <c r="AH111" i="25"/>
  <c r="AH112" i="25"/>
  <c r="AH113" i="25"/>
  <c r="AH114" i="25"/>
  <c r="AH115" i="25"/>
  <c r="AH116" i="25"/>
  <c r="AH117" i="25"/>
  <c r="AH118" i="25"/>
  <c r="AH119" i="25"/>
  <c r="AH120" i="25"/>
  <c r="AH121" i="25"/>
  <c r="AH122" i="25"/>
  <c r="AH123" i="25"/>
  <c r="AH124" i="25"/>
  <c r="AH125" i="25"/>
  <c r="AH126" i="25"/>
  <c r="AH127" i="25"/>
  <c r="AH128" i="25"/>
  <c r="AH129" i="25"/>
  <c r="AH130" i="25"/>
  <c r="AH131" i="25"/>
  <c r="AH132" i="25"/>
  <c r="AH133" i="25"/>
  <c r="AH134" i="25"/>
  <c r="AH135" i="25"/>
  <c r="AH136" i="25"/>
  <c r="AH137" i="25"/>
  <c r="AH138" i="25"/>
  <c r="AH139" i="25"/>
  <c r="AH140" i="25"/>
  <c r="AH141" i="25"/>
  <c r="AH142" i="25"/>
  <c r="AH143" i="25"/>
  <c r="AH144" i="25"/>
  <c r="AH145" i="25"/>
  <c r="AH146" i="25"/>
  <c r="AH147" i="25"/>
  <c r="AH148" i="25"/>
  <c r="AH149" i="25"/>
  <c r="AH150" i="25"/>
  <c r="AH151" i="25"/>
  <c r="AH152" i="25"/>
  <c r="AH153" i="25"/>
  <c r="AH154" i="25"/>
  <c r="AH155" i="25"/>
  <c r="AH156" i="25"/>
  <c r="AH157" i="25"/>
  <c r="AH158" i="25"/>
  <c r="AH159" i="25"/>
  <c r="AH160" i="25"/>
  <c r="AH161" i="25"/>
  <c r="AH162" i="25"/>
  <c r="AH163" i="25"/>
  <c r="AH164" i="25"/>
  <c r="AH165" i="25"/>
  <c r="AH166" i="25"/>
  <c r="AH167" i="25"/>
  <c r="AH168" i="25"/>
  <c r="AH169" i="25"/>
  <c r="AH170" i="25"/>
  <c r="AH171" i="25"/>
  <c r="AH172" i="25"/>
  <c r="AH173" i="25"/>
  <c r="AH174" i="25"/>
  <c r="AH175" i="25"/>
  <c r="AH176" i="25"/>
  <c r="AH177" i="25"/>
  <c r="AH178" i="25"/>
  <c r="AH179" i="25"/>
  <c r="AH180" i="25"/>
  <c r="AH181" i="25"/>
  <c r="AH182" i="25"/>
  <c r="AH183" i="25"/>
  <c r="AH184" i="25"/>
  <c r="AH185" i="25"/>
  <c r="AH186" i="25"/>
  <c r="AH187" i="25"/>
  <c r="AH188" i="25"/>
  <c r="AH189" i="25"/>
  <c r="AH190" i="25"/>
  <c r="AH191" i="25"/>
  <c r="AH192" i="25"/>
  <c r="AH193" i="25"/>
  <c r="AH194" i="25"/>
  <c r="AH195" i="25"/>
  <c r="AH196" i="25"/>
  <c r="AH197" i="25"/>
  <c r="AH198" i="25"/>
  <c r="AH199" i="25"/>
  <c r="AH200" i="25"/>
  <c r="AH201" i="25"/>
  <c r="AH202" i="25"/>
  <c r="AH203" i="25"/>
  <c r="AH204" i="25"/>
  <c r="AH205" i="25"/>
  <c r="AH206" i="25"/>
  <c r="AH207" i="25"/>
  <c r="AH208" i="25"/>
  <c r="AH209" i="25"/>
  <c r="AH210" i="25"/>
  <c r="AH211" i="25"/>
  <c r="AH212" i="25"/>
  <c r="AH213" i="25"/>
  <c r="AH214" i="25"/>
  <c r="AH215" i="25"/>
  <c r="AH216" i="25"/>
  <c r="AH217" i="25"/>
  <c r="AH218" i="25"/>
  <c r="AH219" i="25"/>
  <c r="AH220" i="25"/>
  <c r="AH221" i="25"/>
  <c r="AH222" i="25"/>
  <c r="AH223" i="25"/>
  <c r="AH224" i="25"/>
  <c r="AH225" i="25"/>
  <c r="AH226" i="25"/>
  <c r="AH227" i="25"/>
  <c r="AH228" i="25"/>
  <c r="AH229" i="25"/>
  <c r="AH230" i="25"/>
  <c r="AH231" i="25"/>
  <c r="AH232" i="25"/>
  <c r="AH233" i="25"/>
  <c r="AH234" i="25"/>
  <c r="AH235" i="25"/>
  <c r="AH236" i="25"/>
  <c r="AH237" i="25"/>
  <c r="AH238" i="25"/>
  <c r="AH239" i="25"/>
  <c r="AH240" i="25"/>
  <c r="AH241" i="25"/>
  <c r="AH242" i="25"/>
  <c r="AH243" i="25"/>
  <c r="AH244" i="25"/>
  <c r="AH245" i="25"/>
  <c r="AH246" i="25"/>
  <c r="AH247" i="25"/>
  <c r="AH248" i="25"/>
  <c r="AH249" i="25"/>
  <c r="AH250" i="25"/>
  <c r="AH251" i="25"/>
  <c r="AH252" i="25"/>
  <c r="AH253" i="25"/>
  <c r="AH254" i="25"/>
  <c r="AH255" i="25"/>
  <c r="AH256" i="25"/>
  <c r="AH257" i="25"/>
  <c r="AH258" i="25"/>
  <c r="AH259" i="25"/>
  <c r="AH260" i="25"/>
  <c r="AH261" i="25"/>
  <c r="AH262" i="25"/>
  <c r="AH263" i="25"/>
  <c r="AH264" i="25"/>
  <c r="AH265" i="25"/>
  <c r="AH266" i="25"/>
  <c r="AH267" i="25"/>
  <c r="AH268" i="25"/>
  <c r="AH269" i="25"/>
  <c r="AH270" i="25"/>
  <c r="AH271" i="25"/>
  <c r="AH272" i="25"/>
  <c r="AH273" i="25"/>
  <c r="AH274" i="25"/>
  <c r="AH275" i="25"/>
  <c r="AH276" i="25"/>
  <c r="AH277" i="25"/>
  <c r="AH278" i="25"/>
  <c r="AH279" i="25"/>
  <c r="AH280" i="25"/>
  <c r="AH281" i="25"/>
  <c r="AH282" i="25"/>
  <c r="AH283" i="25"/>
  <c r="AH284" i="25"/>
  <c r="AH285" i="25"/>
  <c r="AH286" i="25"/>
  <c r="AH287" i="25"/>
  <c r="AH288" i="25"/>
  <c r="AH289" i="25"/>
  <c r="AH290" i="25"/>
  <c r="AH291" i="25"/>
  <c r="AH292" i="25"/>
  <c r="AH293" i="25"/>
  <c r="AH294" i="25"/>
  <c r="AH295" i="25"/>
  <c r="AH296" i="25"/>
  <c r="AH297" i="25"/>
  <c r="AH298" i="25"/>
  <c r="AH299" i="25"/>
  <c r="AH300" i="25"/>
  <c r="AH301" i="25"/>
  <c r="AH302" i="25"/>
  <c r="AH303" i="25"/>
  <c r="AH304" i="25"/>
  <c r="AH305" i="25"/>
  <c r="AH306" i="25"/>
  <c r="AQ6" i="25"/>
  <c r="AQ7" i="25"/>
  <c r="AQ8" i="25"/>
  <c r="AQ9" i="25"/>
  <c r="AQ10" i="25"/>
  <c r="AQ11" i="25"/>
  <c r="AQ12" i="25"/>
  <c r="AQ13" i="25"/>
  <c r="AQ14" i="25"/>
  <c r="AQ16" i="25"/>
  <c r="AQ17" i="25"/>
  <c r="AQ18" i="25"/>
  <c r="AQ20" i="25"/>
  <c r="AQ21" i="25"/>
  <c r="AQ24" i="25"/>
  <c r="AQ25" i="25"/>
  <c r="AQ26" i="25"/>
  <c r="AQ27" i="25"/>
  <c r="AQ28" i="25"/>
  <c r="AQ29" i="25"/>
  <c r="AQ30" i="25"/>
  <c r="AQ33" i="25"/>
  <c r="AQ34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7" i="25"/>
  <c r="AQ61" i="25"/>
  <c r="AQ62" i="25"/>
  <c r="AQ65" i="25"/>
  <c r="AQ66" i="25"/>
  <c r="AQ69" i="25"/>
  <c r="AQ70" i="25"/>
  <c r="AQ71" i="25"/>
  <c r="AQ73" i="25"/>
  <c r="AQ74" i="25"/>
  <c r="AQ75" i="25"/>
  <c r="AQ76" i="25"/>
  <c r="AQ77" i="25"/>
  <c r="AQ78" i="25"/>
  <c r="AQ79" i="25"/>
  <c r="AQ80" i="25"/>
  <c r="AQ81" i="25"/>
  <c r="AQ82" i="25"/>
  <c r="AQ83" i="25"/>
  <c r="AQ84" i="25"/>
  <c r="AQ85" i="25"/>
  <c r="AQ86" i="25"/>
  <c r="AQ87" i="25"/>
  <c r="AQ88" i="25"/>
  <c r="AQ89" i="25"/>
  <c r="AQ90" i="25"/>
  <c r="AQ91" i="25"/>
  <c r="AQ93" i="25"/>
  <c r="AQ94" i="25"/>
  <c r="AQ95" i="25"/>
  <c r="AQ97" i="25"/>
  <c r="AQ98" i="25"/>
  <c r="AQ99" i="25"/>
  <c r="AQ101" i="25"/>
  <c r="AQ102" i="25"/>
  <c r="AQ103" i="25"/>
  <c r="AQ104" i="25"/>
  <c r="AQ105" i="25"/>
  <c r="AQ106" i="25"/>
  <c r="AQ107" i="25"/>
  <c r="AQ108" i="25"/>
  <c r="AQ109" i="25"/>
  <c r="AQ110" i="25"/>
  <c r="AQ111" i="25"/>
  <c r="AQ112" i="25"/>
  <c r="AQ113" i="25"/>
  <c r="AQ114" i="25"/>
  <c r="AQ115" i="25"/>
  <c r="AQ116" i="25"/>
  <c r="AQ117" i="25"/>
  <c r="AQ118" i="25"/>
  <c r="AQ119" i="25"/>
  <c r="AQ120" i="25"/>
  <c r="AQ121" i="25"/>
  <c r="AQ122" i="25"/>
  <c r="AQ123" i="25"/>
  <c r="AQ124" i="25"/>
  <c r="AQ125" i="25"/>
  <c r="AQ126" i="25"/>
  <c r="AQ127" i="25"/>
  <c r="AQ128" i="25"/>
  <c r="AQ129" i="25"/>
  <c r="AQ130" i="25"/>
  <c r="AQ131" i="25"/>
  <c r="AQ132" i="25"/>
  <c r="AQ133" i="25"/>
  <c r="AQ134" i="25"/>
  <c r="AQ135" i="25"/>
  <c r="AQ136" i="25"/>
  <c r="AQ137" i="25"/>
  <c r="AQ138" i="25"/>
  <c r="AQ139" i="25"/>
  <c r="AQ140" i="25"/>
  <c r="AQ141" i="25"/>
  <c r="AQ142" i="25"/>
  <c r="AQ143" i="25"/>
  <c r="AQ144" i="25"/>
  <c r="AQ145" i="25"/>
  <c r="AQ146" i="25"/>
  <c r="AQ147" i="25"/>
  <c r="AQ148" i="25"/>
  <c r="AQ149" i="25"/>
  <c r="AQ150" i="25"/>
  <c r="AQ151" i="25"/>
  <c r="AQ152" i="25"/>
  <c r="AQ153" i="25"/>
  <c r="AQ154" i="25"/>
  <c r="AQ155" i="25"/>
  <c r="AQ156" i="25"/>
  <c r="AQ157" i="25"/>
  <c r="AQ158" i="25"/>
  <c r="AQ159" i="25"/>
  <c r="AQ160" i="25"/>
  <c r="AQ161" i="25"/>
  <c r="AQ162" i="25"/>
  <c r="AQ163" i="25"/>
  <c r="AQ164" i="25"/>
  <c r="AQ165" i="25"/>
  <c r="AQ166" i="25"/>
  <c r="AQ167" i="25"/>
  <c r="AQ168" i="25"/>
  <c r="AQ169" i="25"/>
  <c r="AQ170" i="25"/>
  <c r="AQ171" i="25"/>
  <c r="AQ172" i="25"/>
  <c r="AQ173" i="25"/>
  <c r="AQ174" i="25"/>
  <c r="AQ175" i="25"/>
  <c r="AQ176" i="25"/>
  <c r="AQ177" i="25"/>
  <c r="AQ178" i="25"/>
  <c r="AQ179" i="25"/>
  <c r="AQ180" i="25"/>
  <c r="AQ181" i="25"/>
  <c r="AQ182" i="25"/>
  <c r="AQ183" i="25"/>
  <c r="AQ184" i="25"/>
  <c r="AQ185" i="25"/>
  <c r="AQ186" i="25"/>
  <c r="AQ187" i="25"/>
  <c r="AQ188" i="25"/>
  <c r="AQ189" i="25"/>
  <c r="AQ190" i="25"/>
  <c r="AQ191" i="25"/>
  <c r="AQ192" i="25"/>
  <c r="AQ193" i="25"/>
  <c r="AQ194" i="25"/>
  <c r="AQ195" i="25"/>
  <c r="AQ196" i="25"/>
  <c r="AQ197" i="25"/>
  <c r="AQ198" i="25"/>
  <c r="AQ199" i="25"/>
  <c r="AQ200" i="25"/>
  <c r="AQ201" i="25"/>
  <c r="AQ202" i="25"/>
  <c r="AQ203" i="25"/>
  <c r="AQ204" i="25"/>
  <c r="AQ205" i="25"/>
  <c r="AQ206" i="25"/>
  <c r="AQ207" i="25"/>
  <c r="AQ208" i="25"/>
  <c r="AQ209" i="25"/>
  <c r="AQ210" i="25"/>
  <c r="AQ211" i="25"/>
  <c r="AQ212" i="25"/>
  <c r="AQ213" i="25"/>
  <c r="AQ214" i="25"/>
  <c r="AQ215" i="25"/>
  <c r="AQ216" i="25"/>
  <c r="AQ217" i="25"/>
  <c r="AQ218" i="25"/>
  <c r="AQ219" i="25"/>
  <c r="AQ220" i="25"/>
  <c r="AQ221" i="25"/>
  <c r="AQ222" i="25"/>
  <c r="AQ223" i="25"/>
  <c r="AQ224" i="25"/>
  <c r="AQ225" i="25"/>
  <c r="AQ226" i="25"/>
  <c r="AQ227" i="25"/>
  <c r="AQ228" i="25"/>
  <c r="AQ229" i="25"/>
  <c r="AQ230" i="25"/>
  <c r="AQ231" i="25"/>
  <c r="AQ232" i="25"/>
  <c r="AQ233" i="25"/>
  <c r="AQ234" i="25"/>
  <c r="AQ235" i="25"/>
  <c r="AQ236" i="25"/>
  <c r="AQ237" i="25"/>
  <c r="AQ238" i="25"/>
  <c r="AQ239" i="25"/>
  <c r="AQ240" i="25"/>
  <c r="AQ241" i="25"/>
  <c r="AQ242" i="25"/>
  <c r="AQ243" i="25"/>
  <c r="AQ244" i="25"/>
  <c r="AQ245" i="25"/>
  <c r="AQ246" i="25"/>
  <c r="AQ247" i="25"/>
  <c r="AQ248" i="25"/>
  <c r="AQ249" i="25"/>
  <c r="AQ250" i="25"/>
  <c r="AQ251" i="25"/>
  <c r="AQ252" i="25"/>
  <c r="AQ253" i="25"/>
  <c r="AQ254" i="25"/>
  <c r="AQ255" i="25"/>
  <c r="AQ256" i="25"/>
  <c r="AQ257" i="25"/>
  <c r="AQ258" i="25"/>
  <c r="AQ259" i="25"/>
  <c r="AQ260" i="25"/>
  <c r="AQ261" i="25"/>
  <c r="AQ262" i="25"/>
  <c r="AQ263" i="25"/>
  <c r="AQ264" i="25"/>
  <c r="AQ265" i="25"/>
  <c r="AQ266" i="25"/>
  <c r="AQ267" i="25"/>
  <c r="AQ268" i="25"/>
  <c r="AQ269" i="25"/>
  <c r="AQ270" i="25"/>
  <c r="AQ271" i="25"/>
  <c r="AQ272" i="25"/>
  <c r="AQ273" i="25"/>
  <c r="AQ274" i="25"/>
  <c r="AQ275" i="25"/>
  <c r="AQ276" i="25"/>
  <c r="AQ277" i="25"/>
  <c r="AQ278" i="25"/>
  <c r="AQ279" i="25"/>
  <c r="AQ280" i="25"/>
  <c r="AQ281" i="25"/>
  <c r="AQ282" i="25"/>
  <c r="AQ283" i="25"/>
  <c r="AQ284" i="25"/>
  <c r="AQ285" i="25"/>
  <c r="AQ286" i="25"/>
  <c r="AQ287" i="25"/>
  <c r="AQ288" i="25"/>
  <c r="AQ289" i="25"/>
  <c r="AQ290" i="25"/>
  <c r="AQ291" i="25"/>
  <c r="AQ292" i="25"/>
  <c r="AQ293" i="25"/>
  <c r="AQ294" i="25"/>
  <c r="AQ295" i="25"/>
  <c r="AQ296" i="25"/>
  <c r="AQ297" i="25"/>
  <c r="AQ298" i="25"/>
  <c r="AQ299" i="25"/>
  <c r="AQ300" i="25"/>
  <c r="AQ301" i="25"/>
  <c r="AQ302" i="25"/>
  <c r="AQ303" i="25"/>
  <c r="AQ304" i="25"/>
  <c r="AQ305" i="25"/>
  <c r="AQ306" i="25"/>
  <c r="O27" i="4"/>
  <c r="O26" i="4"/>
  <c r="O25" i="4"/>
  <c r="O24" i="4"/>
  <c r="O23" i="4"/>
  <c r="H2" i="25"/>
  <c r="F2" i="25"/>
  <c r="H3" i="25"/>
  <c r="F3" i="25" s="1"/>
  <c r="B2" i="25"/>
  <c r="B3" i="25"/>
  <c r="B5" i="25"/>
  <c r="B6" i="25"/>
  <c r="H7" i="25"/>
  <c r="B7" i="25"/>
  <c r="B8" i="25"/>
  <c r="B10" i="25"/>
  <c r="H11" i="25"/>
  <c r="B11" i="25"/>
  <c r="H13" i="25"/>
  <c r="B13" i="25"/>
  <c r="H14" i="25"/>
  <c r="B14" i="25"/>
  <c r="H15" i="25"/>
  <c r="B15" i="25"/>
  <c r="H16" i="25"/>
  <c r="H17" i="25"/>
  <c r="B17" i="25"/>
  <c r="H19" i="25"/>
  <c r="B19" i="25"/>
  <c r="B20" i="25"/>
  <c r="H21" i="25"/>
  <c r="B21" i="25"/>
  <c r="H22" i="25"/>
  <c r="B22" i="25"/>
  <c r="H23" i="25"/>
  <c r="B23" i="25"/>
  <c r="B24" i="25"/>
  <c r="H25" i="25"/>
  <c r="B25" i="25"/>
  <c r="H26" i="25"/>
  <c r="B26" i="25"/>
  <c r="H29" i="25"/>
  <c r="B29" i="25"/>
  <c r="B31" i="25"/>
  <c r="H32" i="25"/>
  <c r="B32" i="25"/>
  <c r="H33" i="25"/>
  <c r="B33" i="25"/>
  <c r="H34" i="25"/>
  <c r="B34" i="25"/>
  <c r="H35" i="25"/>
  <c r="B35" i="25"/>
  <c r="H36" i="25"/>
  <c r="B36" i="25"/>
  <c r="H37" i="25"/>
  <c r="B37" i="25"/>
  <c r="H38" i="25"/>
  <c r="B38" i="25"/>
  <c r="H39" i="25"/>
  <c r="B39" i="25"/>
  <c r="B40" i="25"/>
  <c r="B42" i="25"/>
  <c r="H43" i="25"/>
  <c r="B43" i="25"/>
  <c r="B44" i="25"/>
  <c r="H45" i="25"/>
  <c r="H46" i="25"/>
  <c r="B46" i="25"/>
  <c r="H47" i="25"/>
  <c r="B47" i="25"/>
  <c r="B48" i="25"/>
  <c r="H49" i="25"/>
  <c r="H50" i="25"/>
  <c r="B50" i="25"/>
  <c r="B51" i="25"/>
  <c r="B52" i="25"/>
  <c r="H53" i="25"/>
  <c r="B54" i="25"/>
  <c r="H55" i="25"/>
  <c r="B55" i="25"/>
  <c r="H57" i="25"/>
  <c r="B57" i="25"/>
  <c r="H59" i="25"/>
  <c r="B59" i="25"/>
  <c r="H60" i="25"/>
  <c r="B60" i="25"/>
  <c r="H61" i="25"/>
  <c r="B61" i="25"/>
  <c r="B63" i="25"/>
  <c r="H64" i="25"/>
  <c r="B64" i="25"/>
  <c r="H65" i="25"/>
  <c r="B65" i="25"/>
  <c r="H67" i="25"/>
  <c r="B67" i="25"/>
  <c r="H69" i="25"/>
  <c r="B69" i="25"/>
  <c r="H70" i="25"/>
  <c r="B70" i="25"/>
  <c r="H71" i="25"/>
  <c r="B71" i="25"/>
  <c r="H73" i="25"/>
  <c r="B73" i="25"/>
  <c r="B75" i="25"/>
  <c r="H76" i="25"/>
  <c r="B77" i="25"/>
  <c r="H78" i="25"/>
  <c r="B79" i="25"/>
  <c r="H80" i="25"/>
  <c r="B80" i="25"/>
  <c r="B81" i="25"/>
  <c r="H82" i="25"/>
  <c r="B82" i="25"/>
  <c r="B83" i="25"/>
  <c r="H84" i="25"/>
  <c r="B84" i="25"/>
  <c r="B85" i="25"/>
  <c r="H86" i="25"/>
  <c r="B86" i="25"/>
  <c r="B87" i="25"/>
  <c r="H88" i="25"/>
  <c r="B88" i="25"/>
  <c r="B89" i="25"/>
  <c r="H90" i="25"/>
  <c r="B90" i="25"/>
  <c r="B91" i="25"/>
  <c r="H92" i="25"/>
  <c r="B93" i="25"/>
  <c r="H94" i="25"/>
  <c r="B95" i="25"/>
  <c r="B97" i="25"/>
  <c r="H98" i="25"/>
  <c r="B99" i="25"/>
  <c r="H100" i="25"/>
  <c r="B101" i="25"/>
  <c r="H102" i="25"/>
  <c r="B103" i="25"/>
  <c r="H104" i="25"/>
  <c r="B105" i="25"/>
  <c r="H106" i="25"/>
  <c r="B107" i="25"/>
  <c r="H108" i="25"/>
  <c r="B109" i="25"/>
  <c r="H110" i="25"/>
  <c r="B111" i="25"/>
  <c r="H112" i="25"/>
  <c r="B113" i="25"/>
  <c r="H114" i="25"/>
  <c r="B114" i="25"/>
  <c r="B115" i="25"/>
  <c r="H116" i="25"/>
  <c r="B116" i="25"/>
  <c r="B117" i="25"/>
  <c r="H118" i="25"/>
  <c r="B118" i="25"/>
  <c r="B119" i="25"/>
  <c r="H120" i="25"/>
  <c r="B120" i="25"/>
  <c r="B121" i="25"/>
  <c r="H122" i="25"/>
  <c r="B122" i="25"/>
  <c r="H123" i="25"/>
  <c r="B123" i="25"/>
  <c r="H124" i="25"/>
  <c r="B124" i="25"/>
  <c r="H125" i="25"/>
  <c r="B125" i="25"/>
  <c r="H126" i="25"/>
  <c r="B126" i="25"/>
  <c r="H127" i="25"/>
  <c r="B127" i="25"/>
  <c r="H128" i="25"/>
  <c r="B128" i="25"/>
  <c r="H129" i="25"/>
  <c r="B129" i="25"/>
  <c r="H130" i="25"/>
  <c r="B130" i="25"/>
  <c r="H131" i="25"/>
  <c r="B131" i="25"/>
  <c r="H132" i="25"/>
  <c r="B132" i="25"/>
  <c r="H133" i="25"/>
  <c r="B133" i="25"/>
  <c r="H134" i="25"/>
  <c r="B134" i="25"/>
  <c r="H135" i="25"/>
  <c r="B135" i="25"/>
  <c r="H136" i="25"/>
  <c r="B136" i="25"/>
  <c r="H137" i="25"/>
  <c r="B137" i="25"/>
  <c r="H138" i="25"/>
  <c r="B138" i="25"/>
  <c r="H139" i="25"/>
  <c r="B139" i="25"/>
  <c r="H140" i="25"/>
  <c r="B140" i="25"/>
  <c r="H141" i="25"/>
  <c r="B141" i="25"/>
  <c r="H142" i="25"/>
  <c r="B142" i="25"/>
  <c r="H143" i="25"/>
  <c r="B143" i="25"/>
  <c r="H144" i="25"/>
  <c r="B144" i="25"/>
  <c r="H145" i="25"/>
  <c r="B145" i="25"/>
  <c r="H146" i="25"/>
  <c r="B146" i="25"/>
  <c r="H147" i="25"/>
  <c r="B147" i="25"/>
  <c r="H148" i="25"/>
  <c r="B148" i="25"/>
  <c r="H149" i="25"/>
  <c r="B149" i="25"/>
  <c r="H150" i="25"/>
  <c r="B150" i="25"/>
  <c r="H151" i="25"/>
  <c r="B151" i="25"/>
  <c r="H152" i="25"/>
  <c r="B152" i="25"/>
  <c r="H153" i="25"/>
  <c r="B153" i="25"/>
  <c r="H154" i="25"/>
  <c r="B154" i="25"/>
  <c r="H155" i="25"/>
  <c r="B155" i="25"/>
  <c r="H156" i="25"/>
  <c r="B156" i="25"/>
  <c r="H157" i="25"/>
  <c r="B157" i="25"/>
  <c r="H158" i="25"/>
  <c r="B158" i="25"/>
  <c r="H159" i="25"/>
  <c r="B159" i="25"/>
  <c r="H160" i="25"/>
  <c r="B160" i="25"/>
  <c r="H161" i="25"/>
  <c r="B161" i="25"/>
  <c r="H162" i="25"/>
  <c r="B162" i="25"/>
  <c r="H163" i="25"/>
  <c r="B163" i="25"/>
  <c r="H164" i="25"/>
  <c r="B164" i="25"/>
  <c r="H165" i="25"/>
  <c r="B165" i="25"/>
  <c r="H166" i="25"/>
  <c r="B166" i="25"/>
  <c r="H167" i="25"/>
  <c r="B167" i="25"/>
  <c r="H168" i="25"/>
  <c r="B168" i="25"/>
  <c r="H169" i="25"/>
  <c r="B169" i="25"/>
  <c r="H170" i="25"/>
  <c r="B170" i="25"/>
  <c r="H171" i="25"/>
  <c r="B171" i="25"/>
  <c r="H172" i="25"/>
  <c r="B172" i="25"/>
  <c r="H173" i="25"/>
  <c r="B173" i="25"/>
  <c r="H174" i="25"/>
  <c r="B174" i="25"/>
  <c r="H175" i="25"/>
  <c r="B175" i="25"/>
  <c r="H176" i="25"/>
  <c r="B176" i="25"/>
  <c r="H177" i="25"/>
  <c r="B177" i="25"/>
  <c r="H178" i="25"/>
  <c r="B178" i="25"/>
  <c r="H179" i="25"/>
  <c r="B179" i="25"/>
  <c r="H180" i="25"/>
  <c r="B180" i="25"/>
  <c r="H181" i="25"/>
  <c r="B181" i="25"/>
  <c r="H182" i="25"/>
  <c r="B182" i="25"/>
  <c r="H183" i="25"/>
  <c r="B183" i="25"/>
  <c r="B184" i="25"/>
  <c r="H185" i="25"/>
  <c r="B185" i="25"/>
  <c r="H186" i="25"/>
  <c r="B186" i="25"/>
  <c r="H187" i="25"/>
  <c r="B187" i="25"/>
  <c r="H188" i="25"/>
  <c r="B188" i="25"/>
  <c r="H189" i="25"/>
  <c r="B189" i="25"/>
  <c r="H190" i="25"/>
  <c r="B190" i="25"/>
  <c r="H191" i="25"/>
  <c r="B191" i="25"/>
  <c r="H192" i="25"/>
  <c r="B192" i="25"/>
  <c r="H193" i="25"/>
  <c r="B193" i="25"/>
  <c r="H194" i="25"/>
  <c r="B194" i="25"/>
  <c r="H195" i="25"/>
  <c r="B195" i="25"/>
  <c r="H196" i="25"/>
  <c r="B196" i="25"/>
  <c r="H197" i="25"/>
  <c r="B197" i="25"/>
  <c r="H198" i="25"/>
  <c r="B198" i="25"/>
  <c r="H199" i="25"/>
  <c r="B199" i="25"/>
  <c r="H200" i="25"/>
  <c r="B200" i="25"/>
  <c r="H201" i="25"/>
  <c r="B201" i="25"/>
  <c r="H202" i="25"/>
  <c r="B202" i="25"/>
  <c r="H203" i="25"/>
  <c r="B203" i="25"/>
  <c r="H204" i="25"/>
  <c r="B204" i="25"/>
  <c r="H205" i="25"/>
  <c r="B205" i="25"/>
  <c r="H206" i="25"/>
  <c r="B206" i="25"/>
  <c r="H207" i="25"/>
  <c r="B207" i="25"/>
  <c r="H208" i="25"/>
  <c r="B208" i="25"/>
  <c r="H209" i="25"/>
  <c r="B209" i="25"/>
  <c r="H210" i="25"/>
  <c r="B210" i="25"/>
  <c r="H211" i="25"/>
  <c r="B211" i="25"/>
  <c r="H212" i="25"/>
  <c r="B212" i="25"/>
  <c r="H213" i="25"/>
  <c r="B213" i="25"/>
  <c r="H214" i="25"/>
  <c r="B214" i="25"/>
  <c r="H215" i="25"/>
  <c r="B215" i="25"/>
  <c r="H216" i="25"/>
  <c r="B216" i="25"/>
  <c r="H217" i="25"/>
  <c r="B217" i="25"/>
  <c r="H218" i="25"/>
  <c r="B218" i="25"/>
  <c r="H219" i="25"/>
  <c r="B219" i="25"/>
  <c r="H220" i="25"/>
  <c r="B220" i="25"/>
  <c r="H221" i="25"/>
  <c r="B221" i="25"/>
  <c r="H222" i="25"/>
  <c r="B222" i="25"/>
  <c r="H223" i="25"/>
  <c r="B223" i="25"/>
  <c r="H224" i="25"/>
  <c r="B224" i="25"/>
  <c r="H225" i="25"/>
  <c r="B225" i="25"/>
  <c r="H226" i="25"/>
  <c r="B226" i="25"/>
  <c r="H227" i="25"/>
  <c r="B227" i="25"/>
  <c r="H228" i="25"/>
  <c r="B228" i="25"/>
  <c r="H229" i="25"/>
  <c r="B229" i="25"/>
  <c r="H230" i="25"/>
  <c r="B230" i="25"/>
  <c r="H231" i="25"/>
  <c r="B231" i="25"/>
  <c r="H232" i="25"/>
  <c r="B232" i="25"/>
  <c r="H233" i="25"/>
  <c r="B233" i="25"/>
  <c r="H234" i="25"/>
  <c r="B234" i="25"/>
  <c r="H235" i="25"/>
  <c r="B235" i="25"/>
  <c r="B236" i="25"/>
  <c r="H237" i="25"/>
  <c r="B237" i="25"/>
  <c r="H238" i="25"/>
  <c r="B238" i="25"/>
  <c r="H239" i="25"/>
  <c r="B239" i="25"/>
  <c r="H240" i="25"/>
  <c r="B240" i="25"/>
  <c r="H241" i="25"/>
  <c r="B241" i="25"/>
  <c r="H242" i="25"/>
  <c r="B242" i="25"/>
  <c r="H243" i="25"/>
  <c r="B243" i="25"/>
  <c r="H244" i="25"/>
  <c r="B244" i="25"/>
  <c r="H245" i="25"/>
  <c r="B245" i="25"/>
  <c r="H246" i="25"/>
  <c r="B246" i="25"/>
  <c r="H247" i="25"/>
  <c r="B247" i="25"/>
  <c r="H248" i="25"/>
  <c r="B248" i="25"/>
  <c r="H249" i="25"/>
  <c r="B249" i="25"/>
  <c r="H250" i="25"/>
  <c r="B250" i="25"/>
  <c r="H251" i="25"/>
  <c r="B251" i="25"/>
  <c r="H252" i="25"/>
  <c r="B252" i="25"/>
  <c r="H253" i="25"/>
  <c r="B253" i="25"/>
  <c r="H254" i="25"/>
  <c r="B254" i="25"/>
  <c r="H255" i="25"/>
  <c r="B255" i="25"/>
  <c r="H256" i="25"/>
  <c r="B256" i="25"/>
  <c r="H257" i="25"/>
  <c r="B257" i="25"/>
  <c r="H258" i="25"/>
  <c r="B258" i="25"/>
  <c r="H259" i="25"/>
  <c r="B259" i="25"/>
  <c r="H260" i="25"/>
  <c r="B260" i="25"/>
  <c r="H261" i="25"/>
  <c r="B261" i="25"/>
  <c r="H262" i="25"/>
  <c r="B262" i="25"/>
  <c r="H263" i="25"/>
  <c r="B263" i="25"/>
  <c r="H264" i="25"/>
  <c r="B264" i="25"/>
  <c r="H265" i="25"/>
  <c r="B265" i="25"/>
  <c r="H266" i="25"/>
  <c r="B266" i="25"/>
  <c r="H267" i="25"/>
  <c r="B267" i="25"/>
  <c r="H268" i="25"/>
  <c r="B268" i="25"/>
  <c r="H269" i="25"/>
  <c r="B269" i="25"/>
  <c r="H270" i="25"/>
  <c r="B270" i="25"/>
  <c r="H271" i="25"/>
  <c r="B271" i="25"/>
  <c r="H272" i="25"/>
  <c r="B272" i="25"/>
  <c r="H273" i="25"/>
  <c r="B273" i="25"/>
  <c r="H274" i="25"/>
  <c r="B274" i="25"/>
  <c r="H275" i="25"/>
  <c r="B275" i="25"/>
  <c r="H276" i="25"/>
  <c r="B276" i="25"/>
  <c r="H277" i="25"/>
  <c r="B277" i="25"/>
  <c r="H278" i="25"/>
  <c r="B278" i="25"/>
  <c r="H279" i="25"/>
  <c r="B279" i="25"/>
  <c r="H280" i="25"/>
  <c r="B280" i="25"/>
  <c r="H281" i="25"/>
  <c r="B281" i="25"/>
  <c r="H282" i="25"/>
  <c r="B282" i="25"/>
  <c r="H283" i="25"/>
  <c r="B283" i="25"/>
  <c r="H284" i="25"/>
  <c r="B284" i="25"/>
  <c r="H285" i="25"/>
  <c r="B285" i="25"/>
  <c r="H286" i="25"/>
  <c r="B286" i="25"/>
  <c r="H287" i="25"/>
  <c r="B287" i="25"/>
  <c r="H288" i="25"/>
  <c r="B288" i="25"/>
  <c r="H289" i="25"/>
  <c r="B289" i="25"/>
  <c r="H290" i="25"/>
  <c r="B290" i="25"/>
  <c r="H291" i="25"/>
  <c r="B291" i="25"/>
  <c r="H292" i="25"/>
  <c r="B292" i="25"/>
  <c r="H293" i="25"/>
  <c r="B293" i="25"/>
  <c r="H294" i="25"/>
  <c r="B294" i="25"/>
  <c r="H295" i="25"/>
  <c r="B295" i="25"/>
  <c r="H296" i="25"/>
  <c r="B296" i="25"/>
  <c r="H297" i="25"/>
  <c r="B297" i="25"/>
  <c r="H298" i="25"/>
  <c r="B298" i="25"/>
  <c r="H299" i="25"/>
  <c r="B299" i="25"/>
  <c r="H300" i="25"/>
  <c r="B300" i="25"/>
  <c r="H301" i="25"/>
  <c r="B301" i="25"/>
  <c r="H302" i="25"/>
  <c r="B302" i="25"/>
  <c r="H303" i="25"/>
  <c r="B303" i="25"/>
  <c r="H304" i="25"/>
  <c r="B304" i="25"/>
  <c r="H305" i="25"/>
  <c r="B305" i="25"/>
  <c r="H306" i="25"/>
  <c r="B306" i="25"/>
  <c r="E307" i="25"/>
  <c r="E308" i="25"/>
  <c r="E309" i="25"/>
  <c r="E310" i="25"/>
  <c r="E311" i="25"/>
  <c r="E312" i="25"/>
  <c r="E313" i="25"/>
  <c r="E314" i="25"/>
  <c r="E315" i="25"/>
  <c r="E316" i="25"/>
  <c r="E317" i="25"/>
  <c r="E318" i="25"/>
  <c r="E319" i="25"/>
  <c r="E320" i="25"/>
  <c r="E321" i="25"/>
  <c r="E322" i="25"/>
  <c r="E323" i="25"/>
  <c r="E324" i="25"/>
  <c r="E325" i="25"/>
  <c r="E326" i="25"/>
  <c r="E327" i="25"/>
  <c r="E328" i="25"/>
  <c r="E329" i="25"/>
  <c r="E330" i="25"/>
  <c r="E331" i="25"/>
  <c r="E332" i="25"/>
  <c r="E333" i="25"/>
  <c r="E334" i="25"/>
  <c r="E335" i="25"/>
  <c r="E336" i="25"/>
  <c r="E337" i="25"/>
  <c r="E338" i="25"/>
  <c r="E339" i="25"/>
  <c r="E340" i="25"/>
  <c r="E341" i="25"/>
  <c r="E342" i="25"/>
  <c r="E343" i="25"/>
  <c r="E344" i="25"/>
  <c r="E345" i="25"/>
  <c r="E346" i="25"/>
  <c r="E347" i="25"/>
  <c r="E348" i="25"/>
  <c r="E349" i="25"/>
  <c r="E350" i="25"/>
  <c r="E351" i="25"/>
  <c r="E352" i="25"/>
  <c r="E353" i="25"/>
  <c r="E354" i="25"/>
  <c r="E355" i="25"/>
  <c r="E356" i="25"/>
  <c r="E357" i="25"/>
  <c r="E358" i="25"/>
  <c r="E359" i="25"/>
  <c r="E360" i="25"/>
  <c r="E361" i="25"/>
  <c r="E362" i="25"/>
  <c r="E363" i="25"/>
  <c r="E364" i="25"/>
  <c r="E365" i="25"/>
  <c r="E366" i="25"/>
  <c r="E367" i="25"/>
  <c r="E368" i="25"/>
  <c r="E369" i="25"/>
  <c r="E370" i="25"/>
  <c r="E371" i="25"/>
  <c r="E372" i="25"/>
  <c r="E373" i="25"/>
  <c r="E374" i="25"/>
  <c r="E375" i="25"/>
  <c r="E376" i="25"/>
  <c r="E377" i="25"/>
  <c r="E378" i="25"/>
  <c r="E379" i="25"/>
  <c r="E380" i="25"/>
  <c r="E381" i="25"/>
  <c r="E382" i="25"/>
  <c r="E383" i="25"/>
  <c r="E384" i="25"/>
  <c r="E385" i="25"/>
  <c r="E386" i="25"/>
  <c r="E387" i="25"/>
  <c r="E388" i="25"/>
  <c r="E389" i="25"/>
  <c r="E390" i="25"/>
  <c r="E391" i="25"/>
  <c r="E392" i="25"/>
  <c r="E393" i="25"/>
  <c r="E394" i="25"/>
  <c r="E395" i="25"/>
  <c r="E396" i="25"/>
  <c r="E397" i="25"/>
  <c r="E398" i="25"/>
  <c r="E399" i="25"/>
  <c r="E400" i="25"/>
  <c r="E401" i="25"/>
  <c r="E402" i="25"/>
  <c r="E403" i="25"/>
  <c r="E404" i="25"/>
  <c r="E405" i="25"/>
  <c r="E406" i="25"/>
  <c r="E407" i="25"/>
  <c r="E408" i="25"/>
  <c r="E409" i="25"/>
  <c r="E410" i="25"/>
  <c r="E411" i="25"/>
  <c r="E412" i="25"/>
  <c r="E413" i="25"/>
  <c r="E414" i="25"/>
  <c r="E415" i="25"/>
  <c r="E416" i="25"/>
  <c r="E417" i="25"/>
  <c r="E418" i="25"/>
  <c r="E419" i="25"/>
  <c r="E420" i="25"/>
  <c r="E421" i="25"/>
  <c r="E422" i="25"/>
  <c r="E423" i="25"/>
  <c r="E424" i="25"/>
  <c r="E425" i="25"/>
  <c r="E426" i="25"/>
  <c r="E427" i="25"/>
  <c r="E428" i="25"/>
  <c r="E429" i="25"/>
  <c r="E430" i="25"/>
  <c r="E431" i="25"/>
  <c r="E432" i="25"/>
  <c r="E433" i="25"/>
  <c r="E434" i="25"/>
  <c r="E435" i="25"/>
  <c r="E436" i="25"/>
  <c r="E437" i="25"/>
  <c r="E438" i="25"/>
  <c r="E439" i="25"/>
  <c r="E440" i="25"/>
  <c r="E441" i="25"/>
  <c r="E442" i="25"/>
  <c r="E443" i="25"/>
  <c r="E444" i="25"/>
  <c r="E445" i="25"/>
  <c r="E446" i="25"/>
  <c r="E447" i="25"/>
  <c r="E448" i="25"/>
  <c r="E449" i="25"/>
  <c r="E450" i="25"/>
  <c r="E451" i="25"/>
  <c r="E452" i="25"/>
  <c r="E453" i="25"/>
  <c r="E454" i="25"/>
  <c r="E455" i="25"/>
  <c r="E456" i="25"/>
  <c r="E457" i="25"/>
  <c r="E458" i="25"/>
  <c r="E459" i="25"/>
  <c r="E460" i="25"/>
  <c r="E461" i="25"/>
  <c r="E462" i="25"/>
  <c r="E463" i="25"/>
  <c r="E464" i="25"/>
  <c r="E465" i="25"/>
  <c r="E466" i="25"/>
  <c r="E467" i="25"/>
  <c r="E468" i="25"/>
  <c r="E469" i="25"/>
  <c r="E470" i="25"/>
  <c r="E471" i="25"/>
  <c r="E472" i="25"/>
  <c r="E473" i="25"/>
  <c r="E474" i="25"/>
  <c r="E475" i="25"/>
  <c r="E476" i="25"/>
  <c r="E477" i="25"/>
  <c r="E478" i="25"/>
  <c r="E479" i="25"/>
  <c r="E480" i="25"/>
  <c r="E481" i="25"/>
  <c r="E482" i="25"/>
  <c r="E483" i="25"/>
  <c r="E484" i="25"/>
  <c r="E485" i="25"/>
  <c r="E486" i="25"/>
  <c r="E487" i="25"/>
  <c r="E488" i="25"/>
  <c r="E489" i="25"/>
  <c r="E490" i="25"/>
  <c r="E491" i="25"/>
  <c r="E492" i="25"/>
  <c r="E493" i="25"/>
  <c r="E494" i="25"/>
  <c r="E495" i="25"/>
  <c r="E496" i="25"/>
  <c r="E497" i="25"/>
  <c r="E498" i="25"/>
  <c r="E499" i="25"/>
  <c r="E500" i="25"/>
  <c r="E501" i="25"/>
  <c r="E502" i="25"/>
  <c r="E503" i="25"/>
  <c r="E504" i="25"/>
  <c r="O22" i="4"/>
  <c r="O21" i="4"/>
  <c r="O20" i="4"/>
  <c r="P242" i="25"/>
  <c r="Q242" i="25"/>
  <c r="O19" i="4"/>
  <c r="P99" i="25"/>
  <c r="Q99" i="25"/>
  <c r="P109" i="25"/>
  <c r="Q109" i="25"/>
  <c r="P74" i="25"/>
  <c r="Q74" i="25"/>
  <c r="P59" i="25"/>
  <c r="Q59" i="25"/>
  <c r="P30" i="25"/>
  <c r="Q30" i="25"/>
  <c r="P11" i="25"/>
  <c r="Q11" i="25"/>
  <c r="O13" i="4"/>
  <c r="O12" i="4"/>
  <c r="O11" i="4"/>
  <c r="O10" i="4"/>
  <c r="O9" i="4"/>
  <c r="P125" i="25"/>
  <c r="Y125" i="25" s="1"/>
  <c r="Q125" i="25"/>
  <c r="O8" i="4"/>
  <c r="P37" i="25"/>
  <c r="Y37" i="25" s="1"/>
  <c r="Q37" i="25"/>
  <c r="O7" i="4"/>
  <c r="P22" i="25"/>
  <c r="Y22" i="25" s="1"/>
  <c r="Q22" i="25"/>
  <c r="O6" i="4"/>
  <c r="P6" i="25"/>
  <c r="Y6" i="25" s="1"/>
  <c r="Q6" i="25"/>
  <c r="O5" i="4"/>
  <c r="P4" i="25"/>
  <c r="Y4" i="25" s="1"/>
  <c r="Q4" i="25"/>
  <c r="O4" i="4"/>
  <c r="P3" i="25"/>
  <c r="Q3" i="25"/>
  <c r="Y3" i="25" s="1"/>
  <c r="E4" i="4" s="1"/>
  <c r="P2" i="25"/>
  <c r="Y2" i="25" s="1"/>
  <c r="E3" i="4" s="1"/>
  <c r="Q2" i="25"/>
  <c r="AB504" i="25"/>
  <c r="AA504" i="25"/>
  <c r="P5" i="25"/>
  <c r="P7" i="25"/>
  <c r="P8" i="25"/>
  <c r="P9" i="25"/>
  <c r="P10" i="25"/>
  <c r="P12" i="25"/>
  <c r="P13" i="25"/>
  <c r="P14" i="25"/>
  <c r="P15" i="25"/>
  <c r="P16" i="25"/>
  <c r="P17" i="25"/>
  <c r="P18" i="25"/>
  <c r="P19" i="25"/>
  <c r="P20" i="25"/>
  <c r="P21" i="25"/>
  <c r="P23" i="25"/>
  <c r="P24" i="25"/>
  <c r="P25" i="25"/>
  <c r="P26" i="25"/>
  <c r="P27" i="25"/>
  <c r="P28" i="25"/>
  <c r="P29" i="25"/>
  <c r="P31" i="25"/>
  <c r="P32" i="25"/>
  <c r="P33" i="25"/>
  <c r="P34" i="25"/>
  <c r="P35" i="25"/>
  <c r="P36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54" i="25"/>
  <c r="P55" i="25"/>
  <c r="P56" i="25"/>
  <c r="P57" i="25"/>
  <c r="P58" i="25"/>
  <c r="P60" i="25"/>
  <c r="P61" i="25"/>
  <c r="P62" i="25"/>
  <c r="P63" i="25"/>
  <c r="P64" i="25"/>
  <c r="P65" i="25"/>
  <c r="P66" i="25"/>
  <c r="P67" i="25"/>
  <c r="P68" i="25"/>
  <c r="P69" i="25"/>
  <c r="P70" i="25"/>
  <c r="P71" i="25"/>
  <c r="P72" i="25"/>
  <c r="P73" i="25"/>
  <c r="P75" i="25"/>
  <c r="P76" i="25"/>
  <c r="P77" i="25"/>
  <c r="P78" i="25"/>
  <c r="P79" i="25"/>
  <c r="P80" i="25"/>
  <c r="P81" i="25"/>
  <c r="P82" i="25"/>
  <c r="P83" i="25"/>
  <c r="P84" i="25"/>
  <c r="P85" i="25"/>
  <c r="P86" i="25"/>
  <c r="P87" i="25"/>
  <c r="P88" i="25"/>
  <c r="P89" i="25"/>
  <c r="P90" i="25"/>
  <c r="P91" i="25"/>
  <c r="P92" i="25"/>
  <c r="P93" i="25"/>
  <c r="P94" i="25"/>
  <c r="P95" i="25"/>
  <c r="P96" i="25"/>
  <c r="P97" i="25"/>
  <c r="P98" i="25"/>
  <c r="P100" i="25"/>
  <c r="P101" i="25"/>
  <c r="P102" i="25"/>
  <c r="P103" i="25"/>
  <c r="P104" i="25"/>
  <c r="P105" i="25"/>
  <c r="P106" i="25"/>
  <c r="P107" i="25"/>
  <c r="P108" i="25"/>
  <c r="P110" i="25"/>
  <c r="P111" i="25"/>
  <c r="P112" i="25"/>
  <c r="P113" i="25"/>
  <c r="P114" i="25"/>
  <c r="P115" i="25"/>
  <c r="P116" i="25"/>
  <c r="P117" i="25"/>
  <c r="P118" i="25"/>
  <c r="P119" i="25"/>
  <c r="P120" i="25"/>
  <c r="P121" i="25"/>
  <c r="P122" i="25"/>
  <c r="P123" i="25"/>
  <c r="P124" i="25"/>
  <c r="P126" i="25"/>
  <c r="P127" i="25"/>
  <c r="P128" i="25"/>
  <c r="P129" i="25"/>
  <c r="P130" i="25"/>
  <c r="P131" i="25"/>
  <c r="P132" i="25"/>
  <c r="P133" i="25"/>
  <c r="P134" i="25"/>
  <c r="P135" i="25"/>
  <c r="P136" i="25"/>
  <c r="P137" i="25"/>
  <c r="P138" i="25"/>
  <c r="P139" i="25"/>
  <c r="P140" i="25"/>
  <c r="P141" i="25"/>
  <c r="P142" i="25"/>
  <c r="P143" i="25"/>
  <c r="P144" i="25"/>
  <c r="P145" i="25"/>
  <c r="P146" i="25"/>
  <c r="P147" i="25"/>
  <c r="P148" i="25"/>
  <c r="P149" i="25"/>
  <c r="P150" i="25"/>
  <c r="P151" i="25"/>
  <c r="P152" i="25"/>
  <c r="P153" i="25"/>
  <c r="P154" i="25"/>
  <c r="P155" i="25"/>
  <c r="P156" i="25"/>
  <c r="P157" i="25"/>
  <c r="P158" i="25"/>
  <c r="P159" i="25"/>
  <c r="P160" i="25"/>
  <c r="P161" i="25"/>
  <c r="P162" i="25"/>
  <c r="P163" i="25"/>
  <c r="P164" i="25"/>
  <c r="P165" i="25"/>
  <c r="P166" i="25"/>
  <c r="P167" i="25"/>
  <c r="P168" i="25"/>
  <c r="P169" i="25"/>
  <c r="P170" i="25"/>
  <c r="P171" i="25"/>
  <c r="P172" i="25"/>
  <c r="P173" i="25"/>
  <c r="P174" i="25"/>
  <c r="P175" i="25"/>
  <c r="P176" i="25"/>
  <c r="P177" i="25"/>
  <c r="P178" i="25"/>
  <c r="P179" i="25"/>
  <c r="P180" i="25"/>
  <c r="P181" i="25"/>
  <c r="P182" i="25"/>
  <c r="P183" i="25"/>
  <c r="P184" i="25"/>
  <c r="P185" i="25"/>
  <c r="P186" i="25"/>
  <c r="P187" i="25"/>
  <c r="P188" i="25"/>
  <c r="P189" i="25"/>
  <c r="P190" i="25"/>
  <c r="P191" i="25"/>
  <c r="P192" i="25"/>
  <c r="P193" i="25"/>
  <c r="P194" i="25"/>
  <c r="P195" i="25"/>
  <c r="P196" i="25"/>
  <c r="P197" i="25"/>
  <c r="P198" i="25"/>
  <c r="P199" i="25"/>
  <c r="P200" i="25"/>
  <c r="P201" i="25"/>
  <c r="P202" i="25"/>
  <c r="P203" i="25"/>
  <c r="P204" i="25"/>
  <c r="P205" i="25"/>
  <c r="P206" i="25"/>
  <c r="P207" i="25"/>
  <c r="P208" i="25"/>
  <c r="P209" i="25"/>
  <c r="P210" i="25"/>
  <c r="P211" i="25"/>
  <c r="P212" i="25"/>
  <c r="P213" i="25"/>
  <c r="P214" i="25"/>
  <c r="P215" i="25"/>
  <c r="P216" i="25"/>
  <c r="P217" i="25"/>
  <c r="P218" i="25"/>
  <c r="P219" i="25"/>
  <c r="P220" i="25"/>
  <c r="P221" i="25"/>
  <c r="P222" i="25"/>
  <c r="P223" i="25"/>
  <c r="P224" i="25"/>
  <c r="P225" i="25"/>
  <c r="P226" i="25"/>
  <c r="P227" i="25"/>
  <c r="P228" i="25"/>
  <c r="P229" i="25"/>
  <c r="P230" i="25"/>
  <c r="P231" i="25"/>
  <c r="P232" i="25"/>
  <c r="P233" i="25"/>
  <c r="P234" i="25"/>
  <c r="P235" i="25"/>
  <c r="P236" i="25"/>
  <c r="P237" i="25"/>
  <c r="P238" i="25"/>
  <c r="P239" i="25"/>
  <c r="P240" i="25"/>
  <c r="P241" i="25"/>
  <c r="P243" i="25"/>
  <c r="P244" i="25"/>
  <c r="P245" i="25"/>
  <c r="P246" i="25"/>
  <c r="P247" i="25"/>
  <c r="P248" i="25"/>
  <c r="P249" i="25"/>
  <c r="P250" i="25"/>
  <c r="P251" i="25"/>
  <c r="P252" i="25"/>
  <c r="P253" i="25"/>
  <c r="P254" i="25"/>
  <c r="P255" i="25"/>
  <c r="P256" i="25"/>
  <c r="P257" i="25"/>
  <c r="P258" i="25"/>
  <c r="P259" i="25"/>
  <c r="P260" i="25"/>
  <c r="P261" i="25"/>
  <c r="P262" i="25"/>
  <c r="P263" i="25"/>
  <c r="P264" i="25"/>
  <c r="P265" i="25"/>
  <c r="P266" i="25"/>
  <c r="P267" i="25"/>
  <c r="P268" i="25"/>
  <c r="P269" i="25"/>
  <c r="P270" i="25"/>
  <c r="P271" i="25"/>
  <c r="P272" i="25"/>
  <c r="P273" i="25"/>
  <c r="P274" i="25"/>
  <c r="P275" i="25"/>
  <c r="P276" i="25"/>
  <c r="P277" i="25"/>
  <c r="P278" i="25"/>
  <c r="P279" i="25"/>
  <c r="P280" i="25"/>
  <c r="P281" i="25"/>
  <c r="P282" i="25"/>
  <c r="P283" i="25"/>
  <c r="P284" i="25"/>
  <c r="P285" i="25"/>
  <c r="P286" i="25"/>
  <c r="P287" i="25"/>
  <c r="P288" i="25"/>
  <c r="P289" i="25"/>
  <c r="P290" i="25"/>
  <c r="P291" i="25"/>
  <c r="P292" i="25"/>
  <c r="P293" i="25"/>
  <c r="P294" i="25"/>
  <c r="P295" i="25"/>
  <c r="P296" i="25"/>
  <c r="P297" i="25"/>
  <c r="P298" i="25"/>
  <c r="P299" i="25"/>
  <c r="P300" i="25"/>
  <c r="P301" i="25"/>
  <c r="P302" i="25"/>
  <c r="P303" i="25"/>
  <c r="P304" i="25"/>
  <c r="P305" i="25"/>
  <c r="P306" i="25"/>
  <c r="P307" i="25"/>
  <c r="Q5" i="25"/>
  <c r="Y5" i="25" s="1"/>
  <c r="Q7" i="25"/>
  <c r="Q8" i="25"/>
  <c r="Q9" i="25"/>
  <c r="Q10" i="25"/>
  <c r="Y10" i="25" s="1"/>
  <c r="Q12" i="25"/>
  <c r="Q13" i="25"/>
  <c r="Q14" i="25"/>
  <c r="Q15" i="25"/>
  <c r="Y15" i="25" s="1"/>
  <c r="Q16" i="25"/>
  <c r="Q17" i="25"/>
  <c r="Q18" i="25"/>
  <c r="Q19" i="25"/>
  <c r="Y19" i="25" s="1"/>
  <c r="Q20" i="25"/>
  <c r="Q21" i="25"/>
  <c r="Q23" i="25"/>
  <c r="Q24" i="25"/>
  <c r="Q25" i="25"/>
  <c r="Q26" i="25"/>
  <c r="Q27" i="25"/>
  <c r="Q28" i="25"/>
  <c r="Q29" i="25"/>
  <c r="Q31" i="25"/>
  <c r="Q32" i="25"/>
  <c r="Q33" i="25"/>
  <c r="Y33" i="25" s="1"/>
  <c r="Q34" i="25"/>
  <c r="Q35" i="25"/>
  <c r="Q36" i="25"/>
  <c r="Q38" i="25"/>
  <c r="Y38" i="25" s="1"/>
  <c r="Q39" i="25"/>
  <c r="Q40" i="25"/>
  <c r="Q41" i="25"/>
  <c r="Q42" i="25"/>
  <c r="Y42" i="25" s="1"/>
  <c r="Q43" i="25"/>
  <c r="Q44" i="25"/>
  <c r="Q45" i="25"/>
  <c r="Q46" i="25"/>
  <c r="Y46" i="25" s="1"/>
  <c r="Q47" i="25"/>
  <c r="Q48" i="25"/>
  <c r="Q49" i="25"/>
  <c r="Q50" i="25"/>
  <c r="Y50" i="25" s="1"/>
  <c r="Q51" i="25"/>
  <c r="Q52" i="25"/>
  <c r="Q53" i="25"/>
  <c r="Q54" i="25"/>
  <c r="Y54" i="25" s="1"/>
  <c r="Q55" i="25"/>
  <c r="Q56" i="25"/>
  <c r="Q57" i="25"/>
  <c r="Q58" i="25"/>
  <c r="Y58" i="25" s="1"/>
  <c r="Q60" i="25"/>
  <c r="Q61" i="25"/>
  <c r="Q62" i="25"/>
  <c r="Q63" i="25"/>
  <c r="Y63" i="25" s="1"/>
  <c r="Q64" i="25"/>
  <c r="Q65" i="25"/>
  <c r="Q66" i="25"/>
  <c r="Q67" i="25"/>
  <c r="Y67" i="25" s="1"/>
  <c r="Q68" i="25"/>
  <c r="Q69" i="25"/>
  <c r="Q70" i="25"/>
  <c r="Q71" i="25"/>
  <c r="Y71" i="25" s="1"/>
  <c r="Q72" i="25"/>
  <c r="Q73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100" i="25"/>
  <c r="Q101" i="25"/>
  <c r="Y101" i="25" s="1"/>
  <c r="Q102" i="25"/>
  <c r="Q103" i="25"/>
  <c r="Q104" i="25"/>
  <c r="Q105" i="25"/>
  <c r="Y105" i="25" s="1"/>
  <c r="Q106" i="25"/>
  <c r="Q107" i="25"/>
  <c r="Q108" i="25"/>
  <c r="Q110" i="25"/>
  <c r="Y110" i="25" s="1"/>
  <c r="Q111" i="25"/>
  <c r="Q112" i="25"/>
  <c r="Q113" i="25"/>
  <c r="Q114" i="25"/>
  <c r="Y114" i="25" s="1"/>
  <c r="Q115" i="25"/>
  <c r="Q116" i="25"/>
  <c r="Q117" i="25"/>
  <c r="Q118" i="25"/>
  <c r="Y118" i="25" s="1"/>
  <c r="Q119" i="25"/>
  <c r="Q120" i="25"/>
  <c r="Q121" i="25"/>
  <c r="Q122" i="25"/>
  <c r="Y122" i="25" s="1"/>
  <c r="Q123" i="25"/>
  <c r="Q124" i="25"/>
  <c r="Q126" i="25"/>
  <c r="Q127" i="25"/>
  <c r="Y127" i="25" s="1"/>
  <c r="Q128" i="25"/>
  <c r="Q129" i="25"/>
  <c r="Q130" i="25"/>
  <c r="Q131" i="25"/>
  <c r="Y131" i="25" s="1"/>
  <c r="Q132" i="25"/>
  <c r="Q133" i="25"/>
  <c r="Q134" i="25"/>
  <c r="Q135" i="25"/>
  <c r="Y135" i="25" s="1"/>
  <c r="Q136" i="25"/>
  <c r="Q137" i="25"/>
  <c r="Q138" i="25"/>
  <c r="Q139" i="25"/>
  <c r="Y139" i="25" s="1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3" i="25"/>
  <c r="Q244" i="25"/>
  <c r="Y244" i="25" s="1"/>
  <c r="Q245" i="25"/>
  <c r="Q246" i="25"/>
  <c r="Y246" i="25" s="1"/>
  <c r="Q247" i="25"/>
  <c r="Q248" i="25"/>
  <c r="Y248" i="25" s="1"/>
  <c r="Q249" i="25"/>
  <c r="Q250" i="25"/>
  <c r="Y250" i="25" s="1"/>
  <c r="Q251" i="25"/>
  <c r="Q252" i="25"/>
  <c r="Y252" i="25" s="1"/>
  <c r="Q253" i="25"/>
  <c r="Q254" i="25"/>
  <c r="Y254" i="25" s="1"/>
  <c r="Q255" i="25"/>
  <c r="Q256" i="25"/>
  <c r="Y256" i="25" s="1"/>
  <c r="Q257" i="25"/>
  <c r="Q258" i="25"/>
  <c r="Y258" i="25" s="1"/>
  <c r="Q259" i="25"/>
  <c r="Q260" i="25"/>
  <c r="Y260" i="25" s="1"/>
  <c r="Q261" i="25"/>
  <c r="Q262" i="25"/>
  <c r="Y262" i="25" s="1"/>
  <c r="Q263" i="25"/>
  <c r="Q264" i="25"/>
  <c r="Y264" i="25" s="1"/>
  <c r="Q265" i="25"/>
  <c r="Q266" i="25"/>
  <c r="Y266" i="25" s="1"/>
  <c r="Q267" i="25"/>
  <c r="Q268" i="25"/>
  <c r="Y268" i="25" s="1"/>
  <c r="Q269" i="25"/>
  <c r="Q270" i="25"/>
  <c r="Y270" i="25" s="1"/>
  <c r="Q271" i="25"/>
  <c r="Q272" i="25"/>
  <c r="Y272" i="25" s="1"/>
  <c r="Q273" i="25"/>
  <c r="Q274" i="25"/>
  <c r="Y274" i="25" s="1"/>
  <c r="Q275" i="25"/>
  <c r="Q276" i="25"/>
  <c r="Y276" i="25" s="1"/>
  <c r="Q277" i="25"/>
  <c r="Q278" i="25"/>
  <c r="Y278" i="25" s="1"/>
  <c r="Q279" i="25"/>
  <c r="Q280" i="25"/>
  <c r="Y280" i="25" s="1"/>
  <c r="Q281" i="25"/>
  <c r="Q282" i="25"/>
  <c r="Y282" i="25" s="1"/>
  <c r="Q283" i="25"/>
  <c r="Q284" i="25"/>
  <c r="Y284" i="25" s="1"/>
  <c r="Q285" i="25"/>
  <c r="Q286" i="25"/>
  <c r="Y286" i="25" s="1"/>
  <c r="Q287" i="25"/>
  <c r="Q288" i="25"/>
  <c r="Y288" i="25" s="1"/>
  <c r="Q289" i="25"/>
  <c r="Q290" i="25"/>
  <c r="Y290" i="25" s="1"/>
  <c r="Q291" i="25"/>
  <c r="Q292" i="25"/>
  <c r="Y292" i="25" s="1"/>
  <c r="Q293" i="25"/>
  <c r="Q294" i="25"/>
  <c r="Y294" i="25" s="1"/>
  <c r="Q295" i="25"/>
  <c r="Q296" i="25"/>
  <c r="Y296" i="25" s="1"/>
  <c r="Q297" i="25"/>
  <c r="Q298" i="25"/>
  <c r="Y298" i="25" s="1"/>
  <c r="Q299" i="25"/>
  <c r="Q300" i="25"/>
  <c r="Y300" i="25" s="1"/>
  <c r="Q301" i="25"/>
  <c r="Q302" i="25"/>
  <c r="Y302" i="25" s="1"/>
  <c r="Q303" i="25"/>
  <c r="Q304" i="25"/>
  <c r="Y304" i="25" s="1"/>
  <c r="Q305" i="25"/>
  <c r="Q306" i="25"/>
  <c r="AB503" i="25"/>
  <c r="AA503" i="25"/>
  <c r="AB502" i="25"/>
  <c r="AA502" i="25"/>
  <c r="AB501" i="25"/>
  <c r="AA501" i="25"/>
  <c r="AB500" i="25"/>
  <c r="AA500" i="25"/>
  <c r="AB499" i="25"/>
  <c r="AA499" i="25"/>
  <c r="AB498" i="25"/>
  <c r="AA498" i="25"/>
  <c r="AB497" i="25"/>
  <c r="AA497" i="25"/>
  <c r="AB496" i="25"/>
  <c r="AA496" i="25"/>
  <c r="AB495" i="25"/>
  <c r="AA495" i="25"/>
  <c r="AB494" i="25"/>
  <c r="AA494" i="25"/>
  <c r="AB493" i="25"/>
  <c r="AA493" i="25"/>
  <c r="AB492" i="25"/>
  <c r="AA492" i="25"/>
  <c r="AB491" i="25"/>
  <c r="AA491" i="25"/>
  <c r="AB490" i="25"/>
  <c r="AA490" i="25"/>
  <c r="AB489" i="25"/>
  <c r="AA489" i="25"/>
  <c r="AB488" i="25"/>
  <c r="AA488" i="25"/>
  <c r="AB487" i="25"/>
  <c r="AA487" i="25"/>
  <c r="AB486" i="25"/>
  <c r="AA486" i="25"/>
  <c r="AB485" i="25"/>
  <c r="AA485" i="25"/>
  <c r="AB484" i="25"/>
  <c r="AA484" i="25"/>
  <c r="AB483" i="25"/>
  <c r="AA483" i="25"/>
  <c r="AB482" i="25"/>
  <c r="AA482" i="25"/>
  <c r="AB481" i="25"/>
  <c r="AA481" i="25"/>
  <c r="AB480" i="25"/>
  <c r="AA480" i="25"/>
  <c r="AB479" i="25"/>
  <c r="AA479" i="25"/>
  <c r="AB478" i="25"/>
  <c r="AA478" i="25"/>
  <c r="AB477" i="25"/>
  <c r="AA477" i="25"/>
  <c r="AB476" i="25"/>
  <c r="AA476" i="25"/>
  <c r="AB475" i="25"/>
  <c r="AA475" i="25"/>
  <c r="AB474" i="25"/>
  <c r="AA474" i="25"/>
  <c r="AB473" i="25"/>
  <c r="AA473" i="25"/>
  <c r="AB472" i="25"/>
  <c r="AA472" i="25"/>
  <c r="AB471" i="25"/>
  <c r="AA471" i="25"/>
  <c r="AB470" i="25"/>
  <c r="AA470" i="25"/>
  <c r="AB469" i="25"/>
  <c r="AA469" i="25"/>
  <c r="AB468" i="25"/>
  <c r="AA468" i="25"/>
  <c r="AB467" i="25"/>
  <c r="AA467" i="25"/>
  <c r="AB466" i="25"/>
  <c r="AA466" i="25"/>
  <c r="AB465" i="25"/>
  <c r="AA465" i="25"/>
  <c r="AB464" i="25"/>
  <c r="AA464" i="25"/>
  <c r="AB463" i="25"/>
  <c r="AA463" i="25"/>
  <c r="AB462" i="25"/>
  <c r="AA462" i="25"/>
  <c r="AB461" i="25"/>
  <c r="AA461" i="25"/>
  <c r="AB460" i="25"/>
  <c r="AA460" i="25"/>
  <c r="AB459" i="25"/>
  <c r="AA459" i="25"/>
  <c r="AB458" i="25"/>
  <c r="AA458" i="25"/>
  <c r="AB457" i="25"/>
  <c r="AA457" i="25"/>
  <c r="AB456" i="25"/>
  <c r="AA456" i="25"/>
  <c r="AB455" i="25"/>
  <c r="AA455" i="25"/>
  <c r="AB454" i="25"/>
  <c r="AA454" i="25"/>
  <c r="AB453" i="25"/>
  <c r="AA453" i="25"/>
  <c r="AB452" i="25"/>
  <c r="AA452" i="25"/>
  <c r="AB451" i="25"/>
  <c r="AA451" i="25"/>
  <c r="AB450" i="25"/>
  <c r="AA450" i="25"/>
  <c r="AB449" i="25"/>
  <c r="AA449" i="25"/>
  <c r="AB448" i="25"/>
  <c r="AA448" i="25"/>
  <c r="AB447" i="25"/>
  <c r="AA447" i="25"/>
  <c r="AB446" i="25"/>
  <c r="AA446" i="25"/>
  <c r="AB445" i="25"/>
  <c r="AA445" i="25"/>
  <c r="AB444" i="25"/>
  <c r="AA444" i="25"/>
  <c r="AB443" i="25"/>
  <c r="AA443" i="25"/>
  <c r="AB442" i="25"/>
  <c r="AA442" i="25"/>
  <c r="AB441" i="25"/>
  <c r="AA441" i="25"/>
  <c r="AB440" i="25"/>
  <c r="AA440" i="25"/>
  <c r="AB439" i="25"/>
  <c r="AA439" i="25"/>
  <c r="AB438" i="25"/>
  <c r="AA438" i="25"/>
  <c r="AB437" i="25"/>
  <c r="AA437" i="25"/>
  <c r="AB436" i="25"/>
  <c r="AA436" i="25"/>
  <c r="AB435" i="25"/>
  <c r="AA435" i="25"/>
  <c r="AB434" i="25"/>
  <c r="AA434" i="25"/>
  <c r="AB433" i="25"/>
  <c r="AA433" i="25"/>
  <c r="AB432" i="25"/>
  <c r="AA432" i="25"/>
  <c r="AB431" i="25"/>
  <c r="AA431" i="25"/>
  <c r="AB430" i="25"/>
  <c r="AA430" i="25"/>
  <c r="AB429" i="25"/>
  <c r="AA429" i="25"/>
  <c r="AB428" i="25"/>
  <c r="AA428" i="25"/>
  <c r="AB427" i="25"/>
  <c r="AA427" i="25"/>
  <c r="AB426" i="25"/>
  <c r="AA426" i="25"/>
  <c r="AB425" i="25"/>
  <c r="AA425" i="25"/>
  <c r="AB424" i="25"/>
  <c r="AA424" i="25"/>
  <c r="AB423" i="25"/>
  <c r="AA423" i="25"/>
  <c r="AB422" i="25"/>
  <c r="AA422" i="25"/>
  <c r="AB421" i="25"/>
  <c r="AA421" i="25"/>
  <c r="AB420" i="25"/>
  <c r="AA420" i="25"/>
  <c r="AB419" i="25"/>
  <c r="AA419" i="25"/>
  <c r="AB418" i="25"/>
  <c r="AA418" i="25"/>
  <c r="AB417" i="25"/>
  <c r="AA417" i="25"/>
  <c r="AB416" i="25"/>
  <c r="AA416" i="25"/>
  <c r="AB415" i="25"/>
  <c r="AA415" i="25"/>
  <c r="AB414" i="25"/>
  <c r="AA414" i="25"/>
  <c r="AB413" i="25"/>
  <c r="AA413" i="25"/>
  <c r="AB412" i="25"/>
  <c r="AA412" i="25"/>
  <c r="AB411" i="25"/>
  <c r="AA411" i="25"/>
  <c r="AB410" i="25"/>
  <c r="AA410" i="25"/>
  <c r="AB409" i="25"/>
  <c r="AA409" i="25"/>
  <c r="AB408" i="25"/>
  <c r="AA408" i="25"/>
  <c r="AB407" i="25"/>
  <c r="AA407" i="25"/>
  <c r="AB406" i="25"/>
  <c r="AA406" i="25"/>
  <c r="AB405" i="25"/>
  <c r="AA405" i="25"/>
  <c r="AB404" i="25"/>
  <c r="AA404" i="25"/>
  <c r="AB403" i="25"/>
  <c r="AA403" i="25"/>
  <c r="AB402" i="25"/>
  <c r="AA402" i="25"/>
  <c r="AB401" i="25"/>
  <c r="AA401" i="25"/>
  <c r="AB400" i="25"/>
  <c r="AA400" i="25"/>
  <c r="AB399" i="25"/>
  <c r="AA399" i="25"/>
  <c r="AB398" i="25"/>
  <c r="AA398" i="25"/>
  <c r="AB397" i="25"/>
  <c r="AA397" i="25"/>
  <c r="AB396" i="25"/>
  <c r="AA396" i="25"/>
  <c r="AB395" i="25"/>
  <c r="AA395" i="25"/>
  <c r="AB394" i="25"/>
  <c r="AA394" i="25"/>
  <c r="AB393" i="25"/>
  <c r="AA393" i="25"/>
  <c r="AB392" i="25"/>
  <c r="AA392" i="25"/>
  <c r="AB391" i="25"/>
  <c r="AA391" i="25"/>
  <c r="AB390" i="25"/>
  <c r="AA390" i="25"/>
  <c r="AB389" i="25"/>
  <c r="AA389" i="25"/>
  <c r="AB388" i="25"/>
  <c r="AA388" i="25"/>
  <c r="AB387" i="25"/>
  <c r="AA387" i="25"/>
  <c r="AB386" i="25"/>
  <c r="AA386" i="25"/>
  <c r="AB385" i="25"/>
  <c r="AA385" i="25"/>
  <c r="AB384" i="25"/>
  <c r="AA384" i="25"/>
  <c r="AB383" i="25"/>
  <c r="AA383" i="25"/>
  <c r="AB382" i="25"/>
  <c r="AA382" i="25"/>
  <c r="AB381" i="25"/>
  <c r="AA381" i="25"/>
  <c r="AB380" i="25"/>
  <c r="AA380" i="25"/>
  <c r="AB379" i="25"/>
  <c r="AA379" i="25"/>
  <c r="AB378" i="25"/>
  <c r="AA378" i="25"/>
  <c r="AB377" i="25"/>
  <c r="AA377" i="25"/>
  <c r="AB376" i="25"/>
  <c r="AA376" i="25"/>
  <c r="AB375" i="25"/>
  <c r="AA375" i="25"/>
  <c r="AB374" i="25"/>
  <c r="AA374" i="25"/>
  <c r="AB373" i="25"/>
  <c r="AA373" i="25"/>
  <c r="AB372" i="25"/>
  <c r="AA372" i="25"/>
  <c r="AB371" i="25"/>
  <c r="AA371" i="25"/>
  <c r="AB370" i="25"/>
  <c r="AA370" i="25"/>
  <c r="AB369" i="25"/>
  <c r="AA369" i="25"/>
  <c r="AB368" i="25"/>
  <c r="AA368" i="25"/>
  <c r="AB367" i="25"/>
  <c r="AA367" i="25"/>
  <c r="AB366" i="25"/>
  <c r="AA366" i="25"/>
  <c r="AB365" i="25"/>
  <c r="AA365" i="25"/>
  <c r="AB364" i="25"/>
  <c r="AA364" i="25"/>
  <c r="AB363" i="25"/>
  <c r="AA363" i="25"/>
  <c r="AB362" i="25"/>
  <c r="AA362" i="25"/>
  <c r="AB361" i="25"/>
  <c r="AA361" i="25"/>
  <c r="AB360" i="25"/>
  <c r="AA360" i="25"/>
  <c r="AB359" i="25"/>
  <c r="AA359" i="25"/>
  <c r="AB358" i="25"/>
  <c r="AA358" i="25"/>
  <c r="AB357" i="25"/>
  <c r="AA357" i="25"/>
  <c r="AB356" i="25"/>
  <c r="AA356" i="25"/>
  <c r="AB355" i="25"/>
  <c r="AA355" i="25"/>
  <c r="AB354" i="25"/>
  <c r="AA354" i="25"/>
  <c r="AB353" i="25"/>
  <c r="AA353" i="25"/>
  <c r="AB352" i="25"/>
  <c r="AA352" i="25"/>
  <c r="AB351" i="25"/>
  <c r="AA351" i="25"/>
  <c r="AB350" i="25"/>
  <c r="AA350" i="25"/>
  <c r="AB349" i="25"/>
  <c r="AA349" i="25"/>
  <c r="AB348" i="25"/>
  <c r="AA348" i="25"/>
  <c r="AB347" i="25"/>
  <c r="AA347" i="25"/>
  <c r="AB346" i="25"/>
  <c r="AA346" i="25"/>
  <c r="AB345" i="25"/>
  <c r="AA345" i="25"/>
  <c r="AB344" i="25"/>
  <c r="AA344" i="25"/>
  <c r="AB343" i="25"/>
  <c r="AA343" i="25"/>
  <c r="AB342" i="25"/>
  <c r="AA342" i="25"/>
  <c r="AB341" i="25"/>
  <c r="AA341" i="25"/>
  <c r="AB340" i="25"/>
  <c r="AA340" i="25"/>
  <c r="AB339" i="25"/>
  <c r="AA339" i="25"/>
  <c r="AB338" i="25"/>
  <c r="AA338" i="25"/>
  <c r="AB337" i="25"/>
  <c r="AA337" i="25"/>
  <c r="AB336" i="25"/>
  <c r="AA336" i="25"/>
  <c r="AB335" i="25"/>
  <c r="AA335" i="25"/>
  <c r="AB334" i="25"/>
  <c r="AA334" i="25"/>
  <c r="AB333" i="25"/>
  <c r="AA333" i="25"/>
  <c r="AB332" i="25"/>
  <c r="AA332" i="25"/>
  <c r="AB331" i="25"/>
  <c r="AA331" i="25"/>
  <c r="AB330" i="25"/>
  <c r="AA330" i="25"/>
  <c r="AB329" i="25"/>
  <c r="AA329" i="25"/>
  <c r="AB328" i="25"/>
  <c r="AA328" i="25"/>
  <c r="AB327" i="25"/>
  <c r="AA327" i="25"/>
  <c r="AB326" i="25"/>
  <c r="AA326" i="25"/>
  <c r="AB325" i="25"/>
  <c r="AA325" i="25"/>
  <c r="AB324" i="25"/>
  <c r="AA324" i="25"/>
  <c r="AB323" i="25"/>
  <c r="AA323" i="25"/>
  <c r="AB322" i="25"/>
  <c r="AA322" i="25"/>
  <c r="AB321" i="25"/>
  <c r="AA321" i="25"/>
  <c r="AB320" i="25"/>
  <c r="AA320" i="25"/>
  <c r="AB319" i="25"/>
  <c r="AA319" i="25"/>
  <c r="AB318" i="25"/>
  <c r="AA318" i="25"/>
  <c r="AB317" i="25"/>
  <c r="AA317" i="25"/>
  <c r="AB316" i="25"/>
  <c r="AA316" i="25"/>
  <c r="AB315" i="25"/>
  <c r="AA315" i="25"/>
  <c r="AB314" i="25"/>
  <c r="AA314" i="25"/>
  <c r="AB313" i="25"/>
  <c r="AA313" i="25"/>
  <c r="AB312" i="25"/>
  <c r="AA312" i="25"/>
  <c r="AB311" i="25"/>
  <c r="AA311" i="25"/>
  <c r="AB310" i="25"/>
  <c r="AA310" i="25"/>
  <c r="AB309" i="25"/>
  <c r="AA309" i="25"/>
  <c r="AB308" i="25"/>
  <c r="AA308" i="25"/>
  <c r="AB307" i="25"/>
  <c r="AA307" i="25"/>
  <c r="AB306" i="25"/>
  <c r="AA306" i="25"/>
  <c r="AB305" i="25"/>
  <c r="AA305" i="25"/>
  <c r="AB304" i="25"/>
  <c r="AA304" i="25"/>
  <c r="AB303" i="25"/>
  <c r="AA303" i="25"/>
  <c r="AB302" i="25"/>
  <c r="AA302" i="25"/>
  <c r="AB301" i="25"/>
  <c r="AA301" i="25"/>
  <c r="AB300" i="25"/>
  <c r="AA300" i="25"/>
  <c r="AB299" i="25"/>
  <c r="AA299" i="25"/>
  <c r="AB298" i="25"/>
  <c r="AA298" i="25"/>
  <c r="AB297" i="25"/>
  <c r="AA297" i="25"/>
  <c r="AB296" i="25"/>
  <c r="AA296" i="25"/>
  <c r="AB295" i="25"/>
  <c r="AA295" i="25"/>
  <c r="AB294" i="25"/>
  <c r="AA294" i="25"/>
  <c r="AB293" i="25"/>
  <c r="AA293" i="25"/>
  <c r="AB292" i="25"/>
  <c r="AA292" i="25"/>
  <c r="AB291" i="25"/>
  <c r="AA291" i="25"/>
  <c r="AB290" i="25"/>
  <c r="AA290" i="25"/>
  <c r="AB289" i="25"/>
  <c r="AA289" i="25"/>
  <c r="AB288" i="25"/>
  <c r="AA288" i="25"/>
  <c r="AB287" i="25"/>
  <c r="AA287" i="25"/>
  <c r="AB286" i="25"/>
  <c r="AA286" i="25"/>
  <c r="AB285" i="25"/>
  <c r="AA285" i="25"/>
  <c r="AB284" i="25"/>
  <c r="AA284" i="25"/>
  <c r="AB283" i="25"/>
  <c r="AA283" i="25"/>
  <c r="AB282" i="25"/>
  <c r="AA282" i="25"/>
  <c r="AB281" i="25"/>
  <c r="AA281" i="25"/>
  <c r="AB280" i="25"/>
  <c r="AA280" i="25"/>
  <c r="AB279" i="25"/>
  <c r="AA279" i="25"/>
  <c r="AB278" i="25"/>
  <c r="AA278" i="25"/>
  <c r="AB277" i="25"/>
  <c r="AA277" i="25"/>
  <c r="AB276" i="25"/>
  <c r="AA276" i="25"/>
  <c r="AB275" i="25"/>
  <c r="AA275" i="25"/>
  <c r="AB274" i="25"/>
  <c r="AA274" i="25"/>
  <c r="AB273" i="25"/>
  <c r="AA273" i="25"/>
  <c r="AB272" i="25"/>
  <c r="AA272" i="25"/>
  <c r="AB271" i="25"/>
  <c r="AA271" i="25"/>
  <c r="AB270" i="25"/>
  <c r="AA270" i="25"/>
  <c r="AB269" i="25"/>
  <c r="AA269" i="25"/>
  <c r="AB268" i="25"/>
  <c r="AA268" i="25"/>
  <c r="AB267" i="25"/>
  <c r="AA267" i="25"/>
  <c r="AB266" i="25"/>
  <c r="AA266" i="25"/>
  <c r="AB265" i="25"/>
  <c r="AA265" i="25"/>
  <c r="AB264" i="25"/>
  <c r="AA264" i="25"/>
  <c r="AB263" i="25"/>
  <c r="AA263" i="25"/>
  <c r="AB262" i="25"/>
  <c r="AA262" i="25"/>
  <c r="AB261" i="25"/>
  <c r="AA261" i="25"/>
  <c r="AB260" i="25"/>
  <c r="AA260" i="25"/>
  <c r="AB259" i="25"/>
  <c r="AA259" i="25"/>
  <c r="AB258" i="25"/>
  <c r="AA258" i="25"/>
  <c r="AB257" i="25"/>
  <c r="AA257" i="25"/>
  <c r="AB256" i="25"/>
  <c r="AA256" i="25"/>
  <c r="AB255" i="25"/>
  <c r="AA255" i="25"/>
  <c r="AB254" i="25"/>
  <c r="AA254" i="25"/>
  <c r="AB253" i="25"/>
  <c r="AA253" i="25"/>
  <c r="AB252" i="25"/>
  <c r="AA252" i="25"/>
  <c r="AB251" i="25"/>
  <c r="AA251" i="25"/>
  <c r="AB250" i="25"/>
  <c r="AA250" i="25"/>
  <c r="AB249" i="25"/>
  <c r="AA249" i="25"/>
  <c r="AB248" i="25"/>
  <c r="AA248" i="25"/>
  <c r="AB247" i="25"/>
  <c r="AA247" i="25"/>
  <c r="AB246" i="25"/>
  <c r="AA246" i="25"/>
  <c r="AB245" i="25"/>
  <c r="AA245" i="25"/>
  <c r="AB244" i="25"/>
  <c r="AA244" i="25"/>
  <c r="AB243" i="25"/>
  <c r="AA243" i="25"/>
  <c r="AB242" i="25"/>
  <c r="AA242" i="25"/>
  <c r="AB241" i="25"/>
  <c r="AA241" i="25"/>
  <c r="Y241" i="25"/>
  <c r="AB240" i="25"/>
  <c r="AA240" i="25"/>
  <c r="Y240" i="25"/>
  <c r="AB239" i="25"/>
  <c r="AA239" i="25"/>
  <c r="Y239" i="25"/>
  <c r="AB238" i="25"/>
  <c r="AA238" i="25"/>
  <c r="Y238" i="25"/>
  <c r="AB237" i="25"/>
  <c r="AA237" i="25"/>
  <c r="Y237" i="25"/>
  <c r="AB236" i="25"/>
  <c r="AA236" i="25"/>
  <c r="Y236" i="25"/>
  <c r="AB235" i="25"/>
  <c r="AA235" i="25"/>
  <c r="Y235" i="25"/>
  <c r="AB234" i="25"/>
  <c r="AA234" i="25"/>
  <c r="Y234" i="25"/>
  <c r="AB233" i="25"/>
  <c r="AA233" i="25"/>
  <c r="Y233" i="25"/>
  <c r="AB232" i="25"/>
  <c r="AA232" i="25"/>
  <c r="Y232" i="25"/>
  <c r="AB231" i="25"/>
  <c r="AA231" i="25"/>
  <c r="Y231" i="25"/>
  <c r="AB230" i="25"/>
  <c r="AA230" i="25"/>
  <c r="Y230" i="25"/>
  <c r="AB229" i="25"/>
  <c r="AA229" i="25"/>
  <c r="Y229" i="25"/>
  <c r="AB228" i="25"/>
  <c r="AA228" i="25"/>
  <c r="Y228" i="25"/>
  <c r="AB227" i="25"/>
  <c r="AA227" i="25"/>
  <c r="Y227" i="25"/>
  <c r="AB226" i="25"/>
  <c r="AA226" i="25"/>
  <c r="Y226" i="25"/>
  <c r="AB225" i="25"/>
  <c r="AA225" i="25"/>
  <c r="Y225" i="25"/>
  <c r="AB224" i="25"/>
  <c r="AA224" i="25"/>
  <c r="Y224" i="25"/>
  <c r="AB223" i="25"/>
  <c r="AA223" i="25"/>
  <c r="Y223" i="25"/>
  <c r="AB222" i="25"/>
  <c r="AA222" i="25"/>
  <c r="Y222" i="25"/>
  <c r="AB221" i="25"/>
  <c r="AA221" i="25"/>
  <c r="Y221" i="25"/>
  <c r="AB220" i="25"/>
  <c r="AA220" i="25"/>
  <c r="Y220" i="25"/>
  <c r="AB219" i="25"/>
  <c r="AA219" i="25"/>
  <c r="Y219" i="25"/>
  <c r="AB218" i="25"/>
  <c r="AA218" i="25"/>
  <c r="Y218" i="25"/>
  <c r="AB217" i="25"/>
  <c r="AA217" i="25"/>
  <c r="Y217" i="25"/>
  <c r="AB216" i="25"/>
  <c r="AA216" i="25"/>
  <c r="Y216" i="25"/>
  <c r="AB215" i="25"/>
  <c r="AA215" i="25"/>
  <c r="Y215" i="25"/>
  <c r="AB214" i="25"/>
  <c r="AA214" i="25"/>
  <c r="Y214" i="25"/>
  <c r="AB213" i="25"/>
  <c r="AA213" i="25"/>
  <c r="Y213" i="25"/>
  <c r="AB212" i="25"/>
  <c r="AA212" i="25"/>
  <c r="Y212" i="25"/>
  <c r="AB211" i="25"/>
  <c r="AA211" i="25"/>
  <c r="Y211" i="25"/>
  <c r="AB210" i="25"/>
  <c r="AA210" i="25"/>
  <c r="Y210" i="25"/>
  <c r="AB209" i="25"/>
  <c r="AA209" i="25"/>
  <c r="Y209" i="25"/>
  <c r="AB208" i="25"/>
  <c r="AA208" i="25"/>
  <c r="Y208" i="25"/>
  <c r="AB207" i="25"/>
  <c r="AA207" i="25"/>
  <c r="Y207" i="25"/>
  <c r="AB206" i="25"/>
  <c r="AA206" i="25"/>
  <c r="Y206" i="25"/>
  <c r="AB205" i="25"/>
  <c r="AA205" i="25"/>
  <c r="Y205" i="25"/>
  <c r="AB204" i="25"/>
  <c r="AA204" i="25"/>
  <c r="Y204" i="25"/>
  <c r="AB203" i="25"/>
  <c r="AA203" i="25"/>
  <c r="Y203" i="25"/>
  <c r="AB202" i="25"/>
  <c r="AA202" i="25"/>
  <c r="Y202" i="25"/>
  <c r="AB201" i="25"/>
  <c r="AA201" i="25"/>
  <c r="Y201" i="25"/>
  <c r="AB200" i="25"/>
  <c r="AA200" i="25"/>
  <c r="Y200" i="25"/>
  <c r="AB199" i="25"/>
  <c r="AA199" i="25"/>
  <c r="Y199" i="25"/>
  <c r="AB198" i="25"/>
  <c r="AA198" i="25"/>
  <c r="Y198" i="25"/>
  <c r="AB197" i="25"/>
  <c r="AA197" i="25"/>
  <c r="Y197" i="25"/>
  <c r="AB196" i="25"/>
  <c r="AA196" i="25"/>
  <c r="Y196" i="25"/>
  <c r="AB195" i="25"/>
  <c r="AA195" i="25"/>
  <c r="Y195" i="25"/>
  <c r="AB194" i="25"/>
  <c r="AA194" i="25"/>
  <c r="Y194" i="25"/>
  <c r="AB193" i="25"/>
  <c r="AA193" i="25"/>
  <c r="Y193" i="25"/>
  <c r="AB192" i="25"/>
  <c r="AA192" i="25"/>
  <c r="Y192" i="25"/>
  <c r="AB191" i="25"/>
  <c r="AA191" i="25"/>
  <c r="Y191" i="25"/>
  <c r="AB190" i="25"/>
  <c r="AA190" i="25"/>
  <c r="Y190" i="25"/>
  <c r="AB189" i="25"/>
  <c r="AA189" i="25"/>
  <c r="Y189" i="25"/>
  <c r="AB188" i="25"/>
  <c r="AA188" i="25"/>
  <c r="Y188" i="25"/>
  <c r="AB187" i="25"/>
  <c r="AA187" i="25"/>
  <c r="Y187" i="25"/>
  <c r="AB186" i="25"/>
  <c r="AA186" i="25"/>
  <c r="Y186" i="25"/>
  <c r="AB185" i="25"/>
  <c r="AA185" i="25"/>
  <c r="Y185" i="25"/>
  <c r="AB184" i="25"/>
  <c r="AA184" i="25"/>
  <c r="Y184" i="25"/>
  <c r="AB183" i="25"/>
  <c r="AA183" i="25"/>
  <c r="Y183" i="25"/>
  <c r="AB182" i="25"/>
  <c r="AA182" i="25"/>
  <c r="Y182" i="25"/>
  <c r="AB181" i="25"/>
  <c r="AA181" i="25"/>
  <c r="Y181" i="25"/>
  <c r="AB180" i="25"/>
  <c r="AA180" i="25"/>
  <c r="Y180" i="25"/>
  <c r="AB179" i="25"/>
  <c r="AA179" i="25"/>
  <c r="Y179" i="25"/>
  <c r="AB178" i="25"/>
  <c r="AA178" i="25"/>
  <c r="Y178" i="25"/>
  <c r="AB177" i="25"/>
  <c r="AA177" i="25"/>
  <c r="Y177" i="25"/>
  <c r="AB176" i="25"/>
  <c r="AA176" i="25"/>
  <c r="Y176" i="25"/>
  <c r="AB175" i="25"/>
  <c r="AA175" i="25"/>
  <c r="Y175" i="25"/>
  <c r="AB174" i="25"/>
  <c r="AA174" i="25"/>
  <c r="Y174" i="25"/>
  <c r="AB173" i="25"/>
  <c r="AA173" i="25"/>
  <c r="Y173" i="25"/>
  <c r="AB172" i="25"/>
  <c r="AA172" i="25"/>
  <c r="Y172" i="25"/>
  <c r="AB171" i="25"/>
  <c r="AA171" i="25"/>
  <c r="Y171" i="25"/>
  <c r="AB170" i="25"/>
  <c r="AA170" i="25"/>
  <c r="Y170" i="25"/>
  <c r="AB169" i="25"/>
  <c r="AA169" i="25"/>
  <c r="Y169" i="25"/>
  <c r="AB168" i="25"/>
  <c r="AA168" i="25"/>
  <c r="Y168" i="25"/>
  <c r="AB167" i="25"/>
  <c r="AA167" i="25"/>
  <c r="Y167" i="25"/>
  <c r="AB166" i="25"/>
  <c r="AA166" i="25"/>
  <c r="Y166" i="25"/>
  <c r="AB165" i="25"/>
  <c r="AA165" i="25"/>
  <c r="Y165" i="25"/>
  <c r="AB164" i="25"/>
  <c r="AA164" i="25"/>
  <c r="Y164" i="25"/>
  <c r="AB163" i="25"/>
  <c r="AA163" i="25"/>
  <c r="Y163" i="25"/>
  <c r="AB162" i="25"/>
  <c r="AA162" i="25"/>
  <c r="Y162" i="25"/>
  <c r="AB161" i="25"/>
  <c r="AA161" i="25"/>
  <c r="Y161" i="25"/>
  <c r="AB160" i="25"/>
  <c r="AA160" i="25"/>
  <c r="Y160" i="25"/>
  <c r="AB159" i="25"/>
  <c r="AA159" i="25"/>
  <c r="Y159" i="25"/>
  <c r="AB158" i="25"/>
  <c r="AA158" i="25"/>
  <c r="Y158" i="25"/>
  <c r="AB157" i="25"/>
  <c r="AA157" i="25"/>
  <c r="Y157" i="25"/>
  <c r="AB156" i="25"/>
  <c r="AA156" i="25"/>
  <c r="Y156" i="25"/>
  <c r="AB155" i="25"/>
  <c r="AA155" i="25"/>
  <c r="Y155" i="25"/>
  <c r="AB154" i="25"/>
  <c r="AA154" i="25"/>
  <c r="Y154" i="25"/>
  <c r="AB153" i="25"/>
  <c r="AA153" i="25"/>
  <c r="Y153" i="25"/>
  <c r="AB152" i="25"/>
  <c r="AA152" i="25"/>
  <c r="Y152" i="25"/>
  <c r="AB151" i="25"/>
  <c r="AA151" i="25"/>
  <c r="Y151" i="25"/>
  <c r="AB150" i="25"/>
  <c r="AA150" i="25"/>
  <c r="Y150" i="25"/>
  <c r="AB149" i="25"/>
  <c r="AA149" i="25"/>
  <c r="Y149" i="25"/>
  <c r="AB148" i="25"/>
  <c r="AA148" i="25"/>
  <c r="Y148" i="25"/>
  <c r="AB147" i="25"/>
  <c r="AA147" i="25"/>
  <c r="Y147" i="25"/>
  <c r="AB146" i="25"/>
  <c r="AA146" i="25"/>
  <c r="Y146" i="25"/>
  <c r="AB145" i="25"/>
  <c r="AA145" i="25"/>
  <c r="Y145" i="25"/>
  <c r="AB144" i="25"/>
  <c r="AA144" i="25"/>
  <c r="Y144" i="25"/>
  <c r="AB143" i="25"/>
  <c r="AA143" i="25"/>
  <c r="Y143" i="25"/>
  <c r="AB142" i="25"/>
  <c r="AA142" i="25"/>
  <c r="Y142" i="25"/>
  <c r="AB141" i="25"/>
  <c r="AA141" i="25"/>
  <c r="Y141" i="25"/>
  <c r="AB140" i="25"/>
  <c r="AA140" i="25"/>
  <c r="Y140" i="25"/>
  <c r="AB139" i="25"/>
  <c r="AA139" i="25"/>
  <c r="AB138" i="25"/>
  <c r="AA138" i="25"/>
  <c r="Y138" i="25"/>
  <c r="AB137" i="25"/>
  <c r="AA137" i="25"/>
  <c r="Y137" i="25"/>
  <c r="AB136" i="25"/>
  <c r="AA136" i="25"/>
  <c r="Y136" i="25"/>
  <c r="AB135" i="25"/>
  <c r="AA135" i="25"/>
  <c r="AB134" i="25"/>
  <c r="AA134" i="25"/>
  <c r="Y134" i="25"/>
  <c r="AB133" i="25"/>
  <c r="AA133" i="25"/>
  <c r="Y133" i="25"/>
  <c r="AB132" i="25"/>
  <c r="AA132" i="25"/>
  <c r="Y132" i="25"/>
  <c r="AB131" i="25"/>
  <c r="AA131" i="25"/>
  <c r="AB130" i="25"/>
  <c r="AA130" i="25"/>
  <c r="Y130" i="25"/>
  <c r="AB129" i="25"/>
  <c r="AA129" i="25"/>
  <c r="Y129" i="25"/>
  <c r="AB128" i="25"/>
  <c r="AA128" i="25"/>
  <c r="Y128" i="25"/>
  <c r="AB127" i="25"/>
  <c r="AA127" i="25"/>
  <c r="AB126" i="25"/>
  <c r="AA126" i="25"/>
  <c r="Y126" i="25"/>
  <c r="AB125" i="25"/>
  <c r="AA125" i="25"/>
  <c r="AB124" i="25"/>
  <c r="AA124" i="25"/>
  <c r="Y124" i="25"/>
  <c r="AB123" i="25"/>
  <c r="AA123" i="25"/>
  <c r="Y123" i="25"/>
  <c r="AB122" i="25"/>
  <c r="AA122" i="25"/>
  <c r="AB121" i="25"/>
  <c r="AA121" i="25"/>
  <c r="Y121" i="25"/>
  <c r="AB120" i="25"/>
  <c r="AA120" i="25"/>
  <c r="Y120" i="25"/>
  <c r="AB119" i="25"/>
  <c r="AA119" i="25"/>
  <c r="Y119" i="25"/>
  <c r="AB118" i="25"/>
  <c r="AA118" i="25"/>
  <c r="AB117" i="25"/>
  <c r="AA117" i="25"/>
  <c r="Y117" i="25"/>
  <c r="AB116" i="25"/>
  <c r="AA116" i="25"/>
  <c r="Y116" i="25"/>
  <c r="AB115" i="25"/>
  <c r="AA115" i="25"/>
  <c r="Y115" i="25"/>
  <c r="AB114" i="25"/>
  <c r="AA114" i="25"/>
  <c r="AB113" i="25"/>
  <c r="AA113" i="25"/>
  <c r="Y113" i="25"/>
  <c r="AB112" i="25"/>
  <c r="AA112" i="25"/>
  <c r="Y112" i="25"/>
  <c r="AB111" i="25"/>
  <c r="AA111" i="25"/>
  <c r="Y111" i="25"/>
  <c r="AB110" i="25"/>
  <c r="AA110" i="25"/>
  <c r="AB109" i="25"/>
  <c r="AA109" i="25"/>
  <c r="AB108" i="25"/>
  <c r="AA108" i="25"/>
  <c r="Y108" i="25"/>
  <c r="AB107" i="25"/>
  <c r="AA107" i="25"/>
  <c r="Y107" i="25"/>
  <c r="AB106" i="25"/>
  <c r="AA106" i="25"/>
  <c r="Y106" i="25"/>
  <c r="AB105" i="25"/>
  <c r="AA105" i="25"/>
  <c r="AB104" i="25"/>
  <c r="AA104" i="25"/>
  <c r="Y104" i="25"/>
  <c r="AB103" i="25"/>
  <c r="AA103" i="25"/>
  <c r="Y103" i="25"/>
  <c r="AB102" i="25"/>
  <c r="AA102" i="25"/>
  <c r="Y102" i="25"/>
  <c r="AB101" i="25"/>
  <c r="AA101" i="25"/>
  <c r="AB100" i="25"/>
  <c r="AA100" i="25"/>
  <c r="Y100" i="25"/>
  <c r="AB99" i="25"/>
  <c r="AA99" i="25"/>
  <c r="AB98" i="25"/>
  <c r="AA98" i="25"/>
  <c r="Y98" i="25"/>
  <c r="AB97" i="25"/>
  <c r="AA97" i="25"/>
  <c r="Y97" i="25"/>
  <c r="AB96" i="25"/>
  <c r="AA96" i="25"/>
  <c r="Y96" i="25"/>
  <c r="AB95" i="25"/>
  <c r="AA95" i="25"/>
  <c r="Y95" i="25"/>
  <c r="AB94" i="25"/>
  <c r="AA94" i="25"/>
  <c r="Y94" i="25"/>
  <c r="AB93" i="25"/>
  <c r="AA93" i="25"/>
  <c r="Y93" i="25"/>
  <c r="AB92" i="25"/>
  <c r="AA92" i="25"/>
  <c r="Y92" i="25"/>
  <c r="AB91" i="25"/>
  <c r="AA91" i="25"/>
  <c r="Y91" i="25"/>
  <c r="AB90" i="25"/>
  <c r="AA90" i="25"/>
  <c r="Y90" i="25"/>
  <c r="AB89" i="25"/>
  <c r="AA89" i="25"/>
  <c r="Y89" i="25"/>
  <c r="AB88" i="25"/>
  <c r="AA88" i="25"/>
  <c r="Y88" i="25"/>
  <c r="AB87" i="25"/>
  <c r="AA87" i="25"/>
  <c r="Y87" i="25"/>
  <c r="AB86" i="25"/>
  <c r="AA86" i="25"/>
  <c r="Y86" i="25"/>
  <c r="AB85" i="25"/>
  <c r="AA85" i="25"/>
  <c r="Y85" i="25"/>
  <c r="AB84" i="25"/>
  <c r="AA84" i="25"/>
  <c r="Y84" i="25"/>
  <c r="AB83" i="25"/>
  <c r="AA83" i="25"/>
  <c r="Y83" i="25"/>
  <c r="AB82" i="25"/>
  <c r="AA82" i="25"/>
  <c r="Y82" i="25"/>
  <c r="AB81" i="25"/>
  <c r="AA81" i="25"/>
  <c r="Y81" i="25"/>
  <c r="AB80" i="25"/>
  <c r="AA80" i="25"/>
  <c r="Y80" i="25"/>
  <c r="AB79" i="25"/>
  <c r="AA79" i="25"/>
  <c r="Y79" i="25"/>
  <c r="AB78" i="25"/>
  <c r="AA78" i="25"/>
  <c r="Y78" i="25"/>
  <c r="AB77" i="25"/>
  <c r="AA77" i="25"/>
  <c r="Y77" i="25"/>
  <c r="AB76" i="25"/>
  <c r="AA76" i="25"/>
  <c r="Y76" i="25"/>
  <c r="AB75" i="25"/>
  <c r="AA75" i="25"/>
  <c r="Y75" i="25"/>
  <c r="AB74" i="25"/>
  <c r="AA74" i="25"/>
  <c r="AB73" i="25"/>
  <c r="AA73" i="25"/>
  <c r="Y73" i="25"/>
  <c r="AB72" i="25"/>
  <c r="AA72" i="25"/>
  <c r="Y72" i="25"/>
  <c r="AB71" i="25"/>
  <c r="AA71" i="25"/>
  <c r="AB70" i="25"/>
  <c r="AA70" i="25"/>
  <c r="Y70" i="25"/>
  <c r="AB69" i="25"/>
  <c r="AA69" i="25"/>
  <c r="Y69" i="25"/>
  <c r="AB68" i="25"/>
  <c r="AA68" i="25"/>
  <c r="Y68" i="25"/>
  <c r="AB67" i="25"/>
  <c r="AA67" i="25"/>
  <c r="AB66" i="25"/>
  <c r="AA66" i="25"/>
  <c r="Y66" i="25"/>
  <c r="AB65" i="25"/>
  <c r="AA65" i="25"/>
  <c r="Y65" i="25"/>
  <c r="AB64" i="25"/>
  <c r="AA64" i="25"/>
  <c r="Y64" i="25"/>
  <c r="AB63" i="25"/>
  <c r="AA63" i="25"/>
  <c r="AB62" i="25"/>
  <c r="AA62" i="25"/>
  <c r="Y62" i="25"/>
  <c r="AB61" i="25"/>
  <c r="AA61" i="25"/>
  <c r="Y61" i="25"/>
  <c r="AB60" i="25"/>
  <c r="AA60" i="25"/>
  <c r="Y60" i="25"/>
  <c r="AB59" i="25"/>
  <c r="AA59" i="25"/>
  <c r="AB58" i="25"/>
  <c r="AA58" i="25"/>
  <c r="AB57" i="25"/>
  <c r="AA57" i="25"/>
  <c r="Y57" i="25"/>
  <c r="AB56" i="25"/>
  <c r="AA56" i="25"/>
  <c r="Y56" i="25"/>
  <c r="AB55" i="25"/>
  <c r="AA55" i="25"/>
  <c r="Y55" i="25"/>
  <c r="AB54" i="25"/>
  <c r="AA54" i="25"/>
  <c r="AB53" i="25"/>
  <c r="AA53" i="25"/>
  <c r="Y53" i="25"/>
  <c r="AB52" i="25"/>
  <c r="AA52" i="25"/>
  <c r="Y52" i="25"/>
  <c r="AB51" i="25"/>
  <c r="AA51" i="25"/>
  <c r="Y51" i="25"/>
  <c r="AB50" i="25"/>
  <c r="AA50" i="25"/>
  <c r="AB49" i="25"/>
  <c r="AA49" i="25"/>
  <c r="Y49" i="25"/>
  <c r="AB48" i="25"/>
  <c r="AA48" i="25"/>
  <c r="Y48" i="25"/>
  <c r="AB47" i="25"/>
  <c r="AA47" i="25"/>
  <c r="Y47" i="25"/>
  <c r="AB46" i="25"/>
  <c r="AA46" i="25"/>
  <c r="AB45" i="25"/>
  <c r="AA45" i="25"/>
  <c r="Y45" i="25"/>
  <c r="AB44" i="25"/>
  <c r="AA44" i="25"/>
  <c r="Y44" i="25"/>
  <c r="AB43" i="25"/>
  <c r="AA43" i="25"/>
  <c r="Y43" i="25"/>
  <c r="AB42" i="25"/>
  <c r="AA42" i="25"/>
  <c r="AB41" i="25"/>
  <c r="AA41" i="25"/>
  <c r="Y41" i="25"/>
  <c r="AB40" i="25"/>
  <c r="AA40" i="25"/>
  <c r="Y40" i="25"/>
  <c r="AB39" i="25"/>
  <c r="AA39" i="25"/>
  <c r="Y39" i="25"/>
  <c r="AB38" i="25"/>
  <c r="AA38" i="25"/>
  <c r="AB37" i="25"/>
  <c r="AA37" i="25"/>
  <c r="AB36" i="25"/>
  <c r="AA36" i="25"/>
  <c r="Y36" i="25"/>
  <c r="AB35" i="25"/>
  <c r="AA35" i="25"/>
  <c r="Y35" i="25"/>
  <c r="AB34" i="25"/>
  <c r="AA34" i="25"/>
  <c r="Y34" i="25"/>
  <c r="AB33" i="25"/>
  <c r="AA33" i="25"/>
  <c r="AB32" i="25"/>
  <c r="AA32" i="25"/>
  <c r="Y32" i="25"/>
  <c r="AB31" i="25"/>
  <c r="AA31" i="25"/>
  <c r="Y31" i="25"/>
  <c r="AB30" i="25"/>
  <c r="AA30" i="25"/>
  <c r="AB29" i="25"/>
  <c r="AA29" i="25"/>
  <c r="Y29" i="25"/>
  <c r="AB28" i="25"/>
  <c r="AA28" i="25"/>
  <c r="Y28" i="25"/>
  <c r="AB27" i="25"/>
  <c r="AA27" i="25"/>
  <c r="Y27" i="25"/>
  <c r="AB26" i="25"/>
  <c r="AA26" i="25"/>
  <c r="Y26" i="25"/>
  <c r="AB25" i="25"/>
  <c r="AA25" i="25"/>
  <c r="Y25" i="25"/>
  <c r="AB24" i="25"/>
  <c r="AA24" i="25"/>
  <c r="Y24" i="25"/>
  <c r="AB23" i="25"/>
  <c r="AA23" i="25"/>
  <c r="Y23" i="25"/>
  <c r="AB22" i="25"/>
  <c r="AA22" i="25"/>
  <c r="AB21" i="25"/>
  <c r="AA21" i="25"/>
  <c r="Y21" i="25"/>
  <c r="AB20" i="25"/>
  <c r="AA20" i="25"/>
  <c r="Y20" i="25"/>
  <c r="AB19" i="25"/>
  <c r="AA19" i="25"/>
  <c r="AB18" i="25"/>
  <c r="AA18" i="25"/>
  <c r="Y18" i="25"/>
  <c r="AB17" i="25"/>
  <c r="AA17" i="25"/>
  <c r="Y17" i="25"/>
  <c r="AB16" i="25"/>
  <c r="AA16" i="25"/>
  <c r="Y16" i="25"/>
  <c r="AB15" i="25"/>
  <c r="AA15" i="25"/>
  <c r="AB14" i="25"/>
  <c r="AA14" i="25"/>
  <c r="Y14" i="25"/>
  <c r="AB13" i="25"/>
  <c r="AA13" i="25"/>
  <c r="Y13" i="25"/>
  <c r="AB12" i="25"/>
  <c r="AA12" i="25"/>
  <c r="Y12" i="25"/>
  <c r="AB11" i="25"/>
  <c r="AA11" i="25"/>
  <c r="AB10" i="25"/>
  <c r="AA10" i="25"/>
  <c r="AB9" i="25"/>
  <c r="AA9" i="25"/>
  <c r="Y9" i="25"/>
  <c r="AB8" i="25"/>
  <c r="AA8" i="25"/>
  <c r="Y8" i="25"/>
  <c r="AB7" i="25"/>
  <c r="AA7" i="25"/>
  <c r="Y7" i="25"/>
  <c r="AB6" i="25"/>
  <c r="AA6" i="25"/>
  <c r="AB5" i="25"/>
  <c r="AA5" i="25"/>
  <c r="AB4" i="25"/>
  <c r="AA4" i="25"/>
  <c r="C4" i="25"/>
  <c r="AB3" i="25"/>
  <c r="AA3" i="25"/>
  <c r="AB2" i="25"/>
  <c r="AA2" i="25"/>
  <c r="P501" i="3"/>
  <c r="O501" i="3"/>
  <c r="N501" i="3"/>
  <c r="L501" i="3"/>
  <c r="K501" i="3" s="1"/>
  <c r="C501" i="3"/>
  <c r="M501" i="3" s="1"/>
  <c r="P500" i="3"/>
  <c r="O500" i="3"/>
  <c r="N500" i="3"/>
  <c r="M500" i="3"/>
  <c r="L500" i="3"/>
  <c r="K500" i="3" s="1"/>
  <c r="C500" i="3"/>
  <c r="P499" i="3"/>
  <c r="O499" i="3"/>
  <c r="N499" i="3"/>
  <c r="L499" i="3"/>
  <c r="K499" i="3" s="1"/>
  <c r="C499" i="3"/>
  <c r="M499" i="3" s="1"/>
  <c r="P498" i="3"/>
  <c r="O498" i="3"/>
  <c r="N498" i="3"/>
  <c r="L498" i="3"/>
  <c r="K498" i="3"/>
  <c r="C498" i="3"/>
  <c r="M498" i="3" s="1"/>
  <c r="P497" i="3"/>
  <c r="O497" i="3"/>
  <c r="N497" i="3"/>
  <c r="L497" i="3"/>
  <c r="K497" i="3" s="1"/>
  <c r="C497" i="3"/>
  <c r="M497" i="3" s="1"/>
  <c r="P496" i="3"/>
  <c r="O496" i="3"/>
  <c r="N496" i="3"/>
  <c r="L496" i="3"/>
  <c r="K496" i="3" s="1"/>
  <c r="C496" i="3"/>
  <c r="M496" i="3" s="1"/>
  <c r="P495" i="3"/>
  <c r="O495" i="3"/>
  <c r="N495" i="3"/>
  <c r="L495" i="3"/>
  <c r="K495" i="3" s="1"/>
  <c r="C495" i="3"/>
  <c r="M495" i="3" s="1"/>
  <c r="P494" i="3"/>
  <c r="O494" i="3"/>
  <c r="N494" i="3"/>
  <c r="L494" i="3"/>
  <c r="K494" i="3" s="1"/>
  <c r="C494" i="3"/>
  <c r="M494" i="3" s="1"/>
  <c r="P493" i="3"/>
  <c r="O493" i="3"/>
  <c r="N493" i="3"/>
  <c r="L493" i="3"/>
  <c r="K493" i="3" s="1"/>
  <c r="C493" i="3"/>
  <c r="M493" i="3" s="1"/>
  <c r="P492" i="3"/>
  <c r="O492" i="3"/>
  <c r="N492" i="3"/>
  <c r="M492" i="3"/>
  <c r="L492" i="3"/>
  <c r="K492" i="3" s="1"/>
  <c r="C492" i="3"/>
  <c r="P491" i="3"/>
  <c r="O491" i="3"/>
  <c r="N491" i="3"/>
  <c r="L491" i="3"/>
  <c r="K491" i="3" s="1"/>
  <c r="C491" i="3"/>
  <c r="M491" i="3" s="1"/>
  <c r="P490" i="3"/>
  <c r="O490" i="3"/>
  <c r="N490" i="3"/>
  <c r="L490" i="3"/>
  <c r="K490" i="3"/>
  <c r="C490" i="3"/>
  <c r="M490" i="3" s="1"/>
  <c r="P489" i="3"/>
  <c r="O489" i="3"/>
  <c r="N489" i="3"/>
  <c r="L489" i="3"/>
  <c r="K489" i="3" s="1"/>
  <c r="C489" i="3"/>
  <c r="M489" i="3" s="1"/>
  <c r="P488" i="3"/>
  <c r="O488" i="3"/>
  <c r="N488" i="3"/>
  <c r="L488" i="3"/>
  <c r="K488" i="3" s="1"/>
  <c r="C488" i="3"/>
  <c r="M488" i="3" s="1"/>
  <c r="P487" i="3"/>
  <c r="O487" i="3"/>
  <c r="N487" i="3"/>
  <c r="L487" i="3"/>
  <c r="K487" i="3" s="1"/>
  <c r="C487" i="3"/>
  <c r="M487" i="3" s="1"/>
  <c r="P486" i="3"/>
  <c r="O486" i="3"/>
  <c r="N486" i="3"/>
  <c r="L486" i="3"/>
  <c r="K486" i="3" s="1"/>
  <c r="C486" i="3"/>
  <c r="M486" i="3" s="1"/>
  <c r="P485" i="3"/>
  <c r="O485" i="3"/>
  <c r="N485" i="3"/>
  <c r="L485" i="3"/>
  <c r="K485" i="3" s="1"/>
  <c r="C485" i="3"/>
  <c r="M485" i="3" s="1"/>
  <c r="P484" i="3"/>
  <c r="O484" i="3"/>
  <c r="N484" i="3"/>
  <c r="M484" i="3"/>
  <c r="L484" i="3"/>
  <c r="K484" i="3" s="1"/>
  <c r="C484" i="3"/>
  <c r="P483" i="3"/>
  <c r="O483" i="3"/>
  <c r="N483" i="3"/>
  <c r="L483" i="3"/>
  <c r="K483" i="3" s="1"/>
  <c r="C483" i="3"/>
  <c r="M483" i="3" s="1"/>
  <c r="P482" i="3"/>
  <c r="O482" i="3"/>
  <c r="N482" i="3"/>
  <c r="L482" i="3"/>
  <c r="K482" i="3"/>
  <c r="C482" i="3"/>
  <c r="M482" i="3" s="1"/>
  <c r="P481" i="3"/>
  <c r="O481" i="3"/>
  <c r="N481" i="3"/>
  <c r="L481" i="3"/>
  <c r="K481" i="3" s="1"/>
  <c r="C481" i="3"/>
  <c r="M481" i="3" s="1"/>
  <c r="P480" i="3"/>
  <c r="O480" i="3"/>
  <c r="N480" i="3"/>
  <c r="L480" i="3"/>
  <c r="K480" i="3" s="1"/>
  <c r="C480" i="3"/>
  <c r="M480" i="3" s="1"/>
  <c r="P479" i="3"/>
  <c r="O479" i="3"/>
  <c r="N479" i="3"/>
  <c r="L479" i="3"/>
  <c r="K479" i="3" s="1"/>
  <c r="C479" i="3"/>
  <c r="M479" i="3" s="1"/>
  <c r="P478" i="3"/>
  <c r="O478" i="3"/>
  <c r="N478" i="3"/>
  <c r="L478" i="3"/>
  <c r="K478" i="3" s="1"/>
  <c r="C478" i="3"/>
  <c r="M478" i="3" s="1"/>
  <c r="P477" i="3"/>
  <c r="O477" i="3"/>
  <c r="N477" i="3"/>
  <c r="L477" i="3"/>
  <c r="K477" i="3" s="1"/>
  <c r="C477" i="3"/>
  <c r="M477" i="3" s="1"/>
  <c r="P476" i="3"/>
  <c r="O476" i="3"/>
  <c r="N476" i="3"/>
  <c r="M476" i="3"/>
  <c r="L476" i="3"/>
  <c r="K476" i="3" s="1"/>
  <c r="C476" i="3"/>
  <c r="P475" i="3"/>
  <c r="O475" i="3"/>
  <c r="N475" i="3"/>
  <c r="L475" i="3"/>
  <c r="K475" i="3" s="1"/>
  <c r="C475" i="3"/>
  <c r="M475" i="3" s="1"/>
  <c r="P474" i="3"/>
  <c r="O474" i="3"/>
  <c r="N474" i="3"/>
  <c r="L474" i="3"/>
  <c r="K474" i="3"/>
  <c r="C474" i="3"/>
  <c r="M474" i="3" s="1"/>
  <c r="P473" i="3"/>
  <c r="O473" i="3"/>
  <c r="N473" i="3"/>
  <c r="L473" i="3"/>
  <c r="K473" i="3" s="1"/>
  <c r="C473" i="3"/>
  <c r="M473" i="3" s="1"/>
  <c r="P472" i="3"/>
  <c r="O472" i="3"/>
  <c r="N472" i="3"/>
  <c r="L472" i="3"/>
  <c r="K472" i="3" s="1"/>
  <c r="C472" i="3"/>
  <c r="M472" i="3" s="1"/>
  <c r="P471" i="3"/>
  <c r="O471" i="3"/>
  <c r="N471" i="3"/>
  <c r="L471" i="3"/>
  <c r="K471" i="3" s="1"/>
  <c r="C471" i="3"/>
  <c r="M471" i="3" s="1"/>
  <c r="P470" i="3"/>
  <c r="O470" i="3"/>
  <c r="N470" i="3"/>
  <c r="L470" i="3"/>
  <c r="K470" i="3" s="1"/>
  <c r="C470" i="3"/>
  <c r="M470" i="3" s="1"/>
  <c r="P469" i="3"/>
  <c r="O469" i="3"/>
  <c r="N469" i="3"/>
  <c r="L469" i="3"/>
  <c r="K469" i="3" s="1"/>
  <c r="C469" i="3"/>
  <c r="M469" i="3" s="1"/>
  <c r="P468" i="3"/>
  <c r="O468" i="3"/>
  <c r="N468" i="3"/>
  <c r="M468" i="3"/>
  <c r="L468" i="3"/>
  <c r="K468" i="3" s="1"/>
  <c r="C468" i="3"/>
  <c r="P467" i="3"/>
  <c r="O467" i="3"/>
  <c r="N467" i="3"/>
  <c r="L467" i="3"/>
  <c r="K467" i="3" s="1"/>
  <c r="C467" i="3"/>
  <c r="M467" i="3" s="1"/>
  <c r="P466" i="3"/>
  <c r="O466" i="3"/>
  <c r="N466" i="3"/>
  <c r="L466" i="3"/>
  <c r="K466" i="3"/>
  <c r="C466" i="3"/>
  <c r="M466" i="3" s="1"/>
  <c r="P465" i="3"/>
  <c r="O465" i="3"/>
  <c r="N465" i="3"/>
  <c r="L465" i="3"/>
  <c r="K465" i="3" s="1"/>
  <c r="C465" i="3"/>
  <c r="M465" i="3" s="1"/>
  <c r="P464" i="3"/>
  <c r="O464" i="3"/>
  <c r="N464" i="3"/>
  <c r="L464" i="3"/>
  <c r="K464" i="3" s="1"/>
  <c r="C464" i="3"/>
  <c r="M464" i="3" s="1"/>
  <c r="P463" i="3"/>
  <c r="O463" i="3"/>
  <c r="N463" i="3"/>
  <c r="L463" i="3"/>
  <c r="K463" i="3" s="1"/>
  <c r="C463" i="3"/>
  <c r="M463" i="3" s="1"/>
  <c r="P462" i="3"/>
  <c r="O462" i="3"/>
  <c r="N462" i="3"/>
  <c r="L462" i="3"/>
  <c r="K462" i="3" s="1"/>
  <c r="C462" i="3"/>
  <c r="M462" i="3" s="1"/>
  <c r="P461" i="3"/>
  <c r="O461" i="3"/>
  <c r="N461" i="3"/>
  <c r="L461" i="3"/>
  <c r="K461" i="3" s="1"/>
  <c r="C461" i="3"/>
  <c r="M461" i="3" s="1"/>
  <c r="P460" i="3"/>
  <c r="O460" i="3"/>
  <c r="N460" i="3"/>
  <c r="M460" i="3"/>
  <c r="L460" i="3"/>
  <c r="K460" i="3" s="1"/>
  <c r="C460" i="3"/>
  <c r="P459" i="3"/>
  <c r="O459" i="3"/>
  <c r="N459" i="3"/>
  <c r="L459" i="3"/>
  <c r="K459" i="3" s="1"/>
  <c r="C459" i="3"/>
  <c r="M459" i="3" s="1"/>
  <c r="P458" i="3"/>
  <c r="O458" i="3"/>
  <c r="N458" i="3"/>
  <c r="L458" i="3"/>
  <c r="K458" i="3"/>
  <c r="C458" i="3"/>
  <c r="M458" i="3" s="1"/>
  <c r="P457" i="3"/>
  <c r="O457" i="3"/>
  <c r="N457" i="3"/>
  <c r="L457" i="3"/>
  <c r="K457" i="3" s="1"/>
  <c r="C457" i="3"/>
  <c r="M457" i="3" s="1"/>
  <c r="P456" i="3"/>
  <c r="O456" i="3"/>
  <c r="N456" i="3"/>
  <c r="L456" i="3"/>
  <c r="K456" i="3" s="1"/>
  <c r="C456" i="3"/>
  <c r="M456" i="3" s="1"/>
  <c r="P455" i="3"/>
  <c r="O455" i="3"/>
  <c r="N455" i="3"/>
  <c r="L455" i="3"/>
  <c r="K455" i="3" s="1"/>
  <c r="C455" i="3"/>
  <c r="M455" i="3" s="1"/>
  <c r="P454" i="3"/>
  <c r="O454" i="3"/>
  <c r="N454" i="3"/>
  <c r="L454" i="3"/>
  <c r="K454" i="3" s="1"/>
  <c r="C454" i="3"/>
  <c r="M454" i="3" s="1"/>
  <c r="P453" i="3"/>
  <c r="O453" i="3"/>
  <c r="N453" i="3"/>
  <c r="L453" i="3"/>
  <c r="K453" i="3" s="1"/>
  <c r="C453" i="3"/>
  <c r="M453" i="3" s="1"/>
  <c r="P452" i="3"/>
  <c r="O452" i="3"/>
  <c r="N452" i="3"/>
  <c r="M452" i="3"/>
  <c r="L452" i="3"/>
  <c r="K452" i="3" s="1"/>
  <c r="C452" i="3"/>
  <c r="P451" i="3"/>
  <c r="O451" i="3"/>
  <c r="N451" i="3"/>
  <c r="L451" i="3"/>
  <c r="K451" i="3" s="1"/>
  <c r="C451" i="3"/>
  <c r="M451" i="3" s="1"/>
  <c r="P450" i="3"/>
  <c r="O450" i="3"/>
  <c r="N450" i="3"/>
  <c r="L450" i="3"/>
  <c r="K450" i="3"/>
  <c r="C450" i="3"/>
  <c r="M450" i="3" s="1"/>
  <c r="P449" i="3"/>
  <c r="O449" i="3"/>
  <c r="N449" i="3"/>
  <c r="L449" i="3"/>
  <c r="K449" i="3" s="1"/>
  <c r="C449" i="3"/>
  <c r="M449" i="3" s="1"/>
  <c r="P448" i="3"/>
  <c r="O448" i="3"/>
  <c r="N448" i="3"/>
  <c r="L448" i="3"/>
  <c r="K448" i="3" s="1"/>
  <c r="C448" i="3"/>
  <c r="M448" i="3" s="1"/>
  <c r="P447" i="3"/>
  <c r="O447" i="3"/>
  <c r="N447" i="3"/>
  <c r="L447" i="3"/>
  <c r="K447" i="3" s="1"/>
  <c r="C447" i="3"/>
  <c r="M447" i="3" s="1"/>
  <c r="P446" i="3"/>
  <c r="O446" i="3"/>
  <c r="N446" i="3"/>
  <c r="L446" i="3"/>
  <c r="K446" i="3" s="1"/>
  <c r="C446" i="3"/>
  <c r="M446" i="3" s="1"/>
  <c r="P445" i="3"/>
  <c r="O445" i="3"/>
  <c r="N445" i="3"/>
  <c r="L445" i="3"/>
  <c r="K445" i="3" s="1"/>
  <c r="C445" i="3"/>
  <c r="M445" i="3" s="1"/>
  <c r="P444" i="3"/>
  <c r="O444" i="3"/>
  <c r="N444" i="3"/>
  <c r="M444" i="3"/>
  <c r="L444" i="3"/>
  <c r="K444" i="3" s="1"/>
  <c r="C444" i="3"/>
  <c r="P443" i="3"/>
  <c r="O443" i="3"/>
  <c r="N443" i="3"/>
  <c r="L443" i="3"/>
  <c r="K443" i="3" s="1"/>
  <c r="C443" i="3"/>
  <c r="M443" i="3" s="1"/>
  <c r="P442" i="3"/>
  <c r="O442" i="3"/>
  <c r="N442" i="3"/>
  <c r="L442" i="3"/>
  <c r="K442" i="3"/>
  <c r="C442" i="3"/>
  <c r="M442" i="3" s="1"/>
  <c r="P441" i="3"/>
  <c r="O441" i="3"/>
  <c r="N441" i="3"/>
  <c r="L441" i="3"/>
  <c r="K441" i="3" s="1"/>
  <c r="C441" i="3"/>
  <c r="M441" i="3" s="1"/>
  <c r="P440" i="3"/>
  <c r="O440" i="3"/>
  <c r="N440" i="3"/>
  <c r="L440" i="3"/>
  <c r="K440" i="3" s="1"/>
  <c r="C440" i="3"/>
  <c r="M440" i="3" s="1"/>
  <c r="P439" i="3"/>
  <c r="O439" i="3"/>
  <c r="N439" i="3"/>
  <c r="L439" i="3"/>
  <c r="K439" i="3" s="1"/>
  <c r="C439" i="3"/>
  <c r="M439" i="3" s="1"/>
  <c r="P438" i="3"/>
  <c r="O438" i="3"/>
  <c r="N438" i="3"/>
  <c r="L438" i="3"/>
  <c r="K438" i="3" s="1"/>
  <c r="C438" i="3"/>
  <c r="M438" i="3" s="1"/>
  <c r="P437" i="3"/>
  <c r="O437" i="3"/>
  <c r="N437" i="3"/>
  <c r="L437" i="3"/>
  <c r="K437" i="3" s="1"/>
  <c r="C437" i="3"/>
  <c r="M437" i="3" s="1"/>
  <c r="P436" i="3"/>
  <c r="O436" i="3"/>
  <c r="N436" i="3"/>
  <c r="M436" i="3"/>
  <c r="L436" i="3"/>
  <c r="K436" i="3" s="1"/>
  <c r="C436" i="3"/>
  <c r="P435" i="3"/>
  <c r="O435" i="3"/>
  <c r="N435" i="3"/>
  <c r="L435" i="3"/>
  <c r="K435" i="3" s="1"/>
  <c r="C435" i="3"/>
  <c r="M435" i="3" s="1"/>
  <c r="P434" i="3"/>
  <c r="O434" i="3"/>
  <c r="N434" i="3"/>
  <c r="L434" i="3"/>
  <c r="K434" i="3"/>
  <c r="C434" i="3"/>
  <c r="M434" i="3" s="1"/>
  <c r="P433" i="3"/>
  <c r="O433" i="3"/>
  <c r="N433" i="3"/>
  <c r="L433" i="3"/>
  <c r="K433" i="3" s="1"/>
  <c r="C433" i="3"/>
  <c r="M433" i="3" s="1"/>
  <c r="P432" i="3"/>
  <c r="O432" i="3"/>
  <c r="N432" i="3"/>
  <c r="L432" i="3"/>
  <c r="K432" i="3" s="1"/>
  <c r="C432" i="3"/>
  <c r="M432" i="3" s="1"/>
  <c r="P431" i="3"/>
  <c r="O431" i="3"/>
  <c r="N431" i="3"/>
  <c r="L431" i="3"/>
  <c r="K431" i="3" s="1"/>
  <c r="C431" i="3"/>
  <c r="M431" i="3" s="1"/>
  <c r="P430" i="3"/>
  <c r="O430" i="3"/>
  <c r="N430" i="3"/>
  <c r="L430" i="3"/>
  <c r="K430" i="3" s="1"/>
  <c r="C430" i="3"/>
  <c r="M430" i="3" s="1"/>
  <c r="P429" i="3"/>
  <c r="O429" i="3"/>
  <c r="N429" i="3"/>
  <c r="L429" i="3"/>
  <c r="K429" i="3" s="1"/>
  <c r="C429" i="3"/>
  <c r="M429" i="3" s="1"/>
  <c r="P428" i="3"/>
  <c r="O428" i="3"/>
  <c r="N428" i="3"/>
  <c r="M428" i="3"/>
  <c r="L428" i="3"/>
  <c r="K428" i="3" s="1"/>
  <c r="C428" i="3"/>
  <c r="P427" i="3"/>
  <c r="O427" i="3"/>
  <c r="N427" i="3"/>
  <c r="L427" i="3"/>
  <c r="K427" i="3" s="1"/>
  <c r="C427" i="3"/>
  <c r="M427" i="3" s="1"/>
  <c r="P426" i="3"/>
  <c r="O426" i="3"/>
  <c r="N426" i="3"/>
  <c r="L426" i="3"/>
  <c r="K426" i="3"/>
  <c r="C426" i="3"/>
  <c r="M426" i="3" s="1"/>
  <c r="P425" i="3"/>
  <c r="O425" i="3"/>
  <c r="N425" i="3"/>
  <c r="L425" i="3"/>
  <c r="K425" i="3" s="1"/>
  <c r="C425" i="3"/>
  <c r="M425" i="3" s="1"/>
  <c r="P424" i="3"/>
  <c r="O424" i="3"/>
  <c r="N424" i="3"/>
  <c r="L424" i="3"/>
  <c r="K424" i="3" s="1"/>
  <c r="C424" i="3"/>
  <c r="M424" i="3" s="1"/>
  <c r="P423" i="3"/>
  <c r="O423" i="3"/>
  <c r="N423" i="3"/>
  <c r="L423" i="3"/>
  <c r="K423" i="3" s="1"/>
  <c r="C423" i="3"/>
  <c r="M423" i="3" s="1"/>
  <c r="P422" i="3"/>
  <c r="O422" i="3"/>
  <c r="N422" i="3"/>
  <c r="L422" i="3"/>
  <c r="K422" i="3" s="1"/>
  <c r="C422" i="3"/>
  <c r="M422" i="3" s="1"/>
  <c r="P421" i="3"/>
  <c r="O421" i="3"/>
  <c r="N421" i="3"/>
  <c r="L421" i="3"/>
  <c r="K421" i="3" s="1"/>
  <c r="C421" i="3"/>
  <c r="M421" i="3" s="1"/>
  <c r="P420" i="3"/>
  <c r="O420" i="3"/>
  <c r="N420" i="3"/>
  <c r="M420" i="3"/>
  <c r="L420" i="3"/>
  <c r="K420" i="3" s="1"/>
  <c r="C420" i="3"/>
  <c r="P419" i="3"/>
  <c r="O419" i="3"/>
  <c r="N419" i="3"/>
  <c r="L419" i="3"/>
  <c r="K419" i="3" s="1"/>
  <c r="C419" i="3"/>
  <c r="M419" i="3" s="1"/>
  <c r="P418" i="3"/>
  <c r="O418" i="3"/>
  <c r="N418" i="3"/>
  <c r="L418" i="3"/>
  <c r="K418" i="3"/>
  <c r="C418" i="3"/>
  <c r="M418" i="3" s="1"/>
  <c r="P417" i="3"/>
  <c r="O417" i="3"/>
  <c r="N417" i="3"/>
  <c r="L417" i="3"/>
  <c r="K417" i="3" s="1"/>
  <c r="C417" i="3"/>
  <c r="M417" i="3" s="1"/>
  <c r="P416" i="3"/>
  <c r="O416" i="3"/>
  <c r="N416" i="3"/>
  <c r="L416" i="3"/>
  <c r="K416" i="3" s="1"/>
  <c r="C416" i="3"/>
  <c r="M416" i="3" s="1"/>
  <c r="P415" i="3"/>
  <c r="O415" i="3"/>
  <c r="N415" i="3"/>
  <c r="L415" i="3"/>
  <c r="K415" i="3" s="1"/>
  <c r="C415" i="3"/>
  <c r="M415" i="3" s="1"/>
  <c r="P414" i="3"/>
  <c r="O414" i="3"/>
  <c r="N414" i="3"/>
  <c r="L414" i="3"/>
  <c r="K414" i="3" s="1"/>
  <c r="C414" i="3"/>
  <c r="M414" i="3" s="1"/>
  <c r="P413" i="3"/>
  <c r="O413" i="3"/>
  <c r="N413" i="3"/>
  <c r="L413" i="3"/>
  <c r="K413" i="3" s="1"/>
  <c r="C413" i="3"/>
  <c r="M413" i="3" s="1"/>
  <c r="P412" i="3"/>
  <c r="O412" i="3"/>
  <c r="N412" i="3"/>
  <c r="M412" i="3"/>
  <c r="L412" i="3"/>
  <c r="K412" i="3" s="1"/>
  <c r="C412" i="3"/>
  <c r="P411" i="3"/>
  <c r="O411" i="3"/>
  <c r="N411" i="3"/>
  <c r="L411" i="3"/>
  <c r="K411" i="3" s="1"/>
  <c r="C411" i="3"/>
  <c r="M411" i="3" s="1"/>
  <c r="P410" i="3"/>
  <c r="O410" i="3"/>
  <c r="N410" i="3"/>
  <c r="L410" i="3"/>
  <c r="K410" i="3"/>
  <c r="C410" i="3"/>
  <c r="M410" i="3" s="1"/>
  <c r="P409" i="3"/>
  <c r="O409" i="3"/>
  <c r="N409" i="3"/>
  <c r="L409" i="3"/>
  <c r="K409" i="3" s="1"/>
  <c r="C409" i="3"/>
  <c r="M409" i="3" s="1"/>
  <c r="P408" i="3"/>
  <c r="O408" i="3"/>
  <c r="N408" i="3"/>
  <c r="L408" i="3"/>
  <c r="K408" i="3" s="1"/>
  <c r="C408" i="3"/>
  <c r="M408" i="3" s="1"/>
  <c r="P407" i="3"/>
  <c r="O407" i="3"/>
  <c r="N407" i="3"/>
  <c r="L407" i="3"/>
  <c r="K407" i="3" s="1"/>
  <c r="C407" i="3"/>
  <c r="M407" i="3" s="1"/>
  <c r="P406" i="3"/>
  <c r="O406" i="3"/>
  <c r="N406" i="3"/>
  <c r="L406" i="3"/>
  <c r="K406" i="3" s="1"/>
  <c r="C406" i="3"/>
  <c r="M406" i="3" s="1"/>
  <c r="P405" i="3"/>
  <c r="O405" i="3"/>
  <c r="N405" i="3"/>
  <c r="L405" i="3"/>
  <c r="K405" i="3" s="1"/>
  <c r="C405" i="3"/>
  <c r="M405" i="3" s="1"/>
  <c r="P404" i="3"/>
  <c r="O404" i="3"/>
  <c r="N404" i="3"/>
  <c r="M404" i="3"/>
  <c r="L404" i="3"/>
  <c r="K404" i="3" s="1"/>
  <c r="C404" i="3"/>
  <c r="P403" i="3"/>
  <c r="O403" i="3"/>
  <c r="N403" i="3"/>
  <c r="L403" i="3"/>
  <c r="K403" i="3" s="1"/>
  <c r="C403" i="3"/>
  <c r="M403" i="3" s="1"/>
  <c r="P402" i="3"/>
  <c r="O402" i="3"/>
  <c r="N402" i="3"/>
  <c r="L402" i="3"/>
  <c r="K402" i="3"/>
  <c r="C402" i="3"/>
  <c r="M402" i="3" s="1"/>
  <c r="P401" i="3"/>
  <c r="O401" i="3"/>
  <c r="N401" i="3"/>
  <c r="L401" i="3"/>
  <c r="K401" i="3" s="1"/>
  <c r="C401" i="3"/>
  <c r="M401" i="3" s="1"/>
  <c r="P400" i="3"/>
  <c r="O400" i="3"/>
  <c r="N400" i="3"/>
  <c r="L400" i="3"/>
  <c r="K400" i="3" s="1"/>
  <c r="C400" i="3"/>
  <c r="M400" i="3" s="1"/>
  <c r="P399" i="3"/>
  <c r="O399" i="3"/>
  <c r="N399" i="3"/>
  <c r="L399" i="3"/>
  <c r="K399" i="3" s="1"/>
  <c r="C399" i="3"/>
  <c r="M399" i="3" s="1"/>
  <c r="P398" i="3"/>
  <c r="O398" i="3"/>
  <c r="N398" i="3"/>
  <c r="L398" i="3"/>
  <c r="K398" i="3" s="1"/>
  <c r="C398" i="3"/>
  <c r="M398" i="3" s="1"/>
  <c r="P397" i="3"/>
  <c r="O397" i="3"/>
  <c r="N397" i="3"/>
  <c r="L397" i="3"/>
  <c r="K397" i="3" s="1"/>
  <c r="C397" i="3"/>
  <c r="M397" i="3" s="1"/>
  <c r="P396" i="3"/>
  <c r="O396" i="3"/>
  <c r="N396" i="3"/>
  <c r="M396" i="3"/>
  <c r="L396" i="3"/>
  <c r="K396" i="3" s="1"/>
  <c r="C396" i="3"/>
  <c r="P395" i="3"/>
  <c r="O395" i="3"/>
  <c r="N395" i="3"/>
  <c r="L395" i="3"/>
  <c r="K395" i="3" s="1"/>
  <c r="C395" i="3"/>
  <c r="M395" i="3" s="1"/>
  <c r="P394" i="3"/>
  <c r="O394" i="3"/>
  <c r="N394" i="3"/>
  <c r="L394" i="3"/>
  <c r="K394" i="3"/>
  <c r="C394" i="3"/>
  <c r="M394" i="3" s="1"/>
  <c r="P393" i="3"/>
  <c r="O393" i="3"/>
  <c r="N393" i="3"/>
  <c r="L393" i="3"/>
  <c r="K393" i="3" s="1"/>
  <c r="C393" i="3"/>
  <c r="M393" i="3" s="1"/>
  <c r="P392" i="3"/>
  <c r="O392" i="3"/>
  <c r="N392" i="3"/>
  <c r="L392" i="3"/>
  <c r="K392" i="3" s="1"/>
  <c r="C392" i="3"/>
  <c r="M392" i="3" s="1"/>
  <c r="P391" i="3"/>
  <c r="O391" i="3"/>
  <c r="N391" i="3"/>
  <c r="L391" i="3"/>
  <c r="K391" i="3" s="1"/>
  <c r="C391" i="3"/>
  <c r="M391" i="3" s="1"/>
  <c r="P390" i="3"/>
  <c r="O390" i="3"/>
  <c r="N390" i="3"/>
  <c r="L390" i="3"/>
  <c r="K390" i="3" s="1"/>
  <c r="C390" i="3"/>
  <c r="M390" i="3" s="1"/>
  <c r="P389" i="3"/>
  <c r="O389" i="3"/>
  <c r="N389" i="3"/>
  <c r="L389" i="3"/>
  <c r="K389" i="3" s="1"/>
  <c r="C389" i="3"/>
  <c r="M389" i="3" s="1"/>
  <c r="P388" i="3"/>
  <c r="O388" i="3"/>
  <c r="N388" i="3"/>
  <c r="M388" i="3"/>
  <c r="L388" i="3"/>
  <c r="K388" i="3" s="1"/>
  <c r="C388" i="3"/>
  <c r="P387" i="3"/>
  <c r="O387" i="3"/>
  <c r="N387" i="3"/>
  <c r="L387" i="3"/>
  <c r="K387" i="3" s="1"/>
  <c r="C387" i="3"/>
  <c r="M387" i="3" s="1"/>
  <c r="P386" i="3"/>
  <c r="O386" i="3"/>
  <c r="N386" i="3"/>
  <c r="L386" i="3"/>
  <c r="K386" i="3"/>
  <c r="C386" i="3"/>
  <c r="M386" i="3" s="1"/>
  <c r="P385" i="3"/>
  <c r="O385" i="3"/>
  <c r="N385" i="3"/>
  <c r="L385" i="3"/>
  <c r="K385" i="3" s="1"/>
  <c r="C385" i="3"/>
  <c r="M385" i="3" s="1"/>
  <c r="P384" i="3"/>
  <c r="O384" i="3"/>
  <c r="N384" i="3"/>
  <c r="L384" i="3"/>
  <c r="K384" i="3" s="1"/>
  <c r="C384" i="3"/>
  <c r="M384" i="3" s="1"/>
  <c r="P383" i="3"/>
  <c r="O383" i="3"/>
  <c r="N383" i="3"/>
  <c r="L383" i="3"/>
  <c r="K383" i="3" s="1"/>
  <c r="C383" i="3"/>
  <c r="M383" i="3" s="1"/>
  <c r="P382" i="3"/>
  <c r="O382" i="3"/>
  <c r="N382" i="3"/>
  <c r="L382" i="3"/>
  <c r="K382" i="3" s="1"/>
  <c r="C382" i="3"/>
  <c r="M382" i="3" s="1"/>
  <c r="P381" i="3"/>
  <c r="O381" i="3"/>
  <c r="N381" i="3"/>
  <c r="L381" i="3"/>
  <c r="K381" i="3" s="1"/>
  <c r="C381" i="3"/>
  <c r="M381" i="3" s="1"/>
  <c r="P380" i="3"/>
  <c r="O380" i="3"/>
  <c r="N380" i="3"/>
  <c r="M380" i="3"/>
  <c r="L380" i="3"/>
  <c r="K380" i="3" s="1"/>
  <c r="C380" i="3"/>
  <c r="P379" i="3"/>
  <c r="O379" i="3"/>
  <c r="N379" i="3"/>
  <c r="L379" i="3"/>
  <c r="K379" i="3" s="1"/>
  <c r="C379" i="3"/>
  <c r="M379" i="3" s="1"/>
  <c r="P378" i="3"/>
  <c r="O378" i="3"/>
  <c r="N378" i="3"/>
  <c r="L378" i="3"/>
  <c r="K378" i="3"/>
  <c r="C378" i="3"/>
  <c r="M378" i="3" s="1"/>
  <c r="P377" i="3"/>
  <c r="O377" i="3"/>
  <c r="N377" i="3"/>
  <c r="L377" i="3"/>
  <c r="K377" i="3" s="1"/>
  <c r="C377" i="3"/>
  <c r="M377" i="3" s="1"/>
  <c r="P376" i="3"/>
  <c r="O376" i="3"/>
  <c r="N376" i="3"/>
  <c r="L376" i="3"/>
  <c r="K376" i="3" s="1"/>
  <c r="C376" i="3"/>
  <c r="M376" i="3" s="1"/>
  <c r="P375" i="3"/>
  <c r="O375" i="3"/>
  <c r="N375" i="3"/>
  <c r="L375" i="3"/>
  <c r="K375" i="3" s="1"/>
  <c r="C375" i="3"/>
  <c r="M375" i="3" s="1"/>
  <c r="P374" i="3"/>
  <c r="O374" i="3"/>
  <c r="N374" i="3"/>
  <c r="L374" i="3"/>
  <c r="K374" i="3" s="1"/>
  <c r="C374" i="3"/>
  <c r="M374" i="3" s="1"/>
  <c r="P373" i="3"/>
  <c r="O373" i="3"/>
  <c r="N373" i="3"/>
  <c r="L373" i="3"/>
  <c r="K373" i="3" s="1"/>
  <c r="C373" i="3"/>
  <c r="M373" i="3" s="1"/>
  <c r="P372" i="3"/>
  <c r="O372" i="3"/>
  <c r="N372" i="3"/>
  <c r="M372" i="3"/>
  <c r="L372" i="3"/>
  <c r="K372" i="3" s="1"/>
  <c r="C372" i="3"/>
  <c r="P371" i="3"/>
  <c r="O371" i="3"/>
  <c r="N371" i="3"/>
  <c r="L371" i="3"/>
  <c r="K371" i="3" s="1"/>
  <c r="C371" i="3"/>
  <c r="M371" i="3" s="1"/>
  <c r="P370" i="3"/>
  <c r="O370" i="3"/>
  <c r="N370" i="3"/>
  <c r="L370" i="3"/>
  <c r="K370" i="3"/>
  <c r="C370" i="3"/>
  <c r="M370" i="3" s="1"/>
  <c r="P369" i="3"/>
  <c r="O369" i="3"/>
  <c r="N369" i="3"/>
  <c r="L369" i="3"/>
  <c r="K369" i="3" s="1"/>
  <c r="C369" i="3"/>
  <c r="M369" i="3" s="1"/>
  <c r="P368" i="3"/>
  <c r="O368" i="3"/>
  <c r="N368" i="3"/>
  <c r="L368" i="3"/>
  <c r="K368" i="3" s="1"/>
  <c r="C368" i="3"/>
  <c r="M368" i="3" s="1"/>
  <c r="P367" i="3"/>
  <c r="O367" i="3"/>
  <c r="N367" i="3"/>
  <c r="L367" i="3"/>
  <c r="K367" i="3" s="1"/>
  <c r="C367" i="3"/>
  <c r="M367" i="3" s="1"/>
  <c r="P366" i="3"/>
  <c r="O366" i="3"/>
  <c r="N366" i="3"/>
  <c r="L366" i="3"/>
  <c r="K366" i="3" s="1"/>
  <c r="C366" i="3"/>
  <c r="M366" i="3" s="1"/>
  <c r="P365" i="3"/>
  <c r="O365" i="3"/>
  <c r="N365" i="3"/>
  <c r="L365" i="3"/>
  <c r="K365" i="3" s="1"/>
  <c r="C365" i="3"/>
  <c r="M365" i="3" s="1"/>
  <c r="P364" i="3"/>
  <c r="O364" i="3"/>
  <c r="N364" i="3"/>
  <c r="M364" i="3"/>
  <c r="L364" i="3"/>
  <c r="K364" i="3" s="1"/>
  <c r="C364" i="3"/>
  <c r="P363" i="3"/>
  <c r="O363" i="3"/>
  <c r="N363" i="3"/>
  <c r="L363" i="3"/>
  <c r="K363" i="3" s="1"/>
  <c r="C363" i="3"/>
  <c r="M363" i="3" s="1"/>
  <c r="P362" i="3"/>
  <c r="O362" i="3"/>
  <c r="N362" i="3"/>
  <c r="L362" i="3"/>
  <c r="K362" i="3"/>
  <c r="C362" i="3"/>
  <c r="M362" i="3" s="1"/>
  <c r="P361" i="3"/>
  <c r="O361" i="3"/>
  <c r="N361" i="3"/>
  <c r="L361" i="3"/>
  <c r="K361" i="3" s="1"/>
  <c r="C361" i="3"/>
  <c r="M361" i="3" s="1"/>
  <c r="P360" i="3"/>
  <c r="O360" i="3"/>
  <c r="N360" i="3"/>
  <c r="L360" i="3"/>
  <c r="K360" i="3" s="1"/>
  <c r="C360" i="3"/>
  <c r="M360" i="3" s="1"/>
  <c r="P359" i="3"/>
  <c r="O359" i="3"/>
  <c r="N359" i="3"/>
  <c r="L359" i="3"/>
  <c r="K359" i="3" s="1"/>
  <c r="C359" i="3"/>
  <c r="M359" i="3" s="1"/>
  <c r="P358" i="3"/>
  <c r="O358" i="3"/>
  <c r="N358" i="3"/>
  <c r="L358" i="3"/>
  <c r="K358" i="3" s="1"/>
  <c r="C358" i="3"/>
  <c r="M358" i="3" s="1"/>
  <c r="P357" i="3"/>
  <c r="O357" i="3"/>
  <c r="N357" i="3"/>
  <c r="L357" i="3"/>
  <c r="K357" i="3" s="1"/>
  <c r="C357" i="3"/>
  <c r="M357" i="3" s="1"/>
  <c r="P356" i="3"/>
  <c r="O356" i="3"/>
  <c r="N356" i="3"/>
  <c r="M356" i="3"/>
  <c r="L356" i="3"/>
  <c r="K356" i="3" s="1"/>
  <c r="C356" i="3"/>
  <c r="P355" i="3"/>
  <c r="O355" i="3"/>
  <c r="N355" i="3"/>
  <c r="L355" i="3"/>
  <c r="K355" i="3" s="1"/>
  <c r="C355" i="3"/>
  <c r="M355" i="3" s="1"/>
  <c r="P354" i="3"/>
  <c r="O354" i="3"/>
  <c r="N354" i="3"/>
  <c r="L354" i="3"/>
  <c r="K354" i="3"/>
  <c r="C354" i="3"/>
  <c r="M354" i="3" s="1"/>
  <c r="P353" i="3"/>
  <c r="O353" i="3"/>
  <c r="N353" i="3"/>
  <c r="L353" i="3"/>
  <c r="K353" i="3" s="1"/>
  <c r="C353" i="3"/>
  <c r="M353" i="3" s="1"/>
  <c r="P352" i="3"/>
  <c r="O352" i="3"/>
  <c r="N352" i="3"/>
  <c r="L352" i="3"/>
  <c r="K352" i="3" s="1"/>
  <c r="C352" i="3"/>
  <c r="M352" i="3" s="1"/>
  <c r="P351" i="3"/>
  <c r="O351" i="3"/>
  <c r="N351" i="3"/>
  <c r="L351" i="3"/>
  <c r="K351" i="3" s="1"/>
  <c r="C351" i="3"/>
  <c r="M351" i="3" s="1"/>
  <c r="P350" i="3"/>
  <c r="O350" i="3"/>
  <c r="N350" i="3"/>
  <c r="L350" i="3"/>
  <c r="K350" i="3" s="1"/>
  <c r="C350" i="3"/>
  <c r="M350" i="3" s="1"/>
  <c r="P349" i="3"/>
  <c r="O349" i="3"/>
  <c r="N349" i="3"/>
  <c r="L349" i="3"/>
  <c r="K349" i="3" s="1"/>
  <c r="C349" i="3"/>
  <c r="M349" i="3" s="1"/>
  <c r="P348" i="3"/>
  <c r="O348" i="3"/>
  <c r="N348" i="3"/>
  <c r="M348" i="3"/>
  <c r="L348" i="3"/>
  <c r="K348" i="3" s="1"/>
  <c r="C348" i="3"/>
  <c r="P347" i="3"/>
  <c r="O347" i="3"/>
  <c r="N347" i="3"/>
  <c r="L347" i="3"/>
  <c r="K347" i="3" s="1"/>
  <c r="C347" i="3"/>
  <c r="M347" i="3" s="1"/>
  <c r="P346" i="3"/>
  <c r="O346" i="3"/>
  <c r="N346" i="3"/>
  <c r="L346" i="3"/>
  <c r="K346" i="3"/>
  <c r="C346" i="3"/>
  <c r="M346" i="3" s="1"/>
  <c r="P345" i="3"/>
  <c r="O345" i="3"/>
  <c r="N345" i="3"/>
  <c r="L345" i="3"/>
  <c r="K345" i="3" s="1"/>
  <c r="C345" i="3"/>
  <c r="M345" i="3" s="1"/>
  <c r="P344" i="3"/>
  <c r="O344" i="3"/>
  <c r="N344" i="3"/>
  <c r="L344" i="3"/>
  <c r="K344" i="3" s="1"/>
  <c r="C344" i="3"/>
  <c r="M344" i="3" s="1"/>
  <c r="P343" i="3"/>
  <c r="O343" i="3"/>
  <c r="N343" i="3"/>
  <c r="L343" i="3"/>
  <c r="K343" i="3" s="1"/>
  <c r="C343" i="3"/>
  <c r="M343" i="3" s="1"/>
  <c r="P342" i="3"/>
  <c r="O342" i="3"/>
  <c r="N342" i="3"/>
  <c r="L342" i="3"/>
  <c r="K342" i="3" s="1"/>
  <c r="C342" i="3"/>
  <c r="M342" i="3" s="1"/>
  <c r="P341" i="3"/>
  <c r="O341" i="3"/>
  <c r="N341" i="3"/>
  <c r="L341" i="3"/>
  <c r="K341" i="3" s="1"/>
  <c r="C341" i="3"/>
  <c r="M341" i="3" s="1"/>
  <c r="P340" i="3"/>
  <c r="O340" i="3"/>
  <c r="N340" i="3"/>
  <c r="M340" i="3"/>
  <c r="L340" i="3"/>
  <c r="K340" i="3" s="1"/>
  <c r="C340" i="3"/>
  <c r="P339" i="3"/>
  <c r="O339" i="3"/>
  <c r="N339" i="3"/>
  <c r="L339" i="3"/>
  <c r="K339" i="3" s="1"/>
  <c r="C339" i="3"/>
  <c r="M339" i="3" s="1"/>
  <c r="P338" i="3"/>
  <c r="O338" i="3"/>
  <c r="N338" i="3"/>
  <c r="L338" i="3"/>
  <c r="K338" i="3"/>
  <c r="C338" i="3"/>
  <c r="M338" i="3" s="1"/>
  <c r="P337" i="3"/>
  <c r="O337" i="3"/>
  <c r="N337" i="3"/>
  <c r="L337" i="3"/>
  <c r="K337" i="3" s="1"/>
  <c r="C337" i="3"/>
  <c r="M337" i="3" s="1"/>
  <c r="P336" i="3"/>
  <c r="O336" i="3"/>
  <c r="N336" i="3"/>
  <c r="L336" i="3"/>
  <c r="K336" i="3" s="1"/>
  <c r="C336" i="3"/>
  <c r="M336" i="3" s="1"/>
  <c r="P335" i="3"/>
  <c r="O335" i="3"/>
  <c r="N335" i="3"/>
  <c r="L335" i="3"/>
  <c r="K335" i="3" s="1"/>
  <c r="C335" i="3"/>
  <c r="M335" i="3" s="1"/>
  <c r="P334" i="3"/>
  <c r="O334" i="3"/>
  <c r="N334" i="3"/>
  <c r="L334" i="3"/>
  <c r="K334" i="3" s="1"/>
  <c r="C334" i="3"/>
  <c r="M334" i="3" s="1"/>
  <c r="P333" i="3"/>
  <c r="O333" i="3"/>
  <c r="N333" i="3"/>
  <c r="C333" i="3"/>
  <c r="M333" i="3" s="1"/>
  <c r="P332" i="3"/>
  <c r="O332" i="3"/>
  <c r="N332" i="3"/>
  <c r="M332" i="3"/>
  <c r="P331" i="3"/>
  <c r="O331" i="3"/>
  <c r="N331" i="3"/>
  <c r="M331" i="3"/>
  <c r="P330" i="3"/>
  <c r="O330" i="3"/>
  <c r="N330" i="3"/>
  <c r="M330" i="3"/>
  <c r="P329" i="3"/>
  <c r="O329" i="3"/>
  <c r="N329" i="3"/>
  <c r="M329" i="3"/>
  <c r="P328" i="3"/>
  <c r="O328" i="3"/>
  <c r="N328" i="3"/>
  <c r="M328" i="3"/>
  <c r="P327" i="3"/>
  <c r="O327" i="3"/>
  <c r="N327" i="3"/>
  <c r="M327" i="3"/>
  <c r="P326" i="3"/>
  <c r="O326" i="3"/>
  <c r="N326" i="3"/>
  <c r="M326" i="3"/>
  <c r="P325" i="3"/>
  <c r="O325" i="3"/>
  <c r="N325" i="3"/>
  <c r="M325" i="3"/>
  <c r="P324" i="3"/>
  <c r="O324" i="3"/>
  <c r="N324" i="3"/>
  <c r="M324" i="3"/>
  <c r="P323" i="3"/>
  <c r="O323" i="3"/>
  <c r="N323" i="3"/>
  <c r="M323" i="3"/>
  <c r="P322" i="3"/>
  <c r="O322" i="3"/>
  <c r="N322" i="3"/>
  <c r="M322" i="3"/>
  <c r="P321" i="3"/>
  <c r="O321" i="3"/>
  <c r="N321" i="3"/>
  <c r="M321" i="3"/>
  <c r="P320" i="3"/>
  <c r="O320" i="3"/>
  <c r="N320" i="3"/>
  <c r="M320" i="3"/>
  <c r="P319" i="3"/>
  <c r="O319" i="3"/>
  <c r="N319" i="3"/>
  <c r="M319" i="3"/>
  <c r="P318" i="3"/>
  <c r="O318" i="3"/>
  <c r="N318" i="3"/>
  <c r="M318" i="3"/>
  <c r="P317" i="3"/>
  <c r="O317" i="3"/>
  <c r="N317" i="3"/>
  <c r="M317" i="3"/>
  <c r="P316" i="3"/>
  <c r="O316" i="3"/>
  <c r="N316" i="3"/>
  <c r="M316" i="3"/>
  <c r="P315" i="3"/>
  <c r="O315" i="3"/>
  <c r="N315" i="3"/>
  <c r="M315" i="3"/>
  <c r="P314" i="3"/>
  <c r="O314" i="3"/>
  <c r="N314" i="3"/>
  <c r="M314" i="3"/>
  <c r="P313" i="3"/>
  <c r="O313" i="3"/>
  <c r="N313" i="3"/>
  <c r="M313" i="3"/>
  <c r="P312" i="3"/>
  <c r="O312" i="3"/>
  <c r="N312" i="3"/>
  <c r="M312" i="3"/>
  <c r="P311" i="3"/>
  <c r="O311" i="3"/>
  <c r="N311" i="3"/>
  <c r="M311" i="3"/>
  <c r="P310" i="3"/>
  <c r="O310" i="3"/>
  <c r="N310" i="3"/>
  <c r="M310" i="3"/>
  <c r="P309" i="3"/>
  <c r="O309" i="3"/>
  <c r="N309" i="3"/>
  <c r="M309" i="3"/>
  <c r="P308" i="3"/>
  <c r="O308" i="3"/>
  <c r="N308" i="3"/>
  <c r="M308" i="3"/>
  <c r="P307" i="3"/>
  <c r="O307" i="3"/>
  <c r="N307" i="3"/>
  <c r="M307" i="3"/>
  <c r="P306" i="3"/>
  <c r="O306" i="3"/>
  <c r="N306" i="3"/>
  <c r="M306" i="3"/>
  <c r="P305" i="3"/>
  <c r="O305" i="3"/>
  <c r="N305" i="3"/>
  <c r="M305" i="3"/>
  <c r="P304" i="3"/>
  <c r="O304" i="3"/>
  <c r="N304" i="3"/>
  <c r="M304" i="3"/>
  <c r="P303" i="3"/>
  <c r="O303" i="3"/>
  <c r="N303" i="3"/>
  <c r="M303" i="3"/>
  <c r="P302" i="3"/>
  <c r="O302" i="3"/>
  <c r="N302" i="3"/>
  <c r="M302" i="3"/>
  <c r="P301" i="3"/>
  <c r="O301" i="3"/>
  <c r="N301" i="3"/>
  <c r="M301" i="3"/>
  <c r="P300" i="3"/>
  <c r="O300" i="3"/>
  <c r="N300" i="3"/>
  <c r="M300" i="3"/>
  <c r="P299" i="3"/>
  <c r="O299" i="3"/>
  <c r="N299" i="3"/>
  <c r="M299" i="3"/>
  <c r="P298" i="3"/>
  <c r="O298" i="3"/>
  <c r="N298" i="3"/>
  <c r="M298" i="3"/>
  <c r="P297" i="3"/>
  <c r="O297" i="3"/>
  <c r="N297" i="3"/>
  <c r="M297" i="3"/>
  <c r="P296" i="3"/>
  <c r="O296" i="3"/>
  <c r="N296" i="3"/>
  <c r="M296" i="3"/>
  <c r="P295" i="3"/>
  <c r="O295" i="3"/>
  <c r="N295" i="3"/>
  <c r="M295" i="3"/>
  <c r="P294" i="3"/>
  <c r="O294" i="3"/>
  <c r="N294" i="3"/>
  <c r="M294" i="3"/>
  <c r="P293" i="3"/>
  <c r="O293" i="3"/>
  <c r="N293" i="3"/>
  <c r="M293" i="3"/>
  <c r="P292" i="3"/>
  <c r="O292" i="3"/>
  <c r="N292" i="3"/>
  <c r="M292" i="3"/>
  <c r="P291" i="3"/>
  <c r="O291" i="3"/>
  <c r="N291" i="3"/>
  <c r="M291" i="3"/>
  <c r="P290" i="3"/>
  <c r="O290" i="3"/>
  <c r="N290" i="3"/>
  <c r="M290" i="3"/>
  <c r="P289" i="3"/>
  <c r="O289" i="3"/>
  <c r="N289" i="3"/>
  <c r="M289" i="3"/>
  <c r="P288" i="3"/>
  <c r="O288" i="3"/>
  <c r="N288" i="3"/>
  <c r="M288" i="3"/>
  <c r="P287" i="3"/>
  <c r="O287" i="3"/>
  <c r="N287" i="3"/>
  <c r="M287" i="3"/>
  <c r="P286" i="3"/>
  <c r="O286" i="3"/>
  <c r="N286" i="3"/>
  <c r="M286" i="3"/>
  <c r="P285" i="3"/>
  <c r="O285" i="3"/>
  <c r="N285" i="3"/>
  <c r="M285" i="3"/>
  <c r="P284" i="3"/>
  <c r="O284" i="3"/>
  <c r="N284" i="3"/>
  <c r="M284" i="3"/>
  <c r="P283" i="3"/>
  <c r="O283" i="3"/>
  <c r="N283" i="3"/>
  <c r="M283" i="3"/>
  <c r="P282" i="3"/>
  <c r="O282" i="3"/>
  <c r="N282" i="3"/>
  <c r="M282" i="3"/>
  <c r="P281" i="3"/>
  <c r="O281" i="3"/>
  <c r="N281" i="3"/>
  <c r="M281" i="3"/>
  <c r="P280" i="3"/>
  <c r="O280" i="3"/>
  <c r="N280" i="3"/>
  <c r="M280" i="3"/>
  <c r="P279" i="3"/>
  <c r="O279" i="3"/>
  <c r="N279" i="3"/>
  <c r="M279" i="3"/>
  <c r="P278" i="3"/>
  <c r="O278" i="3"/>
  <c r="N278" i="3"/>
  <c r="M278" i="3"/>
  <c r="P277" i="3"/>
  <c r="O277" i="3"/>
  <c r="N277" i="3"/>
  <c r="M277" i="3"/>
  <c r="P276" i="3"/>
  <c r="O276" i="3"/>
  <c r="N276" i="3"/>
  <c r="M276" i="3"/>
  <c r="P275" i="3"/>
  <c r="O275" i="3"/>
  <c r="N275" i="3"/>
  <c r="M275" i="3"/>
  <c r="P274" i="3"/>
  <c r="O274" i="3"/>
  <c r="N274" i="3"/>
  <c r="M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O258" i="3"/>
  <c r="N258" i="3"/>
  <c r="M258" i="3"/>
  <c r="P257" i="3"/>
  <c r="O257" i="3"/>
  <c r="N257" i="3"/>
  <c r="M257" i="3"/>
  <c r="P256" i="3"/>
  <c r="O256" i="3"/>
  <c r="N256" i="3"/>
  <c r="M256" i="3"/>
  <c r="P255" i="3"/>
  <c r="O255" i="3"/>
  <c r="N255" i="3"/>
  <c r="M255" i="3"/>
  <c r="P254" i="3"/>
  <c r="O254" i="3"/>
  <c r="N254" i="3"/>
  <c r="M254" i="3"/>
  <c r="P253" i="3"/>
  <c r="O253" i="3"/>
  <c r="N253" i="3"/>
  <c r="M253" i="3"/>
  <c r="P252" i="3"/>
  <c r="O252" i="3"/>
  <c r="N252" i="3"/>
  <c r="M252" i="3"/>
  <c r="P251" i="3"/>
  <c r="O251" i="3"/>
  <c r="N251" i="3"/>
  <c r="M251" i="3"/>
  <c r="P250" i="3"/>
  <c r="O250" i="3"/>
  <c r="N250" i="3"/>
  <c r="M250" i="3"/>
  <c r="P249" i="3"/>
  <c r="O249" i="3"/>
  <c r="N249" i="3"/>
  <c r="M249" i="3"/>
  <c r="P248" i="3"/>
  <c r="O248" i="3"/>
  <c r="N248" i="3"/>
  <c r="M248" i="3"/>
  <c r="P247" i="3"/>
  <c r="O247" i="3"/>
  <c r="N247" i="3"/>
  <c r="M247" i="3"/>
  <c r="P246" i="3"/>
  <c r="O246" i="3"/>
  <c r="N246" i="3"/>
  <c r="M246" i="3"/>
  <c r="P245" i="3"/>
  <c r="O245" i="3"/>
  <c r="N245" i="3"/>
  <c r="M245" i="3"/>
  <c r="P244" i="3"/>
  <c r="O244" i="3"/>
  <c r="N244" i="3"/>
  <c r="M244" i="3"/>
  <c r="P243" i="3"/>
  <c r="O243" i="3"/>
  <c r="N243" i="3"/>
  <c r="M243" i="3"/>
  <c r="P242" i="3"/>
  <c r="O242" i="3"/>
  <c r="N242" i="3"/>
  <c r="M242" i="3"/>
  <c r="P241" i="3"/>
  <c r="O241" i="3"/>
  <c r="N241" i="3"/>
  <c r="M241" i="3"/>
  <c r="P240" i="3"/>
  <c r="O240" i="3"/>
  <c r="N240" i="3"/>
  <c r="M240" i="3"/>
  <c r="C5" i="14"/>
  <c r="AD16" i="32" l="1"/>
  <c r="B16" i="25"/>
  <c r="AD10" i="32"/>
  <c r="H10" i="25"/>
  <c r="AD30" i="32"/>
  <c r="B30" i="25"/>
  <c r="AD41" i="32"/>
  <c r="H41" i="25"/>
  <c r="B41" i="25"/>
  <c r="AD52" i="32"/>
  <c r="H52" i="25"/>
  <c r="AQ64" i="25"/>
  <c r="AC64" i="32"/>
  <c r="AD72" i="32"/>
  <c r="H72" i="25"/>
  <c r="B72" i="25"/>
  <c r="AD91" i="32"/>
  <c r="AD98" i="32"/>
  <c r="B98" i="25"/>
  <c r="AD99" i="32"/>
  <c r="H99" i="25"/>
  <c r="Y305" i="25"/>
  <c r="Y301" i="25"/>
  <c r="Y297" i="25"/>
  <c r="Y293" i="25"/>
  <c r="Y289" i="25"/>
  <c r="Y285" i="25"/>
  <c r="Y281" i="25"/>
  <c r="Y277" i="25"/>
  <c r="Y273" i="25"/>
  <c r="Y269" i="25"/>
  <c r="Y265" i="25"/>
  <c r="Y261" i="25"/>
  <c r="Y257" i="25"/>
  <c r="Y253" i="25"/>
  <c r="F4" i="4"/>
  <c r="D4" i="4"/>
  <c r="D3" i="4"/>
  <c r="F3" i="4"/>
  <c r="AQ58" i="25"/>
  <c r="AD8" i="32"/>
  <c r="H4" i="25"/>
  <c r="B4" i="25"/>
  <c r="AD40" i="32"/>
  <c r="H40" i="25"/>
  <c r="AD45" i="32"/>
  <c r="B45" i="25"/>
  <c r="AC56" i="32"/>
  <c r="AQ56" i="25"/>
  <c r="AD58" i="32"/>
  <c r="H58" i="25"/>
  <c r="B58" i="25"/>
  <c r="AD97" i="32"/>
  <c r="H97" i="25"/>
  <c r="H30" i="25"/>
  <c r="AQ22" i="25"/>
  <c r="AQ3" i="25"/>
  <c r="AD20" i="32"/>
  <c r="AC19" i="32"/>
  <c r="AQ19" i="25"/>
  <c r="AD9" i="32"/>
  <c r="AD24" i="32"/>
  <c r="AC31" i="32"/>
  <c r="AQ31" i="25"/>
  <c r="AC32" i="32"/>
  <c r="AQ32" i="25"/>
  <c r="AD44" i="32"/>
  <c r="H44" i="25"/>
  <c r="AD48" i="32"/>
  <c r="H48" i="25"/>
  <c r="AD49" i="32"/>
  <c r="B49" i="25"/>
  <c r="AC55" i="32"/>
  <c r="AQ55" i="25"/>
  <c r="AD56" i="32"/>
  <c r="H56" i="25"/>
  <c r="B56" i="25"/>
  <c r="AD62" i="32"/>
  <c r="H62" i="25"/>
  <c r="B62" i="25"/>
  <c r="AD68" i="32"/>
  <c r="H68" i="25"/>
  <c r="B68" i="25"/>
  <c r="AD94" i="32"/>
  <c r="B94" i="25"/>
  <c r="AD95" i="32"/>
  <c r="H95" i="25"/>
  <c r="AD96" i="32"/>
  <c r="B96" i="25"/>
  <c r="Y303" i="25"/>
  <c r="Y299" i="25"/>
  <c r="Y295" i="25"/>
  <c r="Y291" i="25"/>
  <c r="Y287" i="25"/>
  <c r="Y283" i="25"/>
  <c r="Y279" i="25"/>
  <c r="Y275" i="25"/>
  <c r="Y271" i="25"/>
  <c r="Y267" i="25"/>
  <c r="Y263" i="25"/>
  <c r="Y259" i="25"/>
  <c r="Y255" i="25"/>
  <c r="Y251" i="25"/>
  <c r="Y247" i="25"/>
  <c r="Y243" i="25"/>
  <c r="Y11" i="25"/>
  <c r="AC23" i="32"/>
  <c r="AD18" i="32"/>
  <c r="B18" i="25"/>
  <c r="AD12" i="32"/>
  <c r="AD27" i="32"/>
  <c r="H27" i="25"/>
  <c r="B27" i="25"/>
  <c r="AD28" i="32"/>
  <c r="AD31" i="32"/>
  <c r="H31" i="25"/>
  <c r="AC35" i="32"/>
  <c r="AQ35" i="25"/>
  <c r="AC36" i="32"/>
  <c r="AQ36" i="25"/>
  <c r="AD53" i="32"/>
  <c r="B53" i="25"/>
  <c r="AC59" i="32"/>
  <c r="AQ59" i="25"/>
  <c r="AC60" i="32"/>
  <c r="AD66" i="32"/>
  <c r="H66" i="25"/>
  <c r="B66" i="25"/>
  <c r="AD92" i="32"/>
  <c r="B92" i="25"/>
  <c r="AD93" i="32"/>
  <c r="H93" i="25"/>
  <c r="Z306" i="32"/>
  <c r="Z305" i="32"/>
  <c r="AD301" i="25"/>
  <c r="AA301" i="32" s="1"/>
  <c r="Z299" i="32"/>
  <c r="AD294" i="25"/>
  <c r="AA294" i="32" s="1"/>
  <c r="Z293" i="32"/>
  <c r="AD288" i="25"/>
  <c r="AD236" i="25"/>
  <c r="AA236" i="32" s="1"/>
  <c r="AD302" i="25"/>
  <c r="AA302" i="32" s="1"/>
  <c r="Z301" i="32"/>
  <c r="AD296" i="25"/>
  <c r="AA296" i="32" s="1"/>
  <c r="Z251" i="32"/>
  <c r="Z247" i="32"/>
  <c r="AD243" i="25"/>
  <c r="AA243" i="32" s="1"/>
  <c r="Y74" i="25"/>
  <c r="Y99" i="25"/>
  <c r="H121" i="25"/>
  <c r="H119" i="25"/>
  <c r="H117" i="25"/>
  <c r="H115" i="25"/>
  <c r="H113" i="25"/>
  <c r="H111" i="25"/>
  <c r="H109" i="25"/>
  <c r="H107" i="25"/>
  <c r="H105" i="25"/>
  <c r="H103" i="25"/>
  <c r="H101" i="25"/>
  <c r="H89" i="25"/>
  <c r="H87" i="25"/>
  <c r="H85" i="25"/>
  <c r="H83" i="25"/>
  <c r="H81" i="25"/>
  <c r="H79" i="25"/>
  <c r="A2" i="25"/>
  <c r="AQ100" i="25"/>
  <c r="AQ96" i="25"/>
  <c r="AQ92" i="25"/>
  <c r="AQ72" i="25"/>
  <c r="AQ68" i="25"/>
  <c r="AQ2" i="25"/>
  <c r="Z290" i="32"/>
  <c r="AD287" i="25"/>
  <c r="AA287" i="32" s="1"/>
  <c r="Z286" i="32"/>
  <c r="Y249" i="25"/>
  <c r="Y245" i="25"/>
  <c r="Y59" i="25"/>
  <c r="Y109" i="25"/>
  <c r="B112" i="25"/>
  <c r="B110" i="25"/>
  <c r="B108" i="25"/>
  <c r="B106" i="25"/>
  <c r="B104" i="25"/>
  <c r="B102" i="25"/>
  <c r="B100" i="25"/>
  <c r="B78" i="25"/>
  <c r="B76" i="25"/>
  <c r="B74" i="25"/>
  <c r="AQ67" i="25"/>
  <c r="AQ63" i="25"/>
  <c r="Z291" i="32"/>
  <c r="AD232" i="25"/>
  <c r="AA232" i="32" s="1"/>
  <c r="AD228" i="25"/>
  <c r="AA228" i="32" s="1"/>
  <c r="AD224" i="25"/>
  <c r="AA224" i="32" s="1"/>
  <c r="AD220" i="25"/>
  <c r="AA220" i="32" s="1"/>
  <c r="AD216" i="25"/>
  <c r="AA216" i="32" s="1"/>
  <c r="AD212" i="25"/>
  <c r="AA212" i="32" s="1"/>
  <c r="AD208" i="25"/>
  <c r="AA208" i="32" s="1"/>
  <c r="AD204" i="25"/>
  <c r="AA204" i="32" s="1"/>
  <c r="AD200" i="25"/>
  <c r="AA200" i="32" s="1"/>
  <c r="AD196" i="25"/>
  <c r="AA196" i="32" s="1"/>
  <c r="AD192" i="25"/>
  <c r="AA192" i="32" s="1"/>
  <c r="Z172" i="32"/>
  <c r="Z164" i="32"/>
  <c r="Z156" i="32"/>
  <c r="Z140" i="32"/>
  <c r="Z57" i="32"/>
  <c r="M273" i="3"/>
  <c r="I28" i="25"/>
  <c r="AE28" i="32" s="1"/>
  <c r="Z28" i="32" s="1"/>
  <c r="M233" i="3"/>
  <c r="I63" i="25"/>
  <c r="M168" i="3"/>
  <c r="I51" i="25"/>
  <c r="M69" i="3"/>
  <c r="I2" i="25"/>
  <c r="AE2" i="32" s="1"/>
  <c r="M29" i="3"/>
  <c r="I9" i="25"/>
  <c r="AE9" i="32" s="1"/>
  <c r="M15" i="3"/>
  <c r="I96" i="25"/>
  <c r="Z166" i="32"/>
  <c r="Z158" i="32"/>
  <c r="AD96" i="25"/>
  <c r="AA96" i="32" s="1"/>
  <c r="AD88" i="25"/>
  <c r="AA88" i="32" s="1"/>
  <c r="Z48" i="32"/>
  <c r="Z40" i="32"/>
  <c r="M148" i="3"/>
  <c r="I77" i="25"/>
  <c r="AE77" i="32" s="1"/>
  <c r="M112" i="3"/>
  <c r="I91" i="25"/>
  <c r="AE91" i="32" s="1"/>
  <c r="Z138" i="32"/>
  <c r="AD306" i="25"/>
  <c r="AA306" i="32" s="1"/>
  <c r="Z304" i="32"/>
  <c r="Z303" i="32"/>
  <c r="AD298" i="25"/>
  <c r="AA298" i="32" s="1"/>
  <c r="Z296" i="32"/>
  <c r="Z295" i="32"/>
  <c r="AD290" i="25"/>
  <c r="AA290" i="32" s="1"/>
  <c r="Z287" i="32"/>
  <c r="AD283" i="25"/>
  <c r="AD281" i="25"/>
  <c r="AD279" i="25"/>
  <c r="AD277" i="25"/>
  <c r="AD275" i="25"/>
  <c r="AD273" i="25"/>
  <c r="AD271" i="25"/>
  <c r="AD269" i="25"/>
  <c r="AD267" i="25"/>
  <c r="AD265" i="25"/>
  <c r="AD263" i="25"/>
  <c r="AD261" i="25"/>
  <c r="AA261" i="32" s="1"/>
  <c r="Z259" i="32"/>
  <c r="AD252" i="25"/>
  <c r="AA252" i="32" s="1"/>
  <c r="AD250" i="25"/>
  <c r="AA250" i="32" s="1"/>
  <c r="AD241" i="25"/>
  <c r="AA241" i="32" s="1"/>
  <c r="AD237" i="25"/>
  <c r="AA237" i="32" s="1"/>
  <c r="I236" i="25"/>
  <c r="AD233" i="25"/>
  <c r="AA233" i="32" s="1"/>
  <c r="AD229" i="25"/>
  <c r="AA229" i="32" s="1"/>
  <c r="AD225" i="25"/>
  <c r="AA225" i="32" s="1"/>
  <c r="AD221" i="25"/>
  <c r="AA221" i="32" s="1"/>
  <c r="AD217" i="25"/>
  <c r="AA217" i="32" s="1"/>
  <c r="AD213" i="25"/>
  <c r="AA213" i="32" s="1"/>
  <c r="AD209" i="25"/>
  <c r="AA209" i="32" s="1"/>
  <c r="AD205" i="25"/>
  <c r="AA205" i="32" s="1"/>
  <c r="AD201" i="25"/>
  <c r="AA201" i="32" s="1"/>
  <c r="AD197" i="25"/>
  <c r="AA197" i="32" s="1"/>
  <c r="AD193" i="25"/>
  <c r="AA193" i="32" s="1"/>
  <c r="AD189" i="25"/>
  <c r="AA189" i="32" s="1"/>
  <c r="Z188" i="32"/>
  <c r="AD185" i="25"/>
  <c r="AA185" i="32" s="1"/>
  <c r="I184" i="25"/>
  <c r="AD181" i="25"/>
  <c r="AA181" i="32" s="1"/>
  <c r="AD177" i="25"/>
  <c r="AA177" i="32" s="1"/>
  <c r="AD171" i="25"/>
  <c r="AA171" i="32" s="1"/>
  <c r="Z169" i="32"/>
  <c r="Z168" i="32"/>
  <c r="AD163" i="25"/>
  <c r="AA163" i="32" s="1"/>
  <c r="Z161" i="32"/>
  <c r="Z160" i="32"/>
  <c r="Z148" i="32"/>
  <c r="AD144" i="25"/>
  <c r="AA144" i="32" s="1"/>
  <c r="Z134" i="32"/>
  <c r="AD129" i="25"/>
  <c r="AA129" i="32" s="1"/>
  <c r="Z118" i="32"/>
  <c r="AD113" i="25"/>
  <c r="AA113" i="32" s="1"/>
  <c r="Z102" i="32"/>
  <c r="AD97" i="25"/>
  <c r="AA97" i="32" s="1"/>
  <c r="Z92" i="32"/>
  <c r="AD89" i="25"/>
  <c r="AA89" i="32" s="1"/>
  <c r="Z76" i="32"/>
  <c r="M166" i="3"/>
  <c r="Z56" i="32"/>
  <c r="I5" i="25"/>
  <c r="M120" i="3"/>
  <c r="M115" i="3"/>
  <c r="I75" i="25"/>
  <c r="AE75" i="32" s="1"/>
  <c r="Z75" i="32" s="1"/>
  <c r="Z289" i="32"/>
  <c r="AD285" i="25"/>
  <c r="AA285" i="32" s="1"/>
  <c r="Z284" i="32"/>
  <c r="Z282" i="32"/>
  <c r="Z280" i="32"/>
  <c r="Z278" i="32"/>
  <c r="Z276" i="32"/>
  <c r="Z274" i="32"/>
  <c r="Z272" i="32"/>
  <c r="Z270" i="32"/>
  <c r="Z268" i="32"/>
  <c r="Z266" i="32"/>
  <c r="Z264" i="32"/>
  <c r="Z262" i="32"/>
  <c r="Z255" i="32"/>
  <c r="AD248" i="25"/>
  <c r="AA248" i="32" s="1"/>
  <c r="Z244" i="32"/>
  <c r="Z237" i="32"/>
  <c r="Z233" i="32"/>
  <c r="Z229" i="32"/>
  <c r="Z225" i="32"/>
  <c r="Z221" i="32"/>
  <c r="Z217" i="32"/>
  <c r="Z213" i="32"/>
  <c r="Z209" i="32"/>
  <c r="Z205" i="32"/>
  <c r="Z201" i="32"/>
  <c r="Z197" i="32"/>
  <c r="Z193" i="32"/>
  <c r="Z189" i="32"/>
  <c r="Z170" i="32"/>
  <c r="Z162" i="32"/>
  <c r="Z155" i="32"/>
  <c r="Z124" i="32"/>
  <c r="Z108" i="32"/>
  <c r="Z43" i="32"/>
  <c r="M262" i="3"/>
  <c r="I18" i="25"/>
  <c r="AE18" i="32" s="1"/>
  <c r="Z18" i="32" s="1"/>
  <c r="M123" i="3"/>
  <c r="I11" i="25"/>
  <c r="AE11" i="32" s="1"/>
  <c r="Z86" i="32"/>
  <c r="Z84" i="32"/>
  <c r="Z83" i="32"/>
  <c r="Z81" i="32"/>
  <c r="Z73" i="32"/>
  <c r="Z66" i="32"/>
  <c r="AD62" i="25"/>
  <c r="AA62" i="32" s="1"/>
  <c r="Z53" i="32"/>
  <c r="AD44" i="25"/>
  <c r="AA44" i="32" s="1"/>
  <c r="AD42" i="25"/>
  <c r="AA42" i="32" s="1"/>
  <c r="AD155" i="25"/>
  <c r="AA155" i="32" s="1"/>
  <c r="Z153" i="32"/>
  <c r="Z152" i="32"/>
  <c r="AD147" i="25"/>
  <c r="AA147" i="32" s="1"/>
  <c r="Z145" i="32"/>
  <c r="AD139" i="25"/>
  <c r="AA139" i="32" s="1"/>
  <c r="Z137" i="32"/>
  <c r="Z136" i="32"/>
  <c r="AD131" i="25"/>
  <c r="AA131" i="32" s="1"/>
  <c r="Z129" i="32"/>
  <c r="Z128" i="32"/>
  <c r="AD123" i="25"/>
  <c r="AA123" i="32" s="1"/>
  <c r="Z121" i="32"/>
  <c r="Z120" i="32"/>
  <c r="AD115" i="25"/>
  <c r="AA115" i="32" s="1"/>
  <c r="Z112" i="32"/>
  <c r="AD107" i="25"/>
  <c r="AA107" i="32" s="1"/>
  <c r="Z105" i="32"/>
  <c r="Z104" i="32"/>
  <c r="AD99" i="25"/>
  <c r="AA99" i="32" s="1"/>
  <c r="Z97" i="32"/>
  <c r="AD91" i="25"/>
  <c r="AA91" i="32" s="1"/>
  <c r="Z88" i="32"/>
  <c r="AD82" i="25"/>
  <c r="AD79" i="25"/>
  <c r="AA79" i="32" s="1"/>
  <c r="AD77" i="25"/>
  <c r="AD71" i="25"/>
  <c r="AA71" i="32" s="1"/>
  <c r="AD69" i="25"/>
  <c r="Z62" i="32"/>
  <c r="Z59" i="32"/>
  <c r="Z49" i="32"/>
  <c r="Z41" i="32"/>
  <c r="Z25" i="32"/>
  <c r="Z23" i="32"/>
  <c r="Z21" i="32"/>
  <c r="Z3" i="32"/>
  <c r="M132" i="3"/>
  <c r="I6" i="25"/>
  <c r="Z154" i="32"/>
  <c r="Z146" i="32"/>
  <c r="Z131" i="32"/>
  <c r="Z130" i="32"/>
  <c r="Z123" i="32"/>
  <c r="Z122" i="32"/>
  <c r="Z114" i="32"/>
  <c r="Z107" i="32"/>
  <c r="Z106" i="32"/>
  <c r="AD101" i="25"/>
  <c r="AA101" i="32" s="1"/>
  <c r="Z99" i="32"/>
  <c r="Z98" i="32"/>
  <c r="AD93" i="25"/>
  <c r="AA93" i="32" s="1"/>
  <c r="Z90" i="32"/>
  <c r="AD85" i="25"/>
  <c r="AA85" i="32" s="1"/>
  <c r="Z78" i="32"/>
  <c r="AD75" i="25"/>
  <c r="AA75" i="32" s="1"/>
  <c r="AD67" i="25"/>
  <c r="AA67" i="32" s="1"/>
  <c r="AD65" i="25"/>
  <c r="AD61" i="25"/>
  <c r="AA61" i="32" s="1"/>
  <c r="AD57" i="25"/>
  <c r="AA57" i="32" s="1"/>
  <c r="AD55" i="25"/>
  <c r="AD52" i="25"/>
  <c r="AA52" i="32" s="1"/>
  <c r="AD50" i="25"/>
  <c r="AD47" i="25"/>
  <c r="AA47" i="32" s="1"/>
  <c r="AD45" i="25"/>
  <c r="Z39" i="32"/>
  <c r="AD14" i="25"/>
  <c r="AD13" i="25"/>
  <c r="I12" i="25"/>
  <c r="I8" i="25"/>
  <c r="AE8" i="32" s="1"/>
  <c r="AD5" i="25"/>
  <c r="AD2" i="25"/>
  <c r="M163" i="3"/>
  <c r="AD40" i="25"/>
  <c r="AA40" i="32" s="1"/>
  <c r="AD36" i="25"/>
  <c r="AA36" i="32" s="1"/>
  <c r="AD35" i="25"/>
  <c r="AD34" i="25"/>
  <c r="AA34" i="32" s="1"/>
  <c r="AD32" i="25"/>
  <c r="AD30" i="25"/>
  <c r="AD24" i="25"/>
  <c r="AA24" i="32" s="1"/>
  <c r="AD22" i="25"/>
  <c r="AD20" i="25"/>
  <c r="AA20" i="32" s="1"/>
  <c r="AD17" i="25"/>
  <c r="AA17" i="32" s="1"/>
  <c r="AD11" i="25"/>
  <c r="AD9" i="25"/>
  <c r="AD8" i="25"/>
  <c r="AD7" i="25"/>
  <c r="BS3" i="39"/>
  <c r="BS4" i="39"/>
  <c r="AW5" i="39"/>
  <c r="BS5" i="39"/>
  <c r="BS6" i="39"/>
  <c r="BQ7" i="39"/>
  <c r="BQ8" i="39"/>
  <c r="AW9" i="39"/>
  <c r="BP11" i="39"/>
  <c r="BS15" i="39"/>
  <c r="BP16" i="39"/>
  <c r="BQ17" i="39"/>
  <c r="AW18" i="39"/>
  <c r="BP19" i="39"/>
  <c r="BS20" i="39"/>
  <c r="BR21" i="39"/>
  <c r="BQ22" i="39"/>
  <c r="BP23" i="39"/>
  <c r="BP3" i="39"/>
  <c r="BP4" i="39"/>
  <c r="BP5" i="39"/>
  <c r="BP6" i="39"/>
  <c r="BR7" i="39"/>
  <c r="BR8" i="39"/>
  <c r="BQ9" i="39"/>
  <c r="BS10" i="39"/>
  <c r="BQ11" i="39"/>
  <c r="BP15" i="39"/>
  <c r="BR17" i="39"/>
  <c r="BR18" i="39"/>
  <c r="BQ19" i="39"/>
  <c r="BP20" i="39"/>
  <c r="AX20" i="39" s="1"/>
  <c r="BS21" i="39"/>
  <c r="BR22" i="39"/>
  <c r="BQ23" i="39"/>
  <c r="BQ3" i="39"/>
  <c r="AX3" i="39" s="1"/>
  <c r="BQ4" i="39"/>
  <c r="BQ5" i="39"/>
  <c r="BQ6" i="39"/>
  <c r="BS7" i="39"/>
  <c r="BS8" i="39"/>
  <c r="AW10" i="39"/>
  <c r="BP10" i="39"/>
  <c r="AX10" i="39" s="1"/>
  <c r="BR11" i="39"/>
  <c r="BR16" i="39"/>
  <c r="BS17" i="39"/>
  <c r="BS18" i="39"/>
  <c r="BR19" i="39"/>
  <c r="BQ20" i="39"/>
  <c r="BP21" i="39"/>
  <c r="BS22" i="39"/>
  <c r="BR23" i="39"/>
  <c r="BR3" i="39"/>
  <c r="BR4" i="39"/>
  <c r="BR5" i="39"/>
  <c r="BR6" i="39"/>
  <c r="AX6" i="39" s="1"/>
  <c r="AW7" i="39"/>
  <c r="BP7" i="39"/>
  <c r="BP8" i="39"/>
  <c r="BS9" i="39"/>
  <c r="BQ10" i="39"/>
  <c r="BS11" i="39"/>
  <c r="BS16" i="39"/>
  <c r="BP17" i="39"/>
  <c r="AX17" i="39" s="1"/>
  <c r="BP18" i="39"/>
  <c r="BS19" i="39"/>
  <c r="BR20" i="39"/>
  <c r="BQ21" i="39"/>
  <c r="BP22" i="39"/>
  <c r="BS23" i="39"/>
  <c r="I310" i="25"/>
  <c r="C5" i="25"/>
  <c r="C6" i="25" s="1"/>
  <c r="C7" i="25" s="1"/>
  <c r="C8" i="25" s="1"/>
  <c r="C9" i="25" s="1"/>
  <c r="C10" i="25" s="1"/>
  <c r="C11" i="25" s="1"/>
  <c r="Q307" i="25"/>
  <c r="Q308" i="25" s="1"/>
  <c r="Q309" i="25" s="1"/>
  <c r="Q310" i="25" s="1"/>
  <c r="Q311" i="25" s="1"/>
  <c r="Q312" i="25" s="1"/>
  <c r="Q313" i="25" s="1"/>
  <c r="Q314" i="25" s="1"/>
  <c r="Q315" i="25" s="1"/>
  <c r="Q316" i="25" s="1"/>
  <c r="Q317" i="25" s="1"/>
  <c r="Q318" i="25" s="1"/>
  <c r="Q319" i="25" s="1"/>
  <c r="Q320" i="25" s="1"/>
  <c r="Q321" i="25" s="1"/>
  <c r="Q322" i="25" s="1"/>
  <c r="Q323" i="25" s="1"/>
  <c r="Q324" i="25" s="1"/>
  <c r="Q325" i="25" s="1"/>
  <c r="Q326" i="25" s="1"/>
  <c r="Q327" i="25" s="1"/>
  <c r="Q328" i="25" s="1"/>
  <c r="Q329" i="25" s="1"/>
  <c r="Q330" i="25" s="1"/>
  <c r="Q331" i="25" s="1"/>
  <c r="Q332" i="25" s="1"/>
  <c r="Q333" i="25" s="1"/>
  <c r="Q334" i="25" s="1"/>
  <c r="Q335" i="25" s="1"/>
  <c r="Q336" i="25" s="1"/>
  <c r="Q337" i="25" s="1"/>
  <c r="Q338" i="25" s="1"/>
  <c r="Q339" i="25" s="1"/>
  <c r="Q340" i="25" s="1"/>
  <c r="Q341" i="25" s="1"/>
  <c r="Q342" i="25" s="1"/>
  <c r="Q343" i="25" s="1"/>
  <c r="Q344" i="25" s="1"/>
  <c r="Q345" i="25" s="1"/>
  <c r="Q346" i="25" s="1"/>
  <c r="Q347" i="25" s="1"/>
  <c r="Q348" i="25" s="1"/>
  <c r="Q349" i="25" s="1"/>
  <c r="Q350" i="25" s="1"/>
  <c r="Q351" i="25" s="1"/>
  <c r="Q352" i="25" s="1"/>
  <c r="Q353" i="25" s="1"/>
  <c r="Q354" i="25" s="1"/>
  <c r="Q355" i="25" s="1"/>
  <c r="Q356" i="25" s="1"/>
  <c r="Q357" i="25" s="1"/>
  <c r="Q358" i="25" s="1"/>
  <c r="Q359" i="25" s="1"/>
  <c r="Q360" i="25" s="1"/>
  <c r="Q361" i="25" s="1"/>
  <c r="Q362" i="25" s="1"/>
  <c r="Q363" i="25" s="1"/>
  <c r="Q364" i="25" s="1"/>
  <c r="Q365" i="25" s="1"/>
  <c r="Q366" i="25" s="1"/>
  <c r="Q367" i="25" s="1"/>
  <c r="Q368" i="25" s="1"/>
  <c r="Q369" i="25" s="1"/>
  <c r="Q370" i="25" s="1"/>
  <c r="Q371" i="25" s="1"/>
  <c r="Q372" i="25" s="1"/>
  <c r="Q373" i="25" s="1"/>
  <c r="Q374" i="25" s="1"/>
  <c r="Q375" i="25" s="1"/>
  <c r="Q376" i="25" s="1"/>
  <c r="Q377" i="25" s="1"/>
  <c r="Q378" i="25" s="1"/>
  <c r="Q379" i="25" s="1"/>
  <c r="Q380" i="25" s="1"/>
  <c r="Q381" i="25" s="1"/>
  <c r="Q382" i="25" s="1"/>
  <c r="Q383" i="25" s="1"/>
  <c r="Q384" i="25" s="1"/>
  <c r="Q385" i="25" s="1"/>
  <c r="Q386" i="25" s="1"/>
  <c r="Q387" i="25" s="1"/>
  <c r="Q388" i="25" s="1"/>
  <c r="Q389" i="25" s="1"/>
  <c r="Q390" i="25" s="1"/>
  <c r="Q391" i="25" s="1"/>
  <c r="Q392" i="25" s="1"/>
  <c r="Q393" i="25" s="1"/>
  <c r="Q394" i="25" s="1"/>
  <c r="Q395" i="25" s="1"/>
  <c r="Q396" i="25" s="1"/>
  <c r="Q397" i="25" s="1"/>
  <c r="Q398" i="25" s="1"/>
  <c r="Q399" i="25" s="1"/>
  <c r="Q400" i="25" s="1"/>
  <c r="Q401" i="25" s="1"/>
  <c r="Q402" i="25" s="1"/>
  <c r="Q403" i="25" s="1"/>
  <c r="Q404" i="25" s="1"/>
  <c r="Q405" i="25" s="1"/>
  <c r="Q406" i="25" s="1"/>
  <c r="Q407" i="25" s="1"/>
  <c r="Q408" i="25" s="1"/>
  <c r="Q409" i="25" s="1"/>
  <c r="Q410" i="25" s="1"/>
  <c r="Q411" i="25" s="1"/>
  <c r="Q412" i="25" s="1"/>
  <c r="Q413" i="25" s="1"/>
  <c r="Q414" i="25" s="1"/>
  <c r="Q415" i="25" s="1"/>
  <c r="Q416" i="25" s="1"/>
  <c r="Q417" i="25" s="1"/>
  <c r="Q418" i="25" s="1"/>
  <c r="Q419" i="25" s="1"/>
  <c r="Q420" i="25" s="1"/>
  <c r="Q421" i="25" s="1"/>
  <c r="Q422" i="25" s="1"/>
  <c r="Q423" i="25" s="1"/>
  <c r="Q424" i="25" s="1"/>
  <c r="Q425" i="25" s="1"/>
  <c r="Q426" i="25" s="1"/>
  <c r="Q427" i="25" s="1"/>
  <c r="Q428" i="25" s="1"/>
  <c r="Q429" i="25" s="1"/>
  <c r="Q430" i="25" s="1"/>
  <c r="Q431" i="25" s="1"/>
  <c r="Q432" i="25" s="1"/>
  <c r="Q433" i="25" s="1"/>
  <c r="Q434" i="25" s="1"/>
  <c r="Q435" i="25" s="1"/>
  <c r="Q436" i="25" s="1"/>
  <c r="Q437" i="25" s="1"/>
  <c r="Q438" i="25" s="1"/>
  <c r="Q439" i="25" s="1"/>
  <c r="Q440" i="25" s="1"/>
  <c r="Q441" i="25" s="1"/>
  <c r="Q442" i="25" s="1"/>
  <c r="Q443" i="25" s="1"/>
  <c r="Q444" i="25" s="1"/>
  <c r="Q445" i="25" s="1"/>
  <c r="Q446" i="25" s="1"/>
  <c r="Q447" i="25" s="1"/>
  <c r="Q448" i="25" s="1"/>
  <c r="Q449" i="25" s="1"/>
  <c r="Q450" i="25" s="1"/>
  <c r="Q451" i="25" s="1"/>
  <c r="Q452" i="25" s="1"/>
  <c r="Q453" i="25" s="1"/>
  <c r="Q454" i="25" s="1"/>
  <c r="Q455" i="25" s="1"/>
  <c r="Q456" i="25" s="1"/>
  <c r="Q457" i="25" s="1"/>
  <c r="Q458" i="25" s="1"/>
  <c r="Q459" i="25" s="1"/>
  <c r="Q460" i="25" s="1"/>
  <c r="Q461" i="25" s="1"/>
  <c r="Q462" i="25" s="1"/>
  <c r="Q463" i="25" s="1"/>
  <c r="Q464" i="25" s="1"/>
  <c r="Q465" i="25" s="1"/>
  <c r="Q466" i="25" s="1"/>
  <c r="Q467" i="25" s="1"/>
  <c r="Q468" i="25" s="1"/>
  <c r="Q469" i="25" s="1"/>
  <c r="Q470" i="25" s="1"/>
  <c r="Q471" i="25" s="1"/>
  <c r="Q472" i="25" s="1"/>
  <c r="Q473" i="25" s="1"/>
  <c r="Q474" i="25" s="1"/>
  <c r="Q475" i="25" s="1"/>
  <c r="Q476" i="25" s="1"/>
  <c r="Q477" i="25" s="1"/>
  <c r="Q478" i="25" s="1"/>
  <c r="Q479" i="25" s="1"/>
  <c r="Q480" i="25" s="1"/>
  <c r="Q481" i="25" s="1"/>
  <c r="Q482" i="25" s="1"/>
  <c r="Q483" i="25" s="1"/>
  <c r="Q484" i="25" s="1"/>
  <c r="Q485" i="25" s="1"/>
  <c r="Q486" i="25" s="1"/>
  <c r="Q487" i="25" s="1"/>
  <c r="Q488" i="25" s="1"/>
  <c r="Q489" i="25" s="1"/>
  <c r="Q490" i="25" s="1"/>
  <c r="Q491" i="25" s="1"/>
  <c r="Q492" i="25" s="1"/>
  <c r="Q493" i="25" s="1"/>
  <c r="Q494" i="25" s="1"/>
  <c r="Q495" i="25" s="1"/>
  <c r="Q496" i="25" s="1"/>
  <c r="Q497" i="25" s="1"/>
  <c r="Q498" i="25" s="1"/>
  <c r="Q499" i="25" s="1"/>
  <c r="Q500" i="25" s="1"/>
  <c r="Q501" i="25" s="1"/>
  <c r="Q502" i="25" s="1"/>
  <c r="Q503" i="25" s="1"/>
  <c r="Q504" i="25" s="1"/>
  <c r="Y306" i="25"/>
  <c r="I320" i="25"/>
  <c r="I312" i="25"/>
  <c r="P308" i="25"/>
  <c r="Y307" i="25"/>
  <c r="I318" i="25"/>
  <c r="L309" i="25"/>
  <c r="AH309" i="25" s="1"/>
  <c r="J310" i="25"/>
  <c r="L313" i="25"/>
  <c r="AH313" i="25" s="1"/>
  <c r="J314" i="25"/>
  <c r="L317" i="25"/>
  <c r="AH317" i="25" s="1"/>
  <c r="J318" i="25"/>
  <c r="L321" i="25"/>
  <c r="AH321" i="25" s="1"/>
  <c r="J322" i="25"/>
  <c r="L325" i="25"/>
  <c r="AH325" i="25" s="1"/>
  <c r="J326" i="25"/>
  <c r="L329" i="25"/>
  <c r="AH329" i="25" s="1"/>
  <c r="J330" i="25"/>
  <c r="L333" i="25"/>
  <c r="AH333" i="25" s="1"/>
  <c r="J334" i="25"/>
  <c r="L337" i="25"/>
  <c r="AH337" i="25" s="1"/>
  <c r="J338" i="25"/>
  <c r="L341" i="25"/>
  <c r="AH341" i="25" s="1"/>
  <c r="J342" i="25"/>
  <c r="L345" i="25"/>
  <c r="AH345" i="25" s="1"/>
  <c r="J346" i="25"/>
  <c r="L349" i="25"/>
  <c r="AH349" i="25" s="1"/>
  <c r="J350" i="25"/>
  <c r="L353" i="25"/>
  <c r="AH353" i="25" s="1"/>
  <c r="J354" i="25"/>
  <c r="L357" i="25"/>
  <c r="AH357" i="25" s="1"/>
  <c r="J358" i="25"/>
  <c r="L361" i="25"/>
  <c r="AH361" i="25" s="1"/>
  <c r="J362" i="25"/>
  <c r="L365" i="25"/>
  <c r="AH365" i="25" s="1"/>
  <c r="J366" i="25"/>
  <c r="L369" i="25"/>
  <c r="AH369" i="25" s="1"/>
  <c r="J370" i="25"/>
  <c r="L373" i="25"/>
  <c r="AH373" i="25" s="1"/>
  <c r="J374" i="25"/>
  <c r="L377" i="25"/>
  <c r="AH377" i="25" s="1"/>
  <c r="J378" i="25"/>
  <c r="L381" i="25"/>
  <c r="AH381" i="25" s="1"/>
  <c r="J382" i="25"/>
  <c r="L385" i="25"/>
  <c r="AH385" i="25" s="1"/>
  <c r="J386" i="25"/>
  <c r="L389" i="25"/>
  <c r="AH389" i="25" s="1"/>
  <c r="J390" i="25"/>
  <c r="L393" i="25"/>
  <c r="AH393" i="25" s="1"/>
  <c r="J394" i="25"/>
  <c r="L397" i="25"/>
  <c r="AH397" i="25" s="1"/>
  <c r="J398" i="25"/>
  <c r="L401" i="25"/>
  <c r="AH401" i="25" s="1"/>
  <c r="J402" i="25"/>
  <c r="L405" i="25"/>
  <c r="AH405" i="25" s="1"/>
  <c r="J406" i="25"/>
  <c r="L409" i="25"/>
  <c r="AH409" i="25" s="1"/>
  <c r="J307" i="25"/>
  <c r="L310" i="25"/>
  <c r="AH310" i="25" s="1"/>
  <c r="J311" i="25"/>
  <c r="L314" i="25"/>
  <c r="AH314" i="25" s="1"/>
  <c r="J315" i="25"/>
  <c r="L318" i="25"/>
  <c r="AH318" i="25" s="1"/>
  <c r="J319" i="25"/>
  <c r="L322" i="25"/>
  <c r="AH322" i="25" s="1"/>
  <c r="J323" i="25"/>
  <c r="L326" i="25"/>
  <c r="AH326" i="25" s="1"/>
  <c r="J327" i="25"/>
  <c r="L330" i="25"/>
  <c r="AH330" i="25" s="1"/>
  <c r="J331" i="25"/>
  <c r="L334" i="25"/>
  <c r="AH334" i="25" s="1"/>
  <c r="J335" i="25"/>
  <c r="L338" i="25"/>
  <c r="AH338" i="25" s="1"/>
  <c r="J339" i="25"/>
  <c r="L342" i="25"/>
  <c r="AH342" i="25" s="1"/>
  <c r="J343" i="25"/>
  <c r="L346" i="25"/>
  <c r="AH346" i="25" s="1"/>
  <c r="J347" i="25"/>
  <c r="L350" i="25"/>
  <c r="AH350" i="25" s="1"/>
  <c r="J351" i="25"/>
  <c r="L354" i="25"/>
  <c r="AH354" i="25" s="1"/>
  <c r="J355" i="25"/>
  <c r="L358" i="25"/>
  <c r="AH358" i="25" s="1"/>
  <c r="J359" i="25"/>
  <c r="L362" i="25"/>
  <c r="AH362" i="25" s="1"/>
  <c r="J363" i="25"/>
  <c r="L366" i="25"/>
  <c r="AH366" i="25" s="1"/>
  <c r="J367" i="25"/>
  <c r="L370" i="25"/>
  <c r="AH370" i="25" s="1"/>
  <c r="J371" i="25"/>
  <c r="L374" i="25"/>
  <c r="AH374" i="25" s="1"/>
  <c r="J375" i="25"/>
  <c r="L378" i="25"/>
  <c r="AH378" i="25" s="1"/>
  <c r="J379" i="25"/>
  <c r="L382" i="25"/>
  <c r="AH382" i="25" s="1"/>
  <c r="J383" i="25"/>
  <c r="L386" i="25"/>
  <c r="AH386" i="25" s="1"/>
  <c r="J387" i="25"/>
  <c r="L390" i="25"/>
  <c r="AH390" i="25" s="1"/>
  <c r="J391" i="25"/>
  <c r="L394" i="25"/>
  <c r="AH394" i="25" s="1"/>
  <c r="J395" i="25"/>
  <c r="L398" i="25"/>
  <c r="AH398" i="25" s="1"/>
  <c r="J399" i="25"/>
  <c r="L402" i="25"/>
  <c r="AH402" i="25" s="1"/>
  <c r="J403" i="25"/>
  <c r="L406" i="25"/>
  <c r="AH406" i="25" s="1"/>
  <c r="J407" i="25"/>
  <c r="L410" i="25"/>
  <c r="AH410" i="25" s="1"/>
  <c r="J411" i="25"/>
  <c r="L414" i="25"/>
  <c r="AH414" i="25" s="1"/>
  <c r="J415" i="25"/>
  <c r="L418" i="25"/>
  <c r="AH418" i="25" s="1"/>
  <c r="J419" i="25"/>
  <c r="L422" i="25"/>
  <c r="AH422" i="25" s="1"/>
  <c r="J423" i="25"/>
  <c r="L307" i="25"/>
  <c r="AH307" i="25" s="1"/>
  <c r="J308" i="25"/>
  <c r="L311" i="25"/>
  <c r="AH311" i="25" s="1"/>
  <c r="J312" i="25"/>
  <c r="L315" i="25"/>
  <c r="AH315" i="25" s="1"/>
  <c r="J316" i="25"/>
  <c r="L319" i="25"/>
  <c r="AH319" i="25" s="1"/>
  <c r="J320" i="25"/>
  <c r="L323" i="25"/>
  <c r="AH323" i="25" s="1"/>
  <c r="J324" i="25"/>
  <c r="L327" i="25"/>
  <c r="AH327" i="25" s="1"/>
  <c r="J328" i="25"/>
  <c r="L331" i="25"/>
  <c r="AH331" i="25" s="1"/>
  <c r="J332" i="25"/>
  <c r="L335" i="25"/>
  <c r="AH335" i="25" s="1"/>
  <c r="J336" i="25"/>
  <c r="L339" i="25"/>
  <c r="AH339" i="25" s="1"/>
  <c r="J340" i="25"/>
  <c r="L343" i="25"/>
  <c r="AH343" i="25" s="1"/>
  <c r="J344" i="25"/>
  <c r="L347" i="25"/>
  <c r="AH347" i="25" s="1"/>
  <c r="J348" i="25"/>
  <c r="L351" i="25"/>
  <c r="AH351" i="25" s="1"/>
  <c r="J352" i="25"/>
  <c r="L355" i="25"/>
  <c r="AH355" i="25" s="1"/>
  <c r="J356" i="25"/>
  <c r="L359" i="25"/>
  <c r="AH359" i="25" s="1"/>
  <c r="J360" i="25"/>
  <c r="L363" i="25"/>
  <c r="AH363" i="25" s="1"/>
  <c r="J364" i="25"/>
  <c r="L367" i="25"/>
  <c r="AH367" i="25" s="1"/>
  <c r="J368" i="25"/>
  <c r="L371" i="25"/>
  <c r="AH371" i="25" s="1"/>
  <c r="J372" i="25"/>
  <c r="L375" i="25"/>
  <c r="AH375" i="25" s="1"/>
  <c r="J376" i="25"/>
  <c r="L379" i="25"/>
  <c r="AH379" i="25" s="1"/>
  <c r="J380" i="25"/>
  <c r="L383" i="25"/>
  <c r="AH383" i="25" s="1"/>
  <c r="J384" i="25"/>
  <c r="L387" i="25"/>
  <c r="AH387" i="25" s="1"/>
  <c r="J388" i="25"/>
  <c r="L391" i="25"/>
  <c r="AH391" i="25" s="1"/>
  <c r="J392" i="25"/>
  <c r="L308" i="25"/>
  <c r="AH308" i="25" s="1"/>
  <c r="J309" i="25"/>
  <c r="L312" i="25"/>
  <c r="AH312" i="25" s="1"/>
  <c r="J313" i="25"/>
  <c r="L316" i="25"/>
  <c r="AH316" i="25" s="1"/>
  <c r="J317" i="25"/>
  <c r="L320" i="25"/>
  <c r="AH320" i="25" s="1"/>
  <c r="J321" i="25"/>
  <c r="L324" i="25"/>
  <c r="AH324" i="25" s="1"/>
  <c r="J325" i="25"/>
  <c r="L328" i="25"/>
  <c r="AH328" i="25" s="1"/>
  <c r="J329" i="25"/>
  <c r="L332" i="25"/>
  <c r="AH332" i="25" s="1"/>
  <c r="J333" i="25"/>
  <c r="L336" i="25"/>
  <c r="AH336" i="25" s="1"/>
  <c r="J337" i="25"/>
  <c r="L340" i="25"/>
  <c r="AH340" i="25" s="1"/>
  <c r="J341" i="25"/>
  <c r="L344" i="25"/>
  <c r="AH344" i="25" s="1"/>
  <c r="J345" i="25"/>
  <c r="L348" i="25"/>
  <c r="AH348" i="25" s="1"/>
  <c r="J349" i="25"/>
  <c r="L352" i="25"/>
  <c r="AH352" i="25" s="1"/>
  <c r="J353" i="25"/>
  <c r="L356" i="25"/>
  <c r="AH356" i="25" s="1"/>
  <c r="J357" i="25"/>
  <c r="L360" i="25"/>
  <c r="AH360" i="25" s="1"/>
  <c r="J361" i="25"/>
  <c r="L364" i="25"/>
  <c r="AH364" i="25" s="1"/>
  <c r="J365" i="25"/>
  <c r="L368" i="25"/>
  <c r="AH368" i="25" s="1"/>
  <c r="J369" i="25"/>
  <c r="L372" i="25"/>
  <c r="AH372" i="25" s="1"/>
  <c r="J373" i="25"/>
  <c r="L376" i="25"/>
  <c r="AH376" i="25" s="1"/>
  <c r="J377" i="25"/>
  <c r="L380" i="25"/>
  <c r="AH380" i="25" s="1"/>
  <c r="J381" i="25"/>
  <c r="L384" i="25"/>
  <c r="AH384" i="25" s="1"/>
  <c r="J385" i="25"/>
  <c r="L388" i="25"/>
  <c r="AH388" i="25" s="1"/>
  <c r="J389" i="25"/>
  <c r="L392" i="25"/>
  <c r="AH392" i="25" s="1"/>
  <c r="J393" i="25"/>
  <c r="L396" i="25"/>
  <c r="AH396" i="25" s="1"/>
  <c r="J397" i="25"/>
  <c r="L400" i="25"/>
  <c r="AH400" i="25" s="1"/>
  <c r="J401" i="25"/>
  <c r="L404" i="25"/>
  <c r="AH404" i="25" s="1"/>
  <c r="J405" i="25"/>
  <c r="L408" i="25"/>
  <c r="AH408" i="25" s="1"/>
  <c r="J409" i="25"/>
  <c r="L412" i="25"/>
  <c r="AH412" i="25" s="1"/>
  <c r="J413" i="25"/>
  <c r="L416" i="25"/>
  <c r="AH416" i="25" s="1"/>
  <c r="J417" i="25"/>
  <c r="L420" i="25"/>
  <c r="AH420" i="25" s="1"/>
  <c r="J421" i="25"/>
  <c r="L424" i="25"/>
  <c r="AH424" i="25" s="1"/>
  <c r="J425" i="25"/>
  <c r="J396" i="25"/>
  <c r="J400" i="25"/>
  <c r="J404" i="25"/>
  <c r="J408" i="25"/>
  <c r="J410" i="25"/>
  <c r="J414" i="25"/>
  <c r="J418" i="25"/>
  <c r="J422" i="25"/>
  <c r="L427" i="25"/>
  <c r="AH427" i="25" s="1"/>
  <c r="J428" i="25"/>
  <c r="L431" i="25"/>
  <c r="AH431" i="25" s="1"/>
  <c r="J432" i="25"/>
  <c r="L435" i="25"/>
  <c r="AH435" i="25" s="1"/>
  <c r="J436" i="25"/>
  <c r="L439" i="25"/>
  <c r="AH439" i="25" s="1"/>
  <c r="J440" i="25"/>
  <c r="L443" i="25"/>
  <c r="AH443" i="25" s="1"/>
  <c r="J444" i="25"/>
  <c r="L447" i="25"/>
  <c r="AH447" i="25" s="1"/>
  <c r="J448" i="25"/>
  <c r="L451" i="25"/>
  <c r="AH451" i="25" s="1"/>
  <c r="J452" i="25"/>
  <c r="L455" i="25"/>
  <c r="AH455" i="25" s="1"/>
  <c r="J456" i="25"/>
  <c r="L459" i="25"/>
  <c r="AH459" i="25" s="1"/>
  <c r="J460" i="25"/>
  <c r="L463" i="25"/>
  <c r="AH463" i="25" s="1"/>
  <c r="J464" i="25"/>
  <c r="L467" i="25"/>
  <c r="AH467" i="25" s="1"/>
  <c r="J468" i="25"/>
  <c r="L471" i="25"/>
  <c r="AH471" i="25" s="1"/>
  <c r="J472" i="25"/>
  <c r="L475" i="25"/>
  <c r="AH475" i="25" s="1"/>
  <c r="J476" i="25"/>
  <c r="L479" i="25"/>
  <c r="AH479" i="25" s="1"/>
  <c r="J480" i="25"/>
  <c r="L483" i="25"/>
  <c r="AH483" i="25" s="1"/>
  <c r="J484" i="25"/>
  <c r="L487" i="25"/>
  <c r="AH487" i="25" s="1"/>
  <c r="J488" i="25"/>
  <c r="L491" i="25"/>
  <c r="AH491" i="25" s="1"/>
  <c r="J492" i="25"/>
  <c r="L413" i="25"/>
  <c r="AH413" i="25" s="1"/>
  <c r="L417" i="25"/>
  <c r="AH417" i="25" s="1"/>
  <c r="L421" i="25"/>
  <c r="AH421" i="25" s="1"/>
  <c r="L428" i="25"/>
  <c r="AH428" i="25" s="1"/>
  <c r="J429" i="25"/>
  <c r="L432" i="25"/>
  <c r="AH432" i="25" s="1"/>
  <c r="J433" i="25"/>
  <c r="L436" i="25"/>
  <c r="AH436" i="25" s="1"/>
  <c r="J437" i="25"/>
  <c r="L440" i="25"/>
  <c r="AH440" i="25" s="1"/>
  <c r="J441" i="25"/>
  <c r="L444" i="25"/>
  <c r="AH444" i="25" s="1"/>
  <c r="J445" i="25"/>
  <c r="L448" i="25"/>
  <c r="AH448" i="25" s="1"/>
  <c r="J449" i="25"/>
  <c r="L452" i="25"/>
  <c r="AH452" i="25" s="1"/>
  <c r="J453" i="25"/>
  <c r="L456" i="25"/>
  <c r="AH456" i="25" s="1"/>
  <c r="J457" i="25"/>
  <c r="L460" i="25"/>
  <c r="AH460" i="25" s="1"/>
  <c r="J461" i="25"/>
  <c r="L464" i="25"/>
  <c r="AH464" i="25" s="1"/>
  <c r="J465" i="25"/>
  <c r="L468" i="25"/>
  <c r="AH468" i="25" s="1"/>
  <c r="J469" i="25"/>
  <c r="L472" i="25"/>
  <c r="AH472" i="25" s="1"/>
  <c r="J473" i="25"/>
  <c r="L476" i="25"/>
  <c r="AH476" i="25" s="1"/>
  <c r="J477" i="25"/>
  <c r="L480" i="25"/>
  <c r="AH480" i="25" s="1"/>
  <c r="J481" i="25"/>
  <c r="L484" i="25"/>
  <c r="AH484" i="25" s="1"/>
  <c r="J485" i="25"/>
  <c r="L488" i="25"/>
  <c r="AH488" i="25" s="1"/>
  <c r="J489" i="25"/>
  <c r="L492" i="25"/>
  <c r="AH492" i="25" s="1"/>
  <c r="J493" i="25"/>
  <c r="L496" i="25"/>
  <c r="AH496" i="25" s="1"/>
  <c r="J497" i="25"/>
  <c r="L500" i="25"/>
  <c r="AH500" i="25" s="1"/>
  <c r="K501" i="25"/>
  <c r="L395" i="25"/>
  <c r="AH395" i="25" s="1"/>
  <c r="L399" i="25"/>
  <c r="AH399" i="25" s="1"/>
  <c r="L403" i="25"/>
  <c r="AH403" i="25" s="1"/>
  <c r="L407" i="25"/>
  <c r="AH407" i="25" s="1"/>
  <c r="J412" i="25"/>
  <c r="J416" i="25"/>
  <c r="J420" i="25"/>
  <c r="J424" i="25"/>
  <c r="L425" i="25"/>
  <c r="AH425" i="25" s="1"/>
  <c r="J426" i="25"/>
  <c r="L429" i="25"/>
  <c r="AH429" i="25" s="1"/>
  <c r="J430" i="25"/>
  <c r="L433" i="25"/>
  <c r="AH433" i="25" s="1"/>
  <c r="J434" i="25"/>
  <c r="L437" i="25"/>
  <c r="AH437" i="25" s="1"/>
  <c r="J438" i="25"/>
  <c r="L441" i="25"/>
  <c r="AH441" i="25" s="1"/>
  <c r="J442" i="25"/>
  <c r="L445" i="25"/>
  <c r="AH445" i="25" s="1"/>
  <c r="J446" i="25"/>
  <c r="L449" i="25"/>
  <c r="AH449" i="25" s="1"/>
  <c r="J450" i="25"/>
  <c r="L453" i="25"/>
  <c r="AH453" i="25" s="1"/>
  <c r="J454" i="25"/>
  <c r="L457" i="25"/>
  <c r="AH457" i="25" s="1"/>
  <c r="J458" i="25"/>
  <c r="L461" i="25"/>
  <c r="AH461" i="25" s="1"/>
  <c r="J462" i="25"/>
  <c r="L465" i="25"/>
  <c r="AH465" i="25" s="1"/>
  <c r="J466" i="25"/>
  <c r="L469" i="25"/>
  <c r="AH469" i="25" s="1"/>
  <c r="J470" i="25"/>
  <c r="L473" i="25"/>
  <c r="AH473" i="25" s="1"/>
  <c r="J474" i="25"/>
  <c r="L477" i="25"/>
  <c r="AH477" i="25" s="1"/>
  <c r="J478" i="25"/>
  <c r="L481" i="25"/>
  <c r="AH481" i="25" s="1"/>
  <c r="J482" i="25"/>
  <c r="L485" i="25"/>
  <c r="AH485" i="25" s="1"/>
  <c r="J486" i="25"/>
  <c r="L489" i="25"/>
  <c r="AH489" i="25" s="1"/>
  <c r="J490" i="25"/>
  <c r="L493" i="25"/>
  <c r="AH493" i="25" s="1"/>
  <c r="J494" i="25"/>
  <c r="L411" i="25"/>
  <c r="AH411" i="25" s="1"/>
  <c r="L415" i="25"/>
  <c r="AH415" i="25" s="1"/>
  <c r="L419" i="25"/>
  <c r="AH419" i="25" s="1"/>
  <c r="L423" i="25"/>
  <c r="AH423" i="25" s="1"/>
  <c r="L426" i="25"/>
  <c r="AH426" i="25" s="1"/>
  <c r="J427" i="25"/>
  <c r="L430" i="25"/>
  <c r="AH430" i="25" s="1"/>
  <c r="J431" i="25"/>
  <c r="L434" i="25"/>
  <c r="AH434" i="25" s="1"/>
  <c r="J435" i="25"/>
  <c r="L438" i="25"/>
  <c r="AH438" i="25" s="1"/>
  <c r="J439" i="25"/>
  <c r="L442" i="25"/>
  <c r="AH442" i="25" s="1"/>
  <c r="J443" i="25"/>
  <c r="L446" i="25"/>
  <c r="AH446" i="25" s="1"/>
  <c r="J447" i="25"/>
  <c r="L450" i="25"/>
  <c r="AH450" i="25" s="1"/>
  <c r="J451" i="25"/>
  <c r="L454" i="25"/>
  <c r="AH454" i="25" s="1"/>
  <c r="J455" i="25"/>
  <c r="L458" i="25"/>
  <c r="AH458" i="25" s="1"/>
  <c r="J459" i="25"/>
  <c r="L462" i="25"/>
  <c r="AH462" i="25" s="1"/>
  <c r="J463" i="25"/>
  <c r="L466" i="25"/>
  <c r="AH466" i="25" s="1"/>
  <c r="J467" i="25"/>
  <c r="L470" i="25"/>
  <c r="AH470" i="25" s="1"/>
  <c r="J471" i="25"/>
  <c r="L474" i="25"/>
  <c r="AH474" i="25" s="1"/>
  <c r="J475" i="25"/>
  <c r="L478" i="25"/>
  <c r="AH478" i="25" s="1"/>
  <c r="J479" i="25"/>
  <c r="L482" i="25"/>
  <c r="AH482" i="25" s="1"/>
  <c r="J483" i="25"/>
  <c r="L486" i="25"/>
  <c r="AH486" i="25" s="1"/>
  <c r="J487" i="25"/>
  <c r="L490" i="25"/>
  <c r="AH490" i="25" s="1"/>
  <c r="J491" i="25"/>
  <c r="L494" i="25"/>
  <c r="AH494" i="25" s="1"/>
  <c r="J495" i="25"/>
  <c r="L498" i="25"/>
  <c r="AH498" i="25" s="1"/>
  <c r="J499" i="25"/>
  <c r="L497" i="25"/>
  <c r="AH497" i="25" s="1"/>
  <c r="J496" i="25"/>
  <c r="J500" i="25"/>
  <c r="L495" i="25"/>
  <c r="AH495" i="25" s="1"/>
  <c r="L499" i="25"/>
  <c r="AH499" i="25" s="1"/>
  <c r="K480" i="25"/>
  <c r="K479" i="25"/>
  <c r="J498" i="25"/>
  <c r="K500" i="25"/>
  <c r="K499" i="25"/>
  <c r="K498" i="25"/>
  <c r="K497" i="25"/>
  <c r="K493" i="25"/>
  <c r="K489" i="25"/>
  <c r="K485" i="25"/>
  <c r="K481" i="25"/>
  <c r="K476" i="25"/>
  <c r="K472" i="25"/>
  <c r="K471" i="25"/>
  <c r="K496" i="25"/>
  <c r="K492" i="25"/>
  <c r="K488" i="25"/>
  <c r="K484" i="25"/>
  <c r="K475" i="25"/>
  <c r="K495" i="25"/>
  <c r="K491" i="25"/>
  <c r="K487" i="25"/>
  <c r="K483" i="25"/>
  <c r="K478" i="25"/>
  <c r="K474" i="25"/>
  <c r="K494" i="25"/>
  <c r="K490" i="25"/>
  <c r="K486" i="25"/>
  <c r="K482" i="25"/>
  <c r="K477" i="25"/>
  <c r="K473" i="25"/>
  <c r="K411" i="25"/>
  <c r="K410" i="25"/>
  <c r="K467" i="25"/>
  <c r="K463" i="25"/>
  <c r="K459" i="25"/>
  <c r="K455" i="25"/>
  <c r="K451" i="25"/>
  <c r="K447" i="25"/>
  <c r="K470" i="25"/>
  <c r="K466" i="25"/>
  <c r="K462" i="25"/>
  <c r="K458" i="25"/>
  <c r="K454" i="25"/>
  <c r="K450" i="25"/>
  <c r="K446" i="25"/>
  <c r="K443" i="25"/>
  <c r="K441" i="25"/>
  <c r="K439" i="25"/>
  <c r="K437" i="25"/>
  <c r="K435" i="25"/>
  <c r="K433" i="25"/>
  <c r="K431" i="25"/>
  <c r="K429" i="25"/>
  <c r="K427" i="25"/>
  <c r="K425" i="25"/>
  <c r="K423" i="25"/>
  <c r="K421" i="25"/>
  <c r="K419" i="25"/>
  <c r="K417" i="25"/>
  <c r="K415" i="25"/>
  <c r="K413" i="25"/>
  <c r="K469" i="25"/>
  <c r="K465" i="25"/>
  <c r="K461" i="25"/>
  <c r="K457" i="25"/>
  <c r="K453" i="25"/>
  <c r="K449" i="25"/>
  <c r="K445" i="25"/>
  <c r="K409" i="25"/>
  <c r="K408" i="25"/>
  <c r="K407" i="25"/>
  <c r="K406" i="25"/>
  <c r="K405" i="25"/>
  <c r="K404" i="25"/>
  <c r="K403" i="25"/>
  <c r="K402" i="25"/>
  <c r="K401" i="25"/>
  <c r="K400" i="25"/>
  <c r="K399" i="25"/>
  <c r="K398" i="25"/>
  <c r="K397" i="25"/>
  <c r="K396" i="25"/>
  <c r="K395" i="25"/>
  <c r="K394" i="25"/>
  <c r="K393" i="25"/>
  <c r="K468" i="25"/>
  <c r="K464" i="25"/>
  <c r="K460" i="25"/>
  <c r="K456" i="25"/>
  <c r="K452" i="25"/>
  <c r="K448" i="25"/>
  <c r="K444" i="25"/>
  <c r="K442" i="25"/>
  <c r="K440" i="25"/>
  <c r="K438" i="25"/>
  <c r="K436" i="25"/>
  <c r="K434" i="25"/>
  <c r="K432" i="25"/>
  <c r="K430" i="25"/>
  <c r="K428" i="25"/>
  <c r="K426" i="25"/>
  <c r="K424" i="25"/>
  <c r="K422" i="25"/>
  <c r="K420" i="25"/>
  <c r="K418" i="25"/>
  <c r="K416" i="25"/>
  <c r="K414" i="25"/>
  <c r="K412" i="25"/>
  <c r="K374" i="25"/>
  <c r="K370" i="25"/>
  <c r="K366" i="25"/>
  <c r="K362" i="25"/>
  <c r="K358" i="25"/>
  <c r="K354" i="25"/>
  <c r="K350" i="25"/>
  <c r="K346" i="25"/>
  <c r="K342" i="25"/>
  <c r="K338" i="25"/>
  <c r="K334" i="25"/>
  <c r="K330" i="25"/>
  <c r="K328" i="25"/>
  <c r="K324" i="25"/>
  <c r="K320" i="25"/>
  <c r="K316" i="25"/>
  <c r="K312" i="25"/>
  <c r="K308" i="25"/>
  <c r="K392" i="25"/>
  <c r="K390" i="25"/>
  <c r="K388" i="25"/>
  <c r="K373" i="25"/>
  <c r="K369" i="25"/>
  <c r="K365" i="25"/>
  <c r="K361" i="25"/>
  <c r="K357" i="25"/>
  <c r="K353" i="25"/>
  <c r="K349" i="25"/>
  <c r="K345" i="25"/>
  <c r="K341" i="25"/>
  <c r="K337" i="25"/>
  <c r="K333" i="25"/>
  <c r="K329" i="25"/>
  <c r="K327" i="25"/>
  <c r="K323" i="25"/>
  <c r="K319" i="25"/>
  <c r="K315" i="25"/>
  <c r="K311" i="25"/>
  <c r="K307" i="25"/>
  <c r="K372" i="25"/>
  <c r="K368" i="25"/>
  <c r="K364" i="25"/>
  <c r="K360" i="25"/>
  <c r="K356" i="25"/>
  <c r="K352" i="25"/>
  <c r="K348" i="25"/>
  <c r="K344" i="25"/>
  <c r="K340" i="25"/>
  <c r="K336" i="25"/>
  <c r="K332" i="25"/>
  <c r="K326" i="25"/>
  <c r="K322" i="25"/>
  <c r="K318" i="25"/>
  <c r="K314" i="25"/>
  <c r="K310" i="25"/>
  <c r="K391" i="25"/>
  <c r="K389" i="25"/>
  <c r="K387" i="25"/>
  <c r="K386" i="25"/>
  <c r="K385" i="25"/>
  <c r="K384" i="25"/>
  <c r="K383" i="25"/>
  <c r="K382" i="25"/>
  <c r="K381" i="25"/>
  <c r="K380" i="25"/>
  <c r="K379" i="25"/>
  <c r="K378" i="25"/>
  <c r="K377" i="25"/>
  <c r="K376" i="25"/>
  <c r="K375" i="25"/>
  <c r="K371" i="25"/>
  <c r="K367" i="25"/>
  <c r="K363" i="25"/>
  <c r="K359" i="25"/>
  <c r="K355" i="25"/>
  <c r="K351" i="25"/>
  <c r="K347" i="25"/>
  <c r="K343" i="25"/>
  <c r="K339" i="25"/>
  <c r="K335" i="25"/>
  <c r="K331" i="25"/>
  <c r="K325" i="25"/>
  <c r="K321" i="25"/>
  <c r="K317" i="25"/>
  <c r="K313" i="25"/>
  <c r="K309" i="25"/>
  <c r="J502" i="25"/>
  <c r="J504" i="25"/>
  <c r="J503" i="25"/>
  <c r="I502" i="25"/>
  <c r="L503" i="25"/>
  <c r="AH503" i="25" s="1"/>
  <c r="K503" i="25"/>
  <c r="AQ503" i="25" s="1"/>
  <c r="I307" i="25"/>
  <c r="I309" i="25"/>
  <c r="I311" i="25"/>
  <c r="I313" i="25"/>
  <c r="I315" i="25"/>
  <c r="I317" i="25"/>
  <c r="I319" i="25"/>
  <c r="I321" i="25"/>
  <c r="I504" i="25"/>
  <c r="L502" i="25"/>
  <c r="AH502" i="25" s="1"/>
  <c r="K502" i="25"/>
  <c r="AQ502" i="25" s="1"/>
  <c r="L504" i="25"/>
  <c r="AH504" i="25" s="1"/>
  <c r="K504" i="25"/>
  <c r="AQ504" i="25" s="1"/>
  <c r="I308" i="25"/>
  <c r="I501" i="25"/>
  <c r="I499" i="25"/>
  <c r="I497" i="25"/>
  <c r="I495" i="25"/>
  <c r="I493" i="25"/>
  <c r="I491" i="25"/>
  <c r="I489" i="25"/>
  <c r="I487" i="25"/>
  <c r="I485" i="25"/>
  <c r="I483" i="25"/>
  <c r="I481" i="25"/>
  <c r="I480" i="25"/>
  <c r="I479" i="25"/>
  <c r="I477" i="25"/>
  <c r="I476" i="25"/>
  <c r="I475" i="25"/>
  <c r="I474" i="25"/>
  <c r="I473" i="25"/>
  <c r="I472" i="25"/>
  <c r="I471" i="25"/>
  <c r="I470" i="25"/>
  <c r="I469" i="25"/>
  <c r="I468" i="25"/>
  <c r="I467" i="25"/>
  <c r="I466" i="25"/>
  <c r="I465" i="25"/>
  <c r="I464" i="25"/>
  <c r="I463" i="25"/>
  <c r="I462" i="25"/>
  <c r="I461" i="25"/>
  <c r="I460" i="25"/>
  <c r="I459" i="25"/>
  <c r="I458" i="25"/>
  <c r="I457" i="25"/>
  <c r="I456" i="25"/>
  <c r="I455" i="25"/>
  <c r="I454" i="25"/>
  <c r="I453" i="25"/>
  <c r="I452" i="25"/>
  <c r="I451" i="25"/>
  <c r="I450" i="25"/>
  <c r="I449" i="25"/>
  <c r="I448" i="25"/>
  <c r="I447" i="25"/>
  <c r="I446" i="25"/>
  <c r="I445" i="25"/>
  <c r="I444" i="25"/>
  <c r="I443" i="25"/>
  <c r="I442" i="25"/>
  <c r="I441" i="25"/>
  <c r="I440" i="25"/>
  <c r="I439" i="25"/>
  <c r="I438" i="25"/>
  <c r="I437" i="25"/>
  <c r="I436" i="25"/>
  <c r="I435" i="25"/>
  <c r="I434" i="25"/>
  <c r="I433" i="25"/>
  <c r="I432" i="25"/>
  <c r="I431" i="25"/>
  <c r="I430" i="25"/>
  <c r="I429" i="25"/>
  <c r="I428" i="25"/>
  <c r="I427" i="25"/>
  <c r="I426" i="25"/>
  <c r="I425" i="25"/>
  <c r="I424" i="25"/>
  <c r="I423" i="25"/>
  <c r="I422" i="25"/>
  <c r="I421" i="25"/>
  <c r="I420" i="25"/>
  <c r="I419" i="25"/>
  <c r="I418" i="25"/>
  <c r="I417" i="25"/>
  <c r="I416" i="25"/>
  <c r="I415" i="25"/>
  <c r="I414" i="25"/>
  <c r="I413" i="25"/>
  <c r="I412" i="25"/>
  <c r="I411" i="25"/>
  <c r="I410" i="25"/>
  <c r="I409" i="25"/>
  <c r="I408" i="25"/>
  <c r="I407" i="25"/>
  <c r="I406" i="25"/>
  <c r="I405" i="25"/>
  <c r="I404" i="25"/>
  <c r="I403" i="25"/>
  <c r="I402" i="25"/>
  <c r="I401" i="25"/>
  <c r="I400" i="25"/>
  <c r="I399" i="25"/>
  <c r="I398" i="25"/>
  <c r="I397" i="25"/>
  <c r="I396" i="25"/>
  <c r="I395" i="25"/>
  <c r="I394" i="25"/>
  <c r="I393" i="25"/>
  <c r="I392" i="25"/>
  <c r="I391" i="25"/>
  <c r="I390" i="25"/>
  <c r="I389" i="25"/>
  <c r="I388" i="25"/>
  <c r="I387" i="25"/>
  <c r="I386" i="25"/>
  <c r="I385" i="25"/>
  <c r="I384" i="25"/>
  <c r="I383" i="25"/>
  <c r="I382" i="25"/>
  <c r="I381" i="25"/>
  <c r="I380" i="25"/>
  <c r="I379" i="25"/>
  <c r="I378" i="25"/>
  <c r="I377" i="25"/>
  <c r="I376" i="25"/>
  <c r="I375" i="25"/>
  <c r="I374" i="25"/>
  <c r="I373" i="25"/>
  <c r="I372" i="25"/>
  <c r="I371" i="25"/>
  <c r="I370" i="25"/>
  <c r="I369" i="25"/>
  <c r="I368" i="25"/>
  <c r="I367" i="25"/>
  <c r="I366" i="25"/>
  <c r="I365" i="25"/>
  <c r="I364" i="25"/>
  <c r="I363" i="25"/>
  <c r="I362" i="25"/>
  <c r="I361" i="25"/>
  <c r="I360" i="25"/>
  <c r="I359" i="25"/>
  <c r="I358" i="25"/>
  <c r="I357" i="25"/>
  <c r="I356" i="25"/>
  <c r="I355" i="25"/>
  <c r="I354" i="25"/>
  <c r="I353" i="25"/>
  <c r="I352" i="25"/>
  <c r="I351" i="25"/>
  <c r="I350" i="25"/>
  <c r="I349" i="25"/>
  <c r="I348" i="25"/>
  <c r="I347" i="25"/>
  <c r="I346" i="25"/>
  <c r="I345" i="25"/>
  <c r="I344" i="25"/>
  <c r="I343" i="25"/>
  <c r="I342" i="25"/>
  <c r="I341" i="25"/>
  <c r="I340" i="25"/>
  <c r="I339" i="25"/>
  <c r="I338" i="25"/>
  <c r="I337" i="25"/>
  <c r="I336" i="25"/>
  <c r="I335" i="25"/>
  <c r="I334" i="25"/>
  <c r="I333" i="25"/>
  <c r="I332" i="25"/>
  <c r="I331" i="25"/>
  <c r="I330" i="25"/>
  <c r="I329" i="25"/>
  <c r="I328" i="25"/>
  <c r="I327" i="25"/>
  <c r="I326" i="25"/>
  <c r="I325" i="25"/>
  <c r="I324" i="25"/>
  <c r="I323" i="25"/>
  <c r="I322" i="25"/>
  <c r="I316" i="25"/>
  <c r="I503" i="25"/>
  <c r="I500" i="25"/>
  <c r="I498" i="25"/>
  <c r="I496" i="25"/>
  <c r="I494" i="25"/>
  <c r="I492" i="25"/>
  <c r="I490" i="25"/>
  <c r="I488" i="25"/>
  <c r="I486" i="25"/>
  <c r="I484" i="25"/>
  <c r="I482" i="25"/>
  <c r="I478" i="25"/>
  <c r="Y30" i="25"/>
  <c r="E15" i="4" s="1"/>
  <c r="Y242" i="25"/>
  <c r="I314" i="25"/>
  <c r="A3" i="25"/>
  <c r="AF6" i="25"/>
  <c r="AF5" i="25"/>
  <c r="AF3" i="25"/>
  <c r="AQ4" i="25"/>
  <c r="Z300" i="32"/>
  <c r="Z292" i="32"/>
  <c r="Z257" i="32"/>
  <c r="Z285" i="32"/>
  <c r="Z249" i="32"/>
  <c r="Z258" i="32"/>
  <c r="Z254" i="32"/>
  <c r="Z250" i="32"/>
  <c r="Z246" i="32"/>
  <c r="Z245" i="32"/>
  <c r="Z242" i="32"/>
  <c r="Z238" i="32"/>
  <c r="Z234" i="32"/>
  <c r="Z230" i="32"/>
  <c r="Z226" i="32"/>
  <c r="Z222" i="32"/>
  <c r="Z218" i="32"/>
  <c r="Z214" i="32"/>
  <c r="Z210" i="32"/>
  <c r="Z206" i="32"/>
  <c r="Z202" i="32"/>
  <c r="Z198" i="32"/>
  <c r="Z194" i="32"/>
  <c r="Z190" i="32"/>
  <c r="Z243" i="32"/>
  <c r="Z239" i="32"/>
  <c r="Z235" i="32"/>
  <c r="Z231" i="32"/>
  <c r="Z227" i="32"/>
  <c r="Z223" i="32"/>
  <c r="Z219" i="32"/>
  <c r="Z215" i="32"/>
  <c r="Z211" i="32"/>
  <c r="Z207" i="32"/>
  <c r="Z203" i="32"/>
  <c r="Z199" i="32"/>
  <c r="Z195" i="32"/>
  <c r="Z191" i="32"/>
  <c r="Z260" i="32"/>
  <c r="Z256" i="32"/>
  <c r="Z252" i="32"/>
  <c r="Z248" i="32"/>
  <c r="Z232" i="32"/>
  <c r="Z224" i="32"/>
  <c r="Z220" i="32"/>
  <c r="Z216" i="32"/>
  <c r="Z208" i="32"/>
  <c r="Z204" i="32"/>
  <c r="Z200" i="32"/>
  <c r="Z192" i="32"/>
  <c r="Z173" i="32"/>
  <c r="Z165" i="32"/>
  <c r="Z157" i="32"/>
  <c r="Z149" i="32"/>
  <c r="Z141" i="32"/>
  <c r="Z133" i="32"/>
  <c r="Z125" i="32"/>
  <c r="Z117" i="32"/>
  <c r="Z109" i="32"/>
  <c r="Z101" i="32"/>
  <c r="Z93" i="32"/>
  <c r="Z85" i="32"/>
  <c r="L501" i="25"/>
  <c r="AH501" i="25" s="1"/>
  <c r="Z187" i="32"/>
  <c r="Z186" i="32"/>
  <c r="Z185" i="32"/>
  <c r="Z183" i="32"/>
  <c r="Z182" i="32"/>
  <c r="Z181" i="32"/>
  <c r="Z180" i="32"/>
  <c r="Z179" i="32"/>
  <c r="Z178" i="32"/>
  <c r="Z177" i="32"/>
  <c r="Z176" i="32"/>
  <c r="Z175" i="32"/>
  <c r="Z174" i="32"/>
  <c r="Z167" i="32"/>
  <c r="Z159" i="32"/>
  <c r="Z151" i="32"/>
  <c r="Z143" i="32"/>
  <c r="Z135" i="32"/>
  <c r="Z127" i="32"/>
  <c r="Z119" i="32"/>
  <c r="Z111" i="32"/>
  <c r="Z103" i="32"/>
  <c r="Z95" i="32"/>
  <c r="Z87" i="32"/>
  <c r="J501" i="25"/>
  <c r="AD72" i="25"/>
  <c r="AD68" i="25"/>
  <c r="AD64" i="25"/>
  <c r="AD58" i="25"/>
  <c r="AD54" i="25"/>
  <c r="AD37" i="25"/>
  <c r="AD29" i="25"/>
  <c r="AD19" i="25"/>
  <c r="M195" i="3"/>
  <c r="Z13" i="32"/>
  <c r="M197" i="3"/>
  <c r="I74" i="25"/>
  <c r="M81" i="3"/>
  <c r="I54" i="25"/>
  <c r="AD15" i="25"/>
  <c r="M268" i="3"/>
  <c r="I42" i="25"/>
  <c r="AX4" i="39"/>
  <c r="AX5" i="39"/>
  <c r="AX8" i="39"/>
  <c r="BP9" i="39"/>
  <c r="AX9" i="39" s="1"/>
  <c r="AY10" i="39"/>
  <c r="BR15" i="39"/>
  <c r="AW8" i="39"/>
  <c r="AW11" i="39"/>
  <c r="BQ18" i="39"/>
  <c r="AX18" i="39" s="1"/>
  <c r="AX15" i="39"/>
  <c r="AX21" i="39"/>
  <c r="AX22" i="39"/>
  <c r="Z30" i="32" l="1"/>
  <c r="AA30" i="32"/>
  <c r="AA5" i="32"/>
  <c r="AE5" i="25"/>
  <c r="AM5" i="25" s="1"/>
  <c r="AE5" i="32"/>
  <c r="H5" i="25"/>
  <c r="Z269" i="32"/>
  <c r="AA269" i="32"/>
  <c r="Z277" i="32"/>
  <c r="AA277" i="32"/>
  <c r="D16" i="4"/>
  <c r="D5" i="4"/>
  <c r="D14" i="4"/>
  <c r="Z241" i="32"/>
  <c r="Z196" i="32"/>
  <c r="Z212" i="32"/>
  <c r="Z228" i="32"/>
  <c r="AX16" i="39"/>
  <c r="AY16" i="39" s="1"/>
  <c r="BX16" i="39" s="1"/>
  <c r="AE8" i="25"/>
  <c r="AM8" i="25" s="1"/>
  <c r="AF8" i="25"/>
  <c r="AA8" i="32"/>
  <c r="Z32" i="32"/>
  <c r="AA32" i="32"/>
  <c r="Z8" i="32"/>
  <c r="Z65" i="32"/>
  <c r="AA65" i="32"/>
  <c r="Z147" i="32"/>
  <c r="Z69" i="32"/>
  <c r="AA69" i="32"/>
  <c r="Z82" i="32"/>
  <c r="AA82" i="32"/>
  <c r="Z52" i="32"/>
  <c r="Z171" i="32"/>
  <c r="Z263" i="32"/>
  <c r="AA263" i="32"/>
  <c r="Z271" i="32"/>
  <c r="AA271" i="32"/>
  <c r="Z279" i="32"/>
  <c r="AA279" i="32"/>
  <c r="Z91" i="32"/>
  <c r="Z44" i="32"/>
  <c r="AE51" i="32"/>
  <c r="Z51" i="32" s="1"/>
  <c r="H51" i="25"/>
  <c r="Z67" i="32"/>
  <c r="Z302" i="32"/>
  <c r="H75" i="25"/>
  <c r="Z294" i="32"/>
  <c r="F4" i="25"/>
  <c r="A4" i="25" s="1"/>
  <c r="D15" i="4"/>
  <c r="E5" i="4"/>
  <c r="H91" i="25"/>
  <c r="Z7" i="32"/>
  <c r="AF7" i="25"/>
  <c r="AA7" i="32"/>
  <c r="AM7" i="25"/>
  <c r="AE7" i="25"/>
  <c r="AF14" i="25"/>
  <c r="AA14" i="32"/>
  <c r="AE14" i="25"/>
  <c r="AM14" i="25" s="1"/>
  <c r="Z50" i="32"/>
  <c r="AA50" i="32"/>
  <c r="Z61" i="32"/>
  <c r="Z17" i="32"/>
  <c r="AX7" i="39"/>
  <c r="AY7" i="39" s="1"/>
  <c r="AX23" i="39"/>
  <c r="AY23" i="39" s="1"/>
  <c r="BX23" i="39" s="1"/>
  <c r="AX19" i="39"/>
  <c r="AY19" i="39" s="1"/>
  <c r="BX19" i="39" s="1"/>
  <c r="Z9" i="32"/>
  <c r="AF9" i="25"/>
  <c r="AA9" i="32"/>
  <c r="AM9" i="25"/>
  <c r="AE9" i="25"/>
  <c r="Z22" i="32"/>
  <c r="AA22" i="32"/>
  <c r="AE12" i="32"/>
  <c r="Z12" i="32" s="1"/>
  <c r="H12" i="25"/>
  <c r="Z45" i="32"/>
  <c r="AA45" i="32"/>
  <c r="Z55" i="32"/>
  <c r="AA55" i="32"/>
  <c r="Z115" i="32"/>
  <c r="Z144" i="32"/>
  <c r="Z47" i="32"/>
  <c r="Z79" i="32"/>
  <c r="Z261" i="32"/>
  <c r="AE236" i="32"/>
  <c r="Z236" i="32" s="1"/>
  <c r="H236" i="25"/>
  <c r="Z265" i="32"/>
  <c r="AA265" i="32"/>
  <c r="Z273" i="32"/>
  <c r="AA273" i="32"/>
  <c r="Z281" i="32"/>
  <c r="AA281" i="32"/>
  <c r="Z20" i="32"/>
  <c r="Z71" i="32"/>
  <c r="H77" i="25"/>
  <c r="Z288" i="32"/>
  <c r="AA288" i="32"/>
  <c r="H18" i="25"/>
  <c r="H8" i="25"/>
  <c r="E16" i="4"/>
  <c r="E14" i="4"/>
  <c r="AX11" i="39"/>
  <c r="Z11" i="32"/>
  <c r="AF11" i="25"/>
  <c r="AM11" i="25"/>
  <c r="AA11" i="32"/>
  <c r="AE11" i="25"/>
  <c r="Z35" i="32"/>
  <c r="AA35" i="32"/>
  <c r="AE2" i="25"/>
  <c r="AM2" i="25" s="1"/>
  <c r="AE4" i="25"/>
  <c r="AF4" i="25"/>
  <c r="AA2" i="32"/>
  <c r="AE6" i="25"/>
  <c r="AE10" i="25"/>
  <c r="AF10" i="25"/>
  <c r="AF12" i="25"/>
  <c r="AE12" i="25"/>
  <c r="AE3" i="25"/>
  <c r="AF2" i="25"/>
  <c r="AA13" i="32"/>
  <c r="AE13" i="25"/>
  <c r="AF13" i="25"/>
  <c r="AM13" i="25"/>
  <c r="Z139" i="32"/>
  <c r="AE6" i="32"/>
  <c r="Z6" i="32" s="1"/>
  <c r="H6" i="25"/>
  <c r="Z77" i="32"/>
  <c r="AA77" i="32"/>
  <c r="Z89" i="32"/>
  <c r="Z113" i="32"/>
  <c r="Z163" i="32"/>
  <c r="Z14" i="32"/>
  <c r="AE184" i="32"/>
  <c r="Z184" i="32" s="1"/>
  <c r="H184" i="25"/>
  <c r="Z267" i="32"/>
  <c r="AA267" i="32"/>
  <c r="Z275" i="32"/>
  <c r="AA275" i="32"/>
  <c r="Z283" i="32"/>
  <c r="AA283" i="32"/>
  <c r="Z34" i="32"/>
  <c r="Z24" i="32"/>
  <c r="AE96" i="32"/>
  <c r="Z96" i="32" s="1"/>
  <c r="H96" i="25"/>
  <c r="Z2" i="32"/>
  <c r="AE63" i="32"/>
  <c r="Z63" i="32" s="1"/>
  <c r="H63" i="25"/>
  <c r="Z36" i="32"/>
  <c r="Z298" i="32"/>
  <c r="H28" i="25"/>
  <c r="F37" i="25"/>
  <c r="A37" i="25" s="1"/>
  <c r="H9" i="25"/>
  <c r="F10" i="25" s="1"/>
  <c r="A10" i="25" s="1"/>
  <c r="F7" i="25"/>
  <c r="A7" i="25" s="1"/>
  <c r="F5" i="4"/>
  <c r="AY18" i="39"/>
  <c r="BX18" i="39" s="1"/>
  <c r="BY18" i="39"/>
  <c r="BY23" i="39"/>
  <c r="BX7" i="39"/>
  <c r="Z72" i="32"/>
  <c r="AA72" i="32"/>
  <c r="AE72" i="25"/>
  <c r="AM72" i="25"/>
  <c r="AF72" i="25"/>
  <c r="AY15" i="39"/>
  <c r="BX15" i="39" s="1"/>
  <c r="BY15" i="39"/>
  <c r="BZ15" i="39" s="1"/>
  <c r="BX10" i="39"/>
  <c r="BY19" i="39"/>
  <c r="BY9" i="39"/>
  <c r="AY9" i="39"/>
  <c r="BX9" i="39" s="1"/>
  <c r="BY5" i="39"/>
  <c r="AY5" i="39"/>
  <c r="BX5" i="39" s="1"/>
  <c r="AE42" i="32"/>
  <c r="H42" i="25"/>
  <c r="Z37" i="32"/>
  <c r="AA37" i="32"/>
  <c r="AE37" i="25"/>
  <c r="AF37" i="25"/>
  <c r="AM37" i="25"/>
  <c r="Z68" i="32"/>
  <c r="AA68" i="32"/>
  <c r="AE68" i="25"/>
  <c r="AM68" i="25" s="1"/>
  <c r="AF68" i="25"/>
  <c r="G503" i="25"/>
  <c r="H503" i="25" s="1"/>
  <c r="AD503" i="25"/>
  <c r="AC313" i="32"/>
  <c r="AQ313" i="25"/>
  <c r="AC331" i="32"/>
  <c r="AQ331" i="25"/>
  <c r="AC347" i="32"/>
  <c r="AQ347" i="25"/>
  <c r="AC363" i="32"/>
  <c r="AQ363" i="25"/>
  <c r="AC376" i="32"/>
  <c r="AQ376" i="25"/>
  <c r="AC380" i="32"/>
  <c r="AQ380" i="25"/>
  <c r="AC384" i="32"/>
  <c r="AQ384" i="25"/>
  <c r="AC389" i="32"/>
  <c r="AQ389" i="25"/>
  <c r="AC318" i="32"/>
  <c r="AQ318" i="25"/>
  <c r="AC336" i="32"/>
  <c r="AQ336" i="25"/>
  <c r="AC352" i="32"/>
  <c r="AQ352" i="25"/>
  <c r="AC368" i="32"/>
  <c r="AQ368" i="25"/>
  <c r="AC315" i="32"/>
  <c r="AQ315" i="25"/>
  <c r="AC329" i="32"/>
  <c r="AQ329" i="25"/>
  <c r="AC345" i="32"/>
  <c r="AQ345" i="25"/>
  <c r="AC361" i="32"/>
  <c r="AQ361" i="25"/>
  <c r="AC388" i="32"/>
  <c r="AQ388" i="25"/>
  <c r="AC312" i="32"/>
  <c r="AQ312" i="25"/>
  <c r="AC328" i="32"/>
  <c r="AQ328" i="25"/>
  <c r="AC342" i="32"/>
  <c r="AQ342" i="25"/>
  <c r="AC358" i="32"/>
  <c r="AQ358" i="25"/>
  <c r="AC374" i="32"/>
  <c r="AQ374" i="25"/>
  <c r="AC418" i="32"/>
  <c r="AQ418" i="25"/>
  <c r="AC426" i="32"/>
  <c r="AQ426" i="25"/>
  <c r="AC434" i="32"/>
  <c r="AQ434" i="25"/>
  <c r="AC442" i="32"/>
  <c r="AQ442" i="25"/>
  <c r="AC456" i="32"/>
  <c r="AQ456" i="25"/>
  <c r="AC393" i="32"/>
  <c r="AQ393" i="25"/>
  <c r="AC397" i="32"/>
  <c r="AQ397" i="25"/>
  <c r="AC401" i="32"/>
  <c r="AQ401" i="25"/>
  <c r="AC405" i="32"/>
  <c r="AQ405" i="25"/>
  <c r="AC409" i="32"/>
  <c r="AQ409" i="25"/>
  <c r="AC457" i="32"/>
  <c r="AQ457" i="25"/>
  <c r="AC413" i="32"/>
  <c r="AQ413" i="25"/>
  <c r="AC421" i="32"/>
  <c r="AQ421" i="25"/>
  <c r="AC429" i="32"/>
  <c r="AQ429" i="25"/>
  <c r="AC437" i="32"/>
  <c r="AQ437" i="25"/>
  <c r="AC446" i="32"/>
  <c r="AQ446" i="25"/>
  <c r="AC462" i="32"/>
  <c r="AQ462" i="25"/>
  <c r="AC451" i="32"/>
  <c r="AQ451" i="25"/>
  <c r="AC467" i="32"/>
  <c r="AQ467" i="25"/>
  <c r="AC477" i="32"/>
  <c r="AQ477" i="25"/>
  <c r="AC494" i="32"/>
  <c r="AQ494" i="25"/>
  <c r="AC487" i="32"/>
  <c r="AQ487" i="25"/>
  <c r="AC484" i="32"/>
  <c r="AQ484" i="25"/>
  <c r="AC471" i="32"/>
  <c r="AQ471" i="25"/>
  <c r="AC485" i="32"/>
  <c r="AQ485" i="25"/>
  <c r="AC498" i="32"/>
  <c r="AQ498" i="25"/>
  <c r="AC479" i="32"/>
  <c r="AQ479" i="25"/>
  <c r="G500" i="25"/>
  <c r="AM500" i="32"/>
  <c r="AD500" i="25"/>
  <c r="B500" i="25"/>
  <c r="AD412" i="25"/>
  <c r="G412" i="25"/>
  <c r="AM412" i="32"/>
  <c r="B412" i="25"/>
  <c r="AD488" i="25"/>
  <c r="G488" i="25"/>
  <c r="AM488" i="32"/>
  <c r="B488" i="25"/>
  <c r="AD480" i="25"/>
  <c r="G480" i="25"/>
  <c r="AM480" i="32"/>
  <c r="B480" i="25"/>
  <c r="AD472" i="25"/>
  <c r="G472" i="25"/>
  <c r="AM472" i="32"/>
  <c r="B472" i="25"/>
  <c r="AD464" i="25"/>
  <c r="G464" i="25"/>
  <c r="AM464" i="32"/>
  <c r="B464" i="25"/>
  <c r="AD456" i="25"/>
  <c r="G456" i="25"/>
  <c r="AM456" i="32"/>
  <c r="B456" i="25"/>
  <c r="AD448" i="25"/>
  <c r="G448" i="25"/>
  <c r="AM448" i="32"/>
  <c r="B448" i="25"/>
  <c r="AD440" i="25"/>
  <c r="G440" i="25"/>
  <c r="AM440" i="32"/>
  <c r="B440" i="25"/>
  <c r="AD432" i="25"/>
  <c r="G432" i="25"/>
  <c r="AM432" i="32"/>
  <c r="B432" i="25"/>
  <c r="AD422" i="25"/>
  <c r="G422" i="25"/>
  <c r="AM422" i="32"/>
  <c r="B422" i="25"/>
  <c r="AD408" i="25"/>
  <c r="G408" i="25"/>
  <c r="AM408" i="32"/>
  <c r="B408" i="25"/>
  <c r="AD425" i="25"/>
  <c r="G425" i="25"/>
  <c r="AM425" i="32"/>
  <c r="B425" i="25"/>
  <c r="AD417" i="25"/>
  <c r="G417" i="25"/>
  <c r="B417" i="25" s="1"/>
  <c r="AM417" i="32"/>
  <c r="AD409" i="25"/>
  <c r="G409" i="25"/>
  <c r="B409" i="25" s="1"/>
  <c r="AM409" i="32"/>
  <c r="AD401" i="25"/>
  <c r="G401" i="25"/>
  <c r="B401" i="25" s="1"/>
  <c r="AM401" i="32"/>
  <c r="AD393" i="25"/>
  <c r="G393" i="25"/>
  <c r="B393" i="25" s="1"/>
  <c r="AM393" i="32"/>
  <c r="AD385" i="25"/>
  <c r="G385" i="25"/>
  <c r="B385" i="25" s="1"/>
  <c r="AM385" i="32"/>
  <c r="AD377" i="25"/>
  <c r="G377" i="25"/>
  <c r="B377" i="25" s="1"/>
  <c r="AM377" i="32"/>
  <c r="AD369" i="25"/>
  <c r="AM369" i="32"/>
  <c r="G369" i="25"/>
  <c r="AD361" i="25"/>
  <c r="AM361" i="32"/>
  <c r="G361" i="25"/>
  <c r="B361" i="25" s="1"/>
  <c r="AD353" i="25"/>
  <c r="AM353" i="32"/>
  <c r="G353" i="25"/>
  <c r="AD345" i="25"/>
  <c r="AM345" i="32"/>
  <c r="G345" i="25"/>
  <c r="AD337" i="25"/>
  <c r="AM337" i="32"/>
  <c r="G337" i="25"/>
  <c r="AD329" i="25"/>
  <c r="AM329" i="32"/>
  <c r="G329" i="25"/>
  <c r="B329" i="25"/>
  <c r="AD321" i="25"/>
  <c r="AM321" i="32"/>
  <c r="G321" i="25"/>
  <c r="B321" i="25"/>
  <c r="AD313" i="25"/>
  <c r="AM313" i="32"/>
  <c r="G313" i="25"/>
  <c r="B313" i="25"/>
  <c r="AD392" i="25"/>
  <c r="G392" i="25"/>
  <c r="B392" i="25" s="1"/>
  <c r="AM392" i="32"/>
  <c r="AD384" i="25"/>
  <c r="G384" i="25"/>
  <c r="B384" i="25" s="1"/>
  <c r="AM384" i="32"/>
  <c r="AD376" i="25"/>
  <c r="G376" i="25"/>
  <c r="B376" i="25" s="1"/>
  <c r="AM376" i="32"/>
  <c r="AD368" i="25"/>
  <c r="AM368" i="32"/>
  <c r="G368" i="25"/>
  <c r="AD360" i="25"/>
  <c r="AM360" i="32"/>
  <c r="G360" i="25"/>
  <c r="AD352" i="25"/>
  <c r="AM352" i="32"/>
  <c r="G352" i="25"/>
  <c r="B352" i="25"/>
  <c r="AD344" i="25"/>
  <c r="AM344" i="32"/>
  <c r="G344" i="25"/>
  <c r="AD336" i="25"/>
  <c r="AM336" i="32"/>
  <c r="G336" i="25"/>
  <c r="AD328" i="25"/>
  <c r="AM328" i="32"/>
  <c r="G328" i="25"/>
  <c r="AD320" i="25"/>
  <c r="AM320" i="32"/>
  <c r="G320" i="25"/>
  <c r="B320" i="25" s="1"/>
  <c r="AD312" i="25"/>
  <c r="AM312" i="32"/>
  <c r="G312" i="25"/>
  <c r="AD423" i="25"/>
  <c r="G423" i="25"/>
  <c r="AM423" i="32"/>
  <c r="B423" i="25"/>
  <c r="AD415" i="25"/>
  <c r="G415" i="25"/>
  <c r="AM415" i="32"/>
  <c r="B415" i="25"/>
  <c r="AD407" i="25"/>
  <c r="G407" i="25"/>
  <c r="AM407" i="32"/>
  <c r="B407" i="25"/>
  <c r="AD399" i="25"/>
  <c r="G399" i="25"/>
  <c r="AM399" i="32"/>
  <c r="B399" i="25"/>
  <c r="AD391" i="25"/>
  <c r="G391" i="25"/>
  <c r="AM391" i="32"/>
  <c r="B391" i="25"/>
  <c r="AD383" i="25"/>
  <c r="G383" i="25"/>
  <c r="AM383" i="32"/>
  <c r="B383" i="25"/>
  <c r="AD375" i="25"/>
  <c r="AM375" i="32"/>
  <c r="G375" i="25"/>
  <c r="B375" i="25"/>
  <c r="AD367" i="25"/>
  <c r="AM367" i="32"/>
  <c r="G367" i="25"/>
  <c r="AD359" i="25"/>
  <c r="AM359" i="32"/>
  <c r="G359" i="25"/>
  <c r="AD351" i="25"/>
  <c r="AM351" i="32"/>
  <c r="G351" i="25"/>
  <c r="B351" i="25"/>
  <c r="AD343" i="25"/>
  <c r="AM343" i="32"/>
  <c r="G343" i="25"/>
  <c r="B343" i="25"/>
  <c r="AD335" i="25"/>
  <c r="AM335" i="32"/>
  <c r="G335" i="25"/>
  <c r="AD327" i="25"/>
  <c r="AM327" i="32"/>
  <c r="G327" i="25"/>
  <c r="B327" i="25" s="1"/>
  <c r="AD319" i="25"/>
  <c r="AM319" i="32"/>
  <c r="G319" i="25"/>
  <c r="B319" i="25" s="1"/>
  <c r="AD311" i="25"/>
  <c r="AM311" i="32"/>
  <c r="G311" i="25"/>
  <c r="B311" i="25" s="1"/>
  <c r="AD406" i="25"/>
  <c r="G406" i="25"/>
  <c r="B406" i="25" s="1"/>
  <c r="AM406" i="32"/>
  <c r="AD398" i="25"/>
  <c r="G398" i="25"/>
  <c r="B398" i="25" s="1"/>
  <c r="AM398" i="32"/>
  <c r="AD390" i="25"/>
  <c r="G390" i="25"/>
  <c r="B390" i="25" s="1"/>
  <c r="AM390" i="32"/>
  <c r="AD382" i="25"/>
  <c r="G382" i="25"/>
  <c r="B382" i="25" s="1"/>
  <c r="AM382" i="32"/>
  <c r="AD374" i="25"/>
  <c r="AM374" i="32"/>
  <c r="G374" i="25"/>
  <c r="AD366" i="25"/>
  <c r="AM366" i="32"/>
  <c r="G366" i="25"/>
  <c r="AD358" i="25"/>
  <c r="AM358" i="32"/>
  <c r="G358" i="25"/>
  <c r="B358" i="25" s="1"/>
  <c r="AD350" i="25"/>
  <c r="AM350" i="32"/>
  <c r="G350" i="25"/>
  <c r="B350" i="25" s="1"/>
  <c r="AD342" i="25"/>
  <c r="AM342" i="32"/>
  <c r="G342" i="25"/>
  <c r="AD334" i="25"/>
  <c r="AM334" i="32"/>
  <c r="G334" i="25"/>
  <c r="AD326" i="25"/>
  <c r="AM326" i="32"/>
  <c r="G326" i="25"/>
  <c r="B326" i="25" s="1"/>
  <c r="AD318" i="25"/>
  <c r="AM318" i="32"/>
  <c r="G318" i="25"/>
  <c r="B318" i="25" s="1"/>
  <c r="AD310" i="25"/>
  <c r="AM310" i="32"/>
  <c r="G310" i="25"/>
  <c r="B310" i="25" s="1"/>
  <c r="AD504" i="25"/>
  <c r="G504" i="25"/>
  <c r="H504" i="25" s="1"/>
  <c r="AC317" i="32"/>
  <c r="AQ317" i="25"/>
  <c r="AC335" i="32"/>
  <c r="AQ335" i="25"/>
  <c r="AC351" i="32"/>
  <c r="AQ351" i="25"/>
  <c r="AC367" i="32"/>
  <c r="AQ367" i="25"/>
  <c r="AC377" i="32"/>
  <c r="AQ377" i="25"/>
  <c r="AC381" i="32"/>
  <c r="AQ381" i="25"/>
  <c r="AC385" i="32"/>
  <c r="AQ385" i="25"/>
  <c r="AC391" i="32"/>
  <c r="AQ391" i="25"/>
  <c r="AC322" i="32"/>
  <c r="AQ322" i="25"/>
  <c r="AC340" i="32"/>
  <c r="AQ340" i="25"/>
  <c r="AC356" i="32"/>
  <c r="AQ356" i="25"/>
  <c r="AC372" i="32"/>
  <c r="AQ372" i="25"/>
  <c r="AC319" i="32"/>
  <c r="AQ319" i="25"/>
  <c r="AC333" i="32"/>
  <c r="AQ333" i="25"/>
  <c r="AC349" i="32"/>
  <c r="AQ349" i="25"/>
  <c r="AC365" i="32"/>
  <c r="AQ365" i="25"/>
  <c r="AC390" i="32"/>
  <c r="AQ390" i="25"/>
  <c r="AC316" i="32"/>
  <c r="AQ316" i="25"/>
  <c r="AC330" i="32"/>
  <c r="AQ330" i="25"/>
  <c r="AC346" i="32"/>
  <c r="AQ346" i="25"/>
  <c r="AC362" i="32"/>
  <c r="AQ362" i="25"/>
  <c r="AC412" i="32"/>
  <c r="AQ412" i="25"/>
  <c r="AC420" i="32"/>
  <c r="AQ420" i="25"/>
  <c r="AC428" i="32"/>
  <c r="AQ428" i="25"/>
  <c r="AC436" i="32"/>
  <c r="AQ436" i="25"/>
  <c r="AC444" i="32"/>
  <c r="AQ444" i="25"/>
  <c r="AC460" i="32"/>
  <c r="AQ460" i="25"/>
  <c r="AC394" i="32"/>
  <c r="AQ394" i="25"/>
  <c r="AC398" i="32"/>
  <c r="AQ398" i="25"/>
  <c r="AC402" i="32"/>
  <c r="AQ402" i="25"/>
  <c r="AC406" i="32"/>
  <c r="AQ406" i="25"/>
  <c r="AC445" i="32"/>
  <c r="AQ445" i="25"/>
  <c r="AC461" i="32"/>
  <c r="AQ461" i="25"/>
  <c r="AC415" i="32"/>
  <c r="AQ415" i="25"/>
  <c r="AC423" i="32"/>
  <c r="AQ423" i="25"/>
  <c r="AC431" i="32"/>
  <c r="AQ431" i="25"/>
  <c r="AC439" i="32"/>
  <c r="AQ439" i="25"/>
  <c r="AC450" i="32"/>
  <c r="AQ450" i="25"/>
  <c r="AC466" i="32"/>
  <c r="AQ466" i="25"/>
  <c r="AC455" i="32"/>
  <c r="AQ455" i="25"/>
  <c r="AC410" i="32"/>
  <c r="AQ410" i="25"/>
  <c r="AC482" i="32"/>
  <c r="AQ482" i="25"/>
  <c r="AC474" i="32"/>
  <c r="AQ474" i="25"/>
  <c r="AC491" i="32"/>
  <c r="AQ491" i="25"/>
  <c r="AC488" i="32"/>
  <c r="AQ488" i="25"/>
  <c r="AC472" i="32"/>
  <c r="AQ472" i="25"/>
  <c r="AC489" i="32"/>
  <c r="AQ489" i="25"/>
  <c r="AC499" i="32"/>
  <c r="AQ499" i="25"/>
  <c r="AC480" i="32"/>
  <c r="AQ480" i="25"/>
  <c r="G496" i="25"/>
  <c r="AM496" i="32"/>
  <c r="AD496" i="25"/>
  <c r="AD495" i="25"/>
  <c r="G495" i="25"/>
  <c r="AM495" i="32"/>
  <c r="B495" i="25"/>
  <c r="AD487" i="25"/>
  <c r="G487" i="25"/>
  <c r="AM487" i="32"/>
  <c r="B487" i="25"/>
  <c r="AD479" i="25"/>
  <c r="G479" i="25"/>
  <c r="AM479" i="32"/>
  <c r="B479" i="25"/>
  <c r="AD471" i="25"/>
  <c r="G471" i="25"/>
  <c r="AM471" i="32"/>
  <c r="B471" i="25"/>
  <c r="AD463" i="25"/>
  <c r="G463" i="25"/>
  <c r="AM463" i="32"/>
  <c r="B463" i="25"/>
  <c r="AD455" i="25"/>
  <c r="G455" i="25"/>
  <c r="AM455" i="32"/>
  <c r="B455" i="25"/>
  <c r="AD447" i="25"/>
  <c r="G447" i="25"/>
  <c r="AM447" i="32"/>
  <c r="B447" i="25"/>
  <c r="AD439" i="25"/>
  <c r="G439" i="25"/>
  <c r="AM439" i="32"/>
  <c r="B439" i="25"/>
  <c r="AD431" i="25"/>
  <c r="G431" i="25"/>
  <c r="AM431" i="32"/>
  <c r="B431" i="25"/>
  <c r="G494" i="25"/>
  <c r="AD494" i="25"/>
  <c r="AM494" i="32"/>
  <c r="B494" i="25"/>
  <c r="AD486" i="25"/>
  <c r="G486" i="25"/>
  <c r="AM486" i="32"/>
  <c r="B486" i="25"/>
  <c r="AD478" i="25"/>
  <c r="G478" i="25"/>
  <c r="AM478" i="32"/>
  <c r="B478" i="25"/>
  <c r="AD470" i="25"/>
  <c r="G470" i="25"/>
  <c r="AM470" i="32"/>
  <c r="B470" i="25"/>
  <c r="AD462" i="25"/>
  <c r="G462" i="25"/>
  <c r="B462" i="25" s="1"/>
  <c r="AM462" i="32"/>
  <c r="AD454" i="25"/>
  <c r="G454" i="25"/>
  <c r="B454" i="25" s="1"/>
  <c r="AM454" i="32"/>
  <c r="AD446" i="25"/>
  <c r="G446" i="25"/>
  <c r="B446" i="25" s="1"/>
  <c r="AM446" i="32"/>
  <c r="AD438" i="25"/>
  <c r="G438" i="25"/>
  <c r="B438" i="25" s="1"/>
  <c r="AM438" i="32"/>
  <c r="AD430" i="25"/>
  <c r="G430" i="25"/>
  <c r="B430" i="25" s="1"/>
  <c r="AM430" i="32"/>
  <c r="AD424" i="25"/>
  <c r="G424" i="25"/>
  <c r="B424" i="25" s="1"/>
  <c r="AM424" i="32"/>
  <c r="AC501" i="32"/>
  <c r="AQ501" i="25"/>
  <c r="AD493" i="25"/>
  <c r="G493" i="25"/>
  <c r="AM493" i="32"/>
  <c r="B493" i="25"/>
  <c r="AD485" i="25"/>
  <c r="G485" i="25"/>
  <c r="AM485" i="32"/>
  <c r="B485" i="25"/>
  <c r="AD477" i="25"/>
  <c r="G477" i="25"/>
  <c r="AM477" i="32"/>
  <c r="B477" i="25"/>
  <c r="AD469" i="25"/>
  <c r="G469" i="25"/>
  <c r="AM469" i="32"/>
  <c r="B469" i="25"/>
  <c r="AD461" i="25"/>
  <c r="G461" i="25"/>
  <c r="AM461" i="32"/>
  <c r="B461" i="25"/>
  <c r="AD453" i="25"/>
  <c r="G453" i="25"/>
  <c r="B453" i="25" s="1"/>
  <c r="AM453" i="32"/>
  <c r="AD445" i="25"/>
  <c r="G445" i="25"/>
  <c r="B445" i="25" s="1"/>
  <c r="AM445" i="32"/>
  <c r="AD437" i="25"/>
  <c r="G437" i="25"/>
  <c r="B437" i="25" s="1"/>
  <c r="AM437" i="32"/>
  <c r="AD429" i="25"/>
  <c r="G429" i="25"/>
  <c r="B429" i="25" s="1"/>
  <c r="AM429" i="32"/>
  <c r="AD418" i="25"/>
  <c r="G418" i="25"/>
  <c r="B418" i="25" s="1"/>
  <c r="AM418" i="32"/>
  <c r="AD404" i="25"/>
  <c r="G404" i="25"/>
  <c r="B404" i="25" s="1"/>
  <c r="AM404" i="32"/>
  <c r="AE74" i="32"/>
  <c r="H74" i="25"/>
  <c r="AA54" i="32"/>
  <c r="AE54" i="25"/>
  <c r="AF54" i="25"/>
  <c r="AM54" i="25"/>
  <c r="AY22" i="39"/>
  <c r="BX22" i="39" s="1"/>
  <c r="BY22" i="39"/>
  <c r="AY17" i="39"/>
  <c r="BX17" i="39" s="1"/>
  <c r="BY17" i="39"/>
  <c r="BY8" i="39"/>
  <c r="AY8" i="39"/>
  <c r="Z15" i="32"/>
  <c r="AA15" i="32"/>
  <c r="AE16" i="25"/>
  <c r="AE20" i="25"/>
  <c r="AE24" i="25"/>
  <c r="AE28" i="25"/>
  <c r="AE32" i="25"/>
  <c r="AF40" i="25"/>
  <c r="AE43" i="25"/>
  <c r="AE47" i="25"/>
  <c r="AE52" i="25"/>
  <c r="AE56" i="25"/>
  <c r="AE57" i="25"/>
  <c r="AE61" i="25"/>
  <c r="AE65" i="25"/>
  <c r="AE69" i="25"/>
  <c r="AE73" i="25"/>
  <c r="AE78" i="25"/>
  <c r="AE82" i="25"/>
  <c r="AE86" i="25"/>
  <c r="AE90" i="25"/>
  <c r="AE94" i="25"/>
  <c r="AE99" i="25"/>
  <c r="AE103" i="25"/>
  <c r="AF105" i="25"/>
  <c r="AE108" i="25"/>
  <c r="AE112" i="25"/>
  <c r="AE116" i="25"/>
  <c r="AE120" i="25"/>
  <c r="AE124" i="25"/>
  <c r="AE128" i="25"/>
  <c r="AE132" i="25"/>
  <c r="AE136" i="25"/>
  <c r="AE140" i="25"/>
  <c r="AE144" i="25"/>
  <c r="AE148" i="25"/>
  <c r="AE152" i="25"/>
  <c r="AE156" i="25"/>
  <c r="AE160" i="25"/>
  <c r="AE164" i="25"/>
  <c r="AE168" i="25"/>
  <c r="AE172" i="25"/>
  <c r="AE176" i="25"/>
  <c r="AE180" i="25"/>
  <c r="AE184" i="25"/>
  <c r="AE188" i="25"/>
  <c r="AE192" i="25"/>
  <c r="AE196" i="25"/>
  <c r="AE200" i="25"/>
  <c r="AE204" i="25"/>
  <c r="AE208" i="25"/>
  <c r="AE212" i="25"/>
  <c r="AE216" i="25"/>
  <c r="AE220" i="25"/>
  <c r="AE224" i="25"/>
  <c r="AE228" i="25"/>
  <c r="AE232" i="25"/>
  <c r="AE236" i="25"/>
  <c r="AE240" i="25"/>
  <c r="AE244" i="25"/>
  <c r="AE248" i="25"/>
  <c r="AE252" i="25"/>
  <c r="AE256" i="25"/>
  <c r="AE260" i="25"/>
  <c r="AE264" i="25"/>
  <c r="AE268" i="25"/>
  <c r="AE272" i="25"/>
  <c r="AE276" i="25"/>
  <c r="AE280" i="25"/>
  <c r="AE284" i="25"/>
  <c r="AE288" i="25"/>
  <c r="AE292" i="25"/>
  <c r="AE296" i="25"/>
  <c r="AE300" i="25"/>
  <c r="AE304" i="25"/>
  <c r="AE15" i="25"/>
  <c r="AM15" i="25" s="1"/>
  <c r="AE23" i="25"/>
  <c r="AE27" i="25"/>
  <c r="AE31" i="25"/>
  <c r="AF33" i="25"/>
  <c r="AE36" i="25"/>
  <c r="AF38" i="25"/>
  <c r="AE42" i="25"/>
  <c r="AE46" i="25"/>
  <c r="AE50" i="25"/>
  <c r="AE51" i="25"/>
  <c r="AE55" i="25"/>
  <c r="AE60" i="25"/>
  <c r="AE76" i="25"/>
  <c r="AE77" i="25"/>
  <c r="AE81" i="25"/>
  <c r="AE85" i="25"/>
  <c r="AE89" i="25"/>
  <c r="AE93" i="25"/>
  <c r="AE97" i="25"/>
  <c r="AE98" i="25"/>
  <c r="AE102" i="25"/>
  <c r="AE107" i="25"/>
  <c r="AE111" i="25"/>
  <c r="AE115" i="25"/>
  <c r="AE119" i="25"/>
  <c r="AE123" i="25"/>
  <c r="AE127" i="25"/>
  <c r="AE131" i="25"/>
  <c r="AE135" i="25"/>
  <c r="AE139" i="25"/>
  <c r="AE143" i="25"/>
  <c r="AE147" i="25"/>
  <c r="AE151" i="25"/>
  <c r="AE155" i="25"/>
  <c r="AE159" i="25"/>
  <c r="AE163" i="25"/>
  <c r="AE167" i="25"/>
  <c r="AE171" i="25"/>
  <c r="AE175" i="25"/>
  <c r="AE179" i="25"/>
  <c r="AE183" i="25"/>
  <c r="AE187" i="25"/>
  <c r="AE191" i="25"/>
  <c r="AE195" i="25"/>
  <c r="AE199" i="25"/>
  <c r="AE203" i="25"/>
  <c r="AE207" i="25"/>
  <c r="AE18" i="25"/>
  <c r="AE22" i="25"/>
  <c r="AE26" i="25"/>
  <c r="AE30" i="25"/>
  <c r="AE35" i="25"/>
  <c r="AE40" i="25"/>
  <c r="AE41" i="25"/>
  <c r="AE45" i="25"/>
  <c r="AE49" i="25"/>
  <c r="AF56" i="25"/>
  <c r="AE59" i="25"/>
  <c r="AE63" i="25"/>
  <c r="AE67" i="25"/>
  <c r="AE71" i="25"/>
  <c r="AE75" i="25"/>
  <c r="AE80" i="25"/>
  <c r="AE84" i="25"/>
  <c r="AE88" i="25"/>
  <c r="AE92" i="25"/>
  <c r="AE96" i="25"/>
  <c r="AE101" i="25"/>
  <c r="AE105" i="25"/>
  <c r="AE106" i="25"/>
  <c r="AE110" i="25"/>
  <c r="AE114" i="25"/>
  <c r="AE118" i="25"/>
  <c r="AE122" i="25"/>
  <c r="AE126" i="25"/>
  <c r="AE130" i="25"/>
  <c r="AE134" i="25"/>
  <c r="AE138" i="25"/>
  <c r="AE142" i="25"/>
  <c r="AE146" i="25"/>
  <c r="AE150" i="25"/>
  <c r="AE154" i="25"/>
  <c r="AE158" i="25"/>
  <c r="AE162" i="25"/>
  <c r="AE166" i="25"/>
  <c r="AE170" i="25"/>
  <c r="AE174" i="25"/>
  <c r="AE178" i="25"/>
  <c r="AE182" i="25"/>
  <c r="AE186" i="25"/>
  <c r="AE190" i="25"/>
  <c r="AE194" i="25"/>
  <c r="AE198" i="25"/>
  <c r="AE202" i="25"/>
  <c r="AE206" i="25"/>
  <c r="AE210" i="25"/>
  <c r="AE214" i="25"/>
  <c r="AE218" i="25"/>
  <c r="AE222" i="25"/>
  <c r="AE17" i="25"/>
  <c r="AE25" i="25"/>
  <c r="AE33" i="25"/>
  <c r="AE38" i="25"/>
  <c r="AE109" i="25"/>
  <c r="AE117" i="25"/>
  <c r="AE125" i="25"/>
  <c r="AE133" i="25"/>
  <c r="AE141" i="25"/>
  <c r="AE149" i="25"/>
  <c r="AE157" i="25"/>
  <c r="AE165" i="25"/>
  <c r="AE173" i="25"/>
  <c r="AE181" i="25"/>
  <c r="AE189" i="25"/>
  <c r="AE197" i="25"/>
  <c r="AE205" i="25"/>
  <c r="AE227" i="25"/>
  <c r="AE230" i="25"/>
  <c r="AE235" i="25"/>
  <c r="AE238" i="25"/>
  <c r="AE243" i="25"/>
  <c r="AE246" i="25"/>
  <c r="AE251" i="25"/>
  <c r="AE254" i="25"/>
  <c r="AE259" i="25"/>
  <c r="AE262" i="25"/>
  <c r="AE267" i="25"/>
  <c r="AE270" i="25"/>
  <c r="AE275" i="25"/>
  <c r="AE278" i="25"/>
  <c r="AE283" i="25"/>
  <c r="AE286" i="25"/>
  <c r="AE291" i="25"/>
  <c r="AE294" i="25"/>
  <c r="AE299" i="25"/>
  <c r="AE302" i="25"/>
  <c r="AF18" i="25"/>
  <c r="AF22" i="25"/>
  <c r="AF26" i="25"/>
  <c r="AF30" i="25"/>
  <c r="AF43" i="25"/>
  <c r="AF47" i="25"/>
  <c r="AF57" i="25"/>
  <c r="AF61" i="25"/>
  <c r="AF65" i="25"/>
  <c r="AF69" i="25"/>
  <c r="AF73" i="25"/>
  <c r="AF80" i="25"/>
  <c r="AF84" i="25"/>
  <c r="AF122" i="25"/>
  <c r="AF163" i="25"/>
  <c r="AF226" i="25"/>
  <c r="AF87" i="25"/>
  <c r="AF89" i="25"/>
  <c r="AF91" i="25"/>
  <c r="AF93" i="25"/>
  <c r="AF95" i="25"/>
  <c r="AF106" i="25"/>
  <c r="AF108" i="25"/>
  <c r="AF110" i="25"/>
  <c r="AF112" i="25"/>
  <c r="AF114" i="25"/>
  <c r="AF116" i="25"/>
  <c r="AF118" i="25"/>
  <c r="AF123" i="25"/>
  <c r="AF125" i="25"/>
  <c r="AF140" i="25"/>
  <c r="AF142" i="25"/>
  <c r="AF144" i="25"/>
  <c r="AF146" i="25"/>
  <c r="AF148" i="25"/>
  <c r="AF150" i="25"/>
  <c r="AF152" i="25"/>
  <c r="AE44" i="25"/>
  <c r="AE62" i="25"/>
  <c r="AE70" i="25"/>
  <c r="AE83" i="25"/>
  <c r="AE91" i="25"/>
  <c r="AE104" i="25"/>
  <c r="AE229" i="25"/>
  <c r="AE237" i="25"/>
  <c r="AE245" i="25"/>
  <c r="AE253" i="25"/>
  <c r="AE261" i="25"/>
  <c r="AE269" i="25"/>
  <c r="AE277" i="25"/>
  <c r="AE285" i="25"/>
  <c r="AE293" i="25"/>
  <c r="AE301" i="25"/>
  <c r="AE21" i="25"/>
  <c r="AE34" i="25"/>
  <c r="AE39" i="25"/>
  <c r="AE113" i="25"/>
  <c r="AE121" i="25"/>
  <c r="AE129" i="25"/>
  <c r="AE137" i="25"/>
  <c r="AE145" i="25"/>
  <c r="AE153" i="25"/>
  <c r="AE161" i="25"/>
  <c r="AE169" i="25"/>
  <c r="AE177" i="25"/>
  <c r="AE185" i="25"/>
  <c r="AE193" i="25"/>
  <c r="AE201" i="25"/>
  <c r="AE209" i="25"/>
  <c r="AE211" i="25"/>
  <c r="AE213" i="25"/>
  <c r="AE215" i="25"/>
  <c r="AE217" i="25"/>
  <c r="AE219" i="25"/>
  <c r="AE221" i="25"/>
  <c r="AE223" i="25"/>
  <c r="AE226" i="25"/>
  <c r="AE231" i="25"/>
  <c r="AE234" i="25"/>
  <c r="AE239" i="25"/>
  <c r="AE242" i="25"/>
  <c r="AE247" i="25"/>
  <c r="AE250" i="25"/>
  <c r="AE255" i="25"/>
  <c r="AE258" i="25"/>
  <c r="AE263" i="25"/>
  <c r="AE266" i="25"/>
  <c r="AE271" i="25"/>
  <c r="AE274" i="25"/>
  <c r="AE279" i="25"/>
  <c r="AE282" i="25"/>
  <c r="AE287" i="25"/>
  <c r="AE290" i="25"/>
  <c r="AE295" i="25"/>
  <c r="AE298" i="25"/>
  <c r="AE303" i="25"/>
  <c r="AE306" i="25"/>
  <c r="AF16" i="25"/>
  <c r="AF20" i="25"/>
  <c r="AF24" i="25"/>
  <c r="AF28" i="25"/>
  <c r="AF32" i="25"/>
  <c r="AF35" i="25"/>
  <c r="AF41" i="25"/>
  <c r="AF45" i="25"/>
  <c r="AF49" i="25"/>
  <c r="AF52" i="25"/>
  <c r="AF59" i="25"/>
  <c r="AF63" i="25"/>
  <c r="AF67" i="25"/>
  <c r="AF71" i="25"/>
  <c r="AF75" i="25"/>
  <c r="AF78" i="25"/>
  <c r="AF82" i="25"/>
  <c r="AF86" i="25"/>
  <c r="AF88" i="25"/>
  <c r="AF90" i="25"/>
  <c r="AF92" i="25"/>
  <c r="AF94" i="25"/>
  <c r="AF96" i="25"/>
  <c r="AF107" i="25"/>
  <c r="AF109" i="25"/>
  <c r="AF111" i="25"/>
  <c r="AF113" i="25"/>
  <c r="AF115" i="25"/>
  <c r="AF117" i="25"/>
  <c r="AF119" i="25"/>
  <c r="AF124" i="25"/>
  <c r="AF141" i="25"/>
  <c r="AF143" i="25"/>
  <c r="AF145" i="25"/>
  <c r="AF147" i="25"/>
  <c r="AF149" i="25"/>
  <c r="AF151" i="25"/>
  <c r="AF153" i="25"/>
  <c r="AE48" i="25"/>
  <c r="AF50" i="25"/>
  <c r="AE53" i="25"/>
  <c r="AE66" i="25"/>
  <c r="AE74" i="25"/>
  <c r="AF76" i="25"/>
  <c r="AE79" i="25"/>
  <c r="AE87" i="25"/>
  <c r="AE95" i="25"/>
  <c r="AF97" i="25"/>
  <c r="AE100" i="25"/>
  <c r="AE225" i="25"/>
  <c r="AE233" i="25"/>
  <c r="AE241" i="25"/>
  <c r="AE249" i="25"/>
  <c r="AE257" i="25"/>
  <c r="AE265" i="25"/>
  <c r="AE273" i="25"/>
  <c r="AE281" i="25"/>
  <c r="AE289" i="25"/>
  <c r="AE297" i="25"/>
  <c r="AE305" i="25"/>
  <c r="AF15" i="25"/>
  <c r="AF23" i="25"/>
  <c r="AF27" i="25"/>
  <c r="AF31" i="25"/>
  <c r="AF34" i="25"/>
  <c r="AF44" i="25"/>
  <c r="AF48" i="25"/>
  <c r="AF51" i="25"/>
  <c r="AF55" i="25"/>
  <c r="AF62" i="25"/>
  <c r="AF66" i="25"/>
  <c r="AF70" i="25"/>
  <c r="AF74" i="25"/>
  <c r="AF77" i="25"/>
  <c r="AF81" i="25"/>
  <c r="AF85" i="25"/>
  <c r="AF139" i="25"/>
  <c r="AF173" i="25"/>
  <c r="AF206" i="25"/>
  <c r="AF99" i="25"/>
  <c r="AF101" i="25"/>
  <c r="AF103" i="25"/>
  <c r="AF127" i="25"/>
  <c r="AF129" i="25"/>
  <c r="AF131" i="25"/>
  <c r="AF133" i="25"/>
  <c r="AF135" i="25"/>
  <c r="AF137" i="25"/>
  <c r="AF164" i="25"/>
  <c r="AF166" i="25"/>
  <c r="AF168" i="25"/>
  <c r="AF39" i="25"/>
  <c r="AF79" i="25"/>
  <c r="AF120" i="25"/>
  <c r="AF98" i="25"/>
  <c r="AF132" i="25"/>
  <c r="AF228" i="25"/>
  <c r="AF230" i="25"/>
  <c r="AF232" i="25"/>
  <c r="AF234" i="25"/>
  <c r="AF236" i="25"/>
  <c r="AF238" i="25"/>
  <c r="AF240" i="25"/>
  <c r="AF242" i="25"/>
  <c r="AF244" i="25"/>
  <c r="AF246" i="25"/>
  <c r="AF248" i="25"/>
  <c r="AF250" i="25"/>
  <c r="AF252" i="25"/>
  <c r="AF254" i="25"/>
  <c r="AF256" i="25"/>
  <c r="AF258" i="25"/>
  <c r="AF260" i="25"/>
  <c r="AF262" i="25"/>
  <c r="AF264" i="25"/>
  <c r="AF266" i="25"/>
  <c r="AF268" i="25"/>
  <c r="AF270" i="25"/>
  <c r="AF272" i="25"/>
  <c r="AF274" i="25"/>
  <c r="AF276" i="25"/>
  <c r="AF278" i="25"/>
  <c r="AF280" i="25"/>
  <c r="AF282" i="25"/>
  <c r="AF284" i="25"/>
  <c r="AF286" i="25"/>
  <c r="AF288" i="25"/>
  <c r="AF290" i="25"/>
  <c r="AF292" i="25"/>
  <c r="AF294" i="25"/>
  <c r="AF296" i="25"/>
  <c r="AF298" i="25"/>
  <c r="AF300" i="25"/>
  <c r="AF302" i="25"/>
  <c r="AF304" i="25"/>
  <c r="AF306" i="25"/>
  <c r="AF21" i="25"/>
  <c r="AF46" i="25"/>
  <c r="AF60" i="25"/>
  <c r="AF104" i="25"/>
  <c r="AF121" i="25"/>
  <c r="AF130" i="25"/>
  <c r="AF138" i="25"/>
  <c r="AF154" i="25"/>
  <c r="AF155" i="25"/>
  <c r="AF156" i="25"/>
  <c r="AF157" i="25"/>
  <c r="AF158" i="25"/>
  <c r="AF159" i="25"/>
  <c r="AF160" i="25"/>
  <c r="AF161" i="25"/>
  <c r="AF162" i="25"/>
  <c r="AF170" i="25"/>
  <c r="AF172" i="25"/>
  <c r="AF175" i="25"/>
  <c r="AF177" i="25"/>
  <c r="AF179" i="25"/>
  <c r="AF181" i="25"/>
  <c r="AF183" i="25"/>
  <c r="AF185" i="25"/>
  <c r="AF187" i="25"/>
  <c r="AF189" i="25"/>
  <c r="AF191" i="25"/>
  <c r="AF193" i="25"/>
  <c r="AF195" i="25"/>
  <c r="AF197" i="25"/>
  <c r="AF199" i="25"/>
  <c r="AF201" i="25"/>
  <c r="AF203" i="25"/>
  <c r="AF208" i="25"/>
  <c r="AF210" i="25"/>
  <c r="AF212" i="25"/>
  <c r="AF214" i="25"/>
  <c r="AF216" i="25"/>
  <c r="AF218" i="25"/>
  <c r="AF220" i="25"/>
  <c r="AF222" i="25"/>
  <c r="AF224" i="25"/>
  <c r="AF36" i="25"/>
  <c r="AF53" i="25"/>
  <c r="AF83" i="25"/>
  <c r="AF126" i="25"/>
  <c r="AF102" i="25"/>
  <c r="AF128" i="25"/>
  <c r="AF136" i="25"/>
  <c r="AF167" i="25"/>
  <c r="AF227" i="25"/>
  <c r="AF229" i="25"/>
  <c r="AF231" i="25"/>
  <c r="AF233" i="25"/>
  <c r="AF235" i="25"/>
  <c r="AF237" i="25"/>
  <c r="AF239" i="25"/>
  <c r="AF241" i="25"/>
  <c r="AF243" i="25"/>
  <c r="AF245" i="25"/>
  <c r="AF247" i="25"/>
  <c r="AF249" i="25"/>
  <c r="AF251" i="25"/>
  <c r="AF253" i="25"/>
  <c r="AF255" i="25"/>
  <c r="AF257" i="25"/>
  <c r="AF259" i="25"/>
  <c r="AF261" i="25"/>
  <c r="AF263" i="25"/>
  <c r="AF265" i="25"/>
  <c r="AF267" i="25"/>
  <c r="AF269" i="25"/>
  <c r="AF271" i="25"/>
  <c r="AF273" i="25"/>
  <c r="AF275" i="25"/>
  <c r="AF277" i="25"/>
  <c r="AF279" i="25"/>
  <c r="AF281" i="25"/>
  <c r="AF283" i="25"/>
  <c r="AF285" i="25"/>
  <c r="AF287" i="25"/>
  <c r="AF289" i="25"/>
  <c r="AF291" i="25"/>
  <c r="AF293" i="25"/>
  <c r="AF295" i="25"/>
  <c r="AF297" i="25"/>
  <c r="AF299" i="25"/>
  <c r="AF301" i="25"/>
  <c r="AF303" i="25"/>
  <c r="AF305" i="25"/>
  <c r="AF17" i="25"/>
  <c r="AF25" i="25"/>
  <c r="AF42" i="25"/>
  <c r="AF174" i="25"/>
  <c r="AF205" i="25"/>
  <c r="AF100" i="25"/>
  <c r="AF134" i="25"/>
  <c r="AF165" i="25"/>
  <c r="AF169" i="25"/>
  <c r="AF171" i="25"/>
  <c r="AF176" i="25"/>
  <c r="AF178" i="25"/>
  <c r="AF180" i="25"/>
  <c r="AF182" i="25"/>
  <c r="AF184" i="25"/>
  <c r="AF186" i="25"/>
  <c r="AF188" i="25"/>
  <c r="AF190" i="25"/>
  <c r="AF192" i="25"/>
  <c r="AF194" i="25"/>
  <c r="AF196" i="25"/>
  <c r="AF198" i="25"/>
  <c r="AF200" i="25"/>
  <c r="AF202" i="25"/>
  <c r="AF204" i="25"/>
  <c r="AF207" i="25"/>
  <c r="AF209" i="25"/>
  <c r="AF211" i="25"/>
  <c r="AF213" i="25"/>
  <c r="AF215" i="25"/>
  <c r="AF217" i="25"/>
  <c r="AF219" i="25"/>
  <c r="AF221" i="25"/>
  <c r="AF223" i="25"/>
  <c r="AF225" i="25"/>
  <c r="AD501" i="25"/>
  <c r="AM501" i="32"/>
  <c r="G501" i="25"/>
  <c r="B502" i="25"/>
  <c r="AD502" i="25"/>
  <c r="G502" i="25"/>
  <c r="H502" i="25" s="1"/>
  <c r="AC321" i="32"/>
  <c r="AQ321" i="25"/>
  <c r="AC339" i="32"/>
  <c r="AQ339" i="25"/>
  <c r="AC355" i="32"/>
  <c r="AQ355" i="25"/>
  <c r="AC371" i="32"/>
  <c r="AQ371" i="25"/>
  <c r="AC378" i="32"/>
  <c r="AQ378" i="25"/>
  <c r="AC382" i="32"/>
  <c r="AQ382" i="25"/>
  <c r="AC386" i="32"/>
  <c r="AQ386" i="25"/>
  <c r="AC310" i="32"/>
  <c r="AQ310" i="25"/>
  <c r="AC326" i="32"/>
  <c r="AQ326" i="25"/>
  <c r="AC344" i="32"/>
  <c r="AQ344" i="25"/>
  <c r="AC360" i="32"/>
  <c r="AQ360" i="25"/>
  <c r="AC307" i="32"/>
  <c r="AQ307" i="25"/>
  <c r="E6" i="25"/>
  <c r="E10" i="25"/>
  <c r="E14" i="25"/>
  <c r="E18" i="25"/>
  <c r="E22" i="25"/>
  <c r="E26" i="25"/>
  <c r="E30" i="25"/>
  <c r="E34" i="25"/>
  <c r="E38" i="25"/>
  <c r="E42" i="25"/>
  <c r="E46" i="25"/>
  <c r="E50" i="25"/>
  <c r="E54" i="25"/>
  <c r="E58" i="25"/>
  <c r="E62" i="25"/>
  <c r="E66" i="25"/>
  <c r="E70" i="25"/>
  <c r="E74" i="25"/>
  <c r="E78" i="25"/>
  <c r="E82" i="25"/>
  <c r="E86" i="25"/>
  <c r="E90" i="25"/>
  <c r="E94" i="25"/>
  <c r="E98" i="25"/>
  <c r="E102" i="25"/>
  <c r="E106" i="25"/>
  <c r="E110" i="25"/>
  <c r="E114" i="25"/>
  <c r="E118" i="25"/>
  <c r="E122" i="25"/>
  <c r="E126" i="25"/>
  <c r="E130" i="25"/>
  <c r="E134" i="25"/>
  <c r="E138" i="25"/>
  <c r="E142" i="25"/>
  <c r="E146" i="25"/>
  <c r="E150" i="25"/>
  <c r="E154" i="25"/>
  <c r="E158" i="25"/>
  <c r="E162" i="25"/>
  <c r="E166" i="25"/>
  <c r="E170" i="25"/>
  <c r="E174" i="25"/>
  <c r="E178" i="25"/>
  <c r="E182" i="25"/>
  <c r="E186" i="25"/>
  <c r="E190" i="25"/>
  <c r="E194" i="25"/>
  <c r="E198" i="25"/>
  <c r="E202" i="25"/>
  <c r="E206" i="25"/>
  <c r="E210" i="25"/>
  <c r="E214" i="25"/>
  <c r="E218" i="25"/>
  <c r="E222" i="25"/>
  <c r="E226" i="25"/>
  <c r="E230" i="25"/>
  <c r="E234" i="25"/>
  <c r="E238" i="25"/>
  <c r="E242" i="25"/>
  <c r="E246" i="25"/>
  <c r="E250" i="25"/>
  <c r="E254" i="25"/>
  <c r="E258" i="25"/>
  <c r="E262" i="25"/>
  <c r="E266" i="25"/>
  <c r="E270" i="25"/>
  <c r="E274" i="25"/>
  <c r="E278" i="25"/>
  <c r="E282" i="25"/>
  <c r="E286" i="25"/>
  <c r="E290" i="25"/>
  <c r="E294" i="25"/>
  <c r="E298" i="25"/>
  <c r="E302" i="25"/>
  <c r="E306" i="25"/>
  <c r="E2" i="25"/>
  <c r="E4" i="25"/>
  <c r="E7" i="25"/>
  <c r="E11" i="25"/>
  <c r="E15" i="25"/>
  <c r="E19" i="25"/>
  <c r="E23" i="25"/>
  <c r="E27" i="25"/>
  <c r="E31" i="25"/>
  <c r="E35" i="25"/>
  <c r="E39" i="25"/>
  <c r="E43" i="25"/>
  <c r="E47" i="25"/>
  <c r="E51" i="25"/>
  <c r="E55" i="25"/>
  <c r="E59" i="25"/>
  <c r="E63" i="25"/>
  <c r="E67" i="25"/>
  <c r="E71" i="25"/>
  <c r="E75" i="25"/>
  <c r="E79" i="25"/>
  <c r="E83" i="25"/>
  <c r="E87" i="25"/>
  <c r="E91" i="25"/>
  <c r="E95" i="25"/>
  <c r="E99" i="25"/>
  <c r="E103" i="25"/>
  <c r="E107" i="25"/>
  <c r="E111" i="25"/>
  <c r="E115" i="25"/>
  <c r="E119" i="25"/>
  <c r="E123" i="25"/>
  <c r="E127" i="25"/>
  <c r="E131" i="25"/>
  <c r="E135" i="25"/>
  <c r="E139" i="25"/>
  <c r="E143" i="25"/>
  <c r="E147" i="25"/>
  <c r="E151" i="25"/>
  <c r="E155" i="25"/>
  <c r="E159" i="25"/>
  <c r="E163" i="25"/>
  <c r="E167" i="25"/>
  <c r="E171" i="25"/>
  <c r="E175" i="25"/>
  <c r="E179" i="25"/>
  <c r="E183" i="25"/>
  <c r="E187" i="25"/>
  <c r="E191" i="25"/>
  <c r="E195" i="25"/>
  <c r="E199" i="25"/>
  <c r="E203" i="25"/>
  <c r="E207" i="25"/>
  <c r="E211" i="25"/>
  <c r="E215" i="25"/>
  <c r="E219" i="25"/>
  <c r="E223" i="25"/>
  <c r="E227" i="25"/>
  <c r="E231" i="25"/>
  <c r="E235" i="25"/>
  <c r="E239" i="25"/>
  <c r="E243" i="25"/>
  <c r="E247" i="25"/>
  <c r="E251" i="25"/>
  <c r="E255" i="25"/>
  <c r="E259" i="25"/>
  <c r="E263" i="25"/>
  <c r="E267" i="25"/>
  <c r="E271" i="25"/>
  <c r="E275" i="25"/>
  <c r="E279" i="25"/>
  <c r="E283" i="25"/>
  <c r="E287" i="25"/>
  <c r="E291" i="25"/>
  <c r="E295" i="25"/>
  <c r="E299" i="25"/>
  <c r="E303" i="25"/>
  <c r="E8" i="25"/>
  <c r="E12" i="25"/>
  <c r="E16" i="25"/>
  <c r="E20" i="25"/>
  <c r="E24" i="25"/>
  <c r="E28" i="25"/>
  <c r="E32" i="25"/>
  <c r="E36" i="25"/>
  <c r="E40" i="25"/>
  <c r="E44" i="25"/>
  <c r="E48" i="25"/>
  <c r="E52" i="25"/>
  <c r="E56" i="25"/>
  <c r="E60" i="25"/>
  <c r="E64" i="25"/>
  <c r="E68" i="25"/>
  <c r="E72" i="25"/>
  <c r="E76" i="25"/>
  <c r="E80" i="25"/>
  <c r="E84" i="25"/>
  <c r="E88" i="25"/>
  <c r="E92" i="25"/>
  <c r="E96" i="25"/>
  <c r="E100" i="25"/>
  <c r="E104" i="25"/>
  <c r="E108" i="25"/>
  <c r="E112" i="25"/>
  <c r="E116" i="25"/>
  <c r="E120" i="25"/>
  <c r="E124" i="25"/>
  <c r="E128" i="25"/>
  <c r="E132" i="25"/>
  <c r="E136" i="25"/>
  <c r="E140" i="25"/>
  <c r="E144" i="25"/>
  <c r="E148" i="25"/>
  <c r="E152" i="25"/>
  <c r="E156" i="25"/>
  <c r="E160" i="25"/>
  <c r="E164" i="25"/>
  <c r="E168" i="25"/>
  <c r="E172" i="25"/>
  <c r="E176" i="25"/>
  <c r="E180" i="25"/>
  <c r="E184" i="25"/>
  <c r="E188" i="25"/>
  <c r="E192" i="25"/>
  <c r="E196" i="25"/>
  <c r="E200" i="25"/>
  <c r="E204" i="25"/>
  <c r="E208" i="25"/>
  <c r="E212" i="25"/>
  <c r="E216" i="25"/>
  <c r="E220" i="25"/>
  <c r="E224" i="25"/>
  <c r="E228" i="25"/>
  <c r="E232" i="25"/>
  <c r="E236" i="25"/>
  <c r="E240" i="25"/>
  <c r="E244" i="25"/>
  <c r="E248" i="25"/>
  <c r="E252" i="25"/>
  <c r="E256" i="25"/>
  <c r="E260" i="25"/>
  <c r="E264" i="25"/>
  <c r="E268" i="25"/>
  <c r="E272" i="25"/>
  <c r="E276" i="25"/>
  <c r="E280" i="25"/>
  <c r="E284" i="25"/>
  <c r="E288" i="25"/>
  <c r="E292" i="25"/>
  <c r="E296" i="25"/>
  <c r="E300" i="25"/>
  <c r="E304" i="25"/>
  <c r="E3" i="25"/>
  <c r="E5" i="25"/>
  <c r="E9" i="25"/>
  <c r="E13" i="25"/>
  <c r="E17" i="25"/>
  <c r="E21" i="25"/>
  <c r="E25" i="25"/>
  <c r="E29" i="25"/>
  <c r="E33" i="25"/>
  <c r="E37" i="25"/>
  <c r="E41" i="25"/>
  <c r="E45" i="25"/>
  <c r="E49" i="25"/>
  <c r="E53" i="25"/>
  <c r="E57" i="25"/>
  <c r="E61" i="25"/>
  <c r="E65" i="25"/>
  <c r="E69" i="25"/>
  <c r="E73" i="25"/>
  <c r="E77" i="25"/>
  <c r="E81" i="25"/>
  <c r="E85" i="25"/>
  <c r="E89" i="25"/>
  <c r="E93" i="25"/>
  <c r="E97" i="25"/>
  <c r="E101" i="25"/>
  <c r="E105" i="25"/>
  <c r="E109" i="25"/>
  <c r="E113" i="25"/>
  <c r="E117" i="25"/>
  <c r="E121" i="25"/>
  <c r="E125" i="25"/>
  <c r="E129" i="25"/>
  <c r="E133" i="25"/>
  <c r="E137" i="25"/>
  <c r="E141" i="25"/>
  <c r="E145" i="25"/>
  <c r="E149" i="25"/>
  <c r="E153" i="25"/>
  <c r="E157" i="25"/>
  <c r="E161" i="25"/>
  <c r="E165" i="25"/>
  <c r="E169" i="25"/>
  <c r="E173" i="25"/>
  <c r="E177" i="25"/>
  <c r="E181" i="25"/>
  <c r="E185" i="25"/>
  <c r="E189" i="25"/>
  <c r="E193" i="25"/>
  <c r="E197" i="25"/>
  <c r="E201" i="25"/>
  <c r="E205" i="25"/>
  <c r="E209" i="25"/>
  <c r="E213" i="25"/>
  <c r="E217" i="25"/>
  <c r="E221" i="25"/>
  <c r="E225" i="25"/>
  <c r="E229" i="25"/>
  <c r="E233" i="25"/>
  <c r="E237" i="25"/>
  <c r="E241" i="25"/>
  <c r="E245" i="25"/>
  <c r="E249" i="25"/>
  <c r="E253" i="25"/>
  <c r="E257" i="25"/>
  <c r="E261" i="25"/>
  <c r="E265" i="25"/>
  <c r="E269" i="25"/>
  <c r="E273" i="25"/>
  <c r="E277" i="25"/>
  <c r="E281" i="25"/>
  <c r="E285" i="25"/>
  <c r="E289" i="25"/>
  <c r="E293" i="25"/>
  <c r="E297" i="25"/>
  <c r="E301" i="25"/>
  <c r="E305" i="25"/>
  <c r="AC323" i="32"/>
  <c r="AQ323" i="25"/>
  <c r="AC337" i="32"/>
  <c r="AQ337" i="25"/>
  <c r="AC353" i="32"/>
  <c r="AQ353" i="25"/>
  <c r="AC369" i="32"/>
  <c r="AQ369" i="25"/>
  <c r="AC392" i="32"/>
  <c r="AQ392" i="25"/>
  <c r="AC320" i="32"/>
  <c r="AQ320" i="25"/>
  <c r="AC334" i="32"/>
  <c r="AQ334" i="25"/>
  <c r="AC350" i="32"/>
  <c r="AQ350" i="25"/>
  <c r="AC366" i="32"/>
  <c r="AQ366" i="25"/>
  <c r="AC414" i="32"/>
  <c r="AQ414" i="25"/>
  <c r="AC422" i="32"/>
  <c r="AQ422" i="25"/>
  <c r="AC430" i="32"/>
  <c r="AQ430" i="25"/>
  <c r="AC438" i="32"/>
  <c r="AQ438" i="25"/>
  <c r="AC448" i="32"/>
  <c r="AQ448" i="25"/>
  <c r="AC464" i="32"/>
  <c r="AQ464" i="25"/>
  <c r="AC395" i="32"/>
  <c r="AQ395" i="25"/>
  <c r="AC399" i="32"/>
  <c r="AQ399" i="25"/>
  <c r="AC403" i="32"/>
  <c r="AQ403" i="25"/>
  <c r="AC407" i="32"/>
  <c r="AQ407" i="25"/>
  <c r="AC449" i="32"/>
  <c r="AQ449" i="25"/>
  <c r="AC465" i="32"/>
  <c r="AQ465" i="25"/>
  <c r="AC417" i="32"/>
  <c r="AQ417" i="25"/>
  <c r="AC425" i="32"/>
  <c r="AQ425" i="25"/>
  <c r="AC433" i="32"/>
  <c r="AQ433" i="25"/>
  <c r="AC441" i="32"/>
  <c r="AQ441" i="25"/>
  <c r="AC454" i="32"/>
  <c r="AQ454" i="25"/>
  <c r="AC470" i="32"/>
  <c r="AQ470" i="25"/>
  <c r="AC459" i="32"/>
  <c r="AQ459" i="25"/>
  <c r="AC411" i="32"/>
  <c r="AQ411" i="25"/>
  <c r="AC486" i="32"/>
  <c r="AQ486" i="25"/>
  <c r="AC478" i="32"/>
  <c r="AQ478" i="25"/>
  <c r="AC495" i="32"/>
  <c r="AQ495" i="25"/>
  <c r="AC492" i="32"/>
  <c r="AQ492" i="25"/>
  <c r="AC476" i="32"/>
  <c r="AQ476" i="25"/>
  <c r="AC493" i="32"/>
  <c r="AQ493" i="25"/>
  <c r="AC500" i="32"/>
  <c r="AQ500" i="25"/>
  <c r="AD420" i="25"/>
  <c r="G420" i="25"/>
  <c r="AM420" i="32"/>
  <c r="B420" i="25"/>
  <c r="AD492" i="25"/>
  <c r="G492" i="25"/>
  <c r="AM492" i="32"/>
  <c r="B492" i="25"/>
  <c r="AD484" i="25"/>
  <c r="G484" i="25"/>
  <c r="B484" i="25" s="1"/>
  <c r="AM484" i="32"/>
  <c r="AD476" i="25"/>
  <c r="G476" i="25"/>
  <c r="B476" i="25" s="1"/>
  <c r="AM476" i="32"/>
  <c r="AD468" i="25"/>
  <c r="G468" i="25"/>
  <c r="B468" i="25" s="1"/>
  <c r="AM468" i="32"/>
  <c r="AD460" i="25"/>
  <c r="G460" i="25"/>
  <c r="B460" i="25" s="1"/>
  <c r="AM460" i="32"/>
  <c r="AD452" i="25"/>
  <c r="G452" i="25"/>
  <c r="B452" i="25" s="1"/>
  <c r="AM452" i="32"/>
  <c r="AD444" i="25"/>
  <c r="G444" i="25"/>
  <c r="B444" i="25" s="1"/>
  <c r="AM444" i="32"/>
  <c r="AD436" i="25"/>
  <c r="G436" i="25"/>
  <c r="B436" i="25" s="1"/>
  <c r="AM436" i="32"/>
  <c r="AD428" i="25"/>
  <c r="G428" i="25"/>
  <c r="B428" i="25" s="1"/>
  <c r="AM428" i="32"/>
  <c r="AD414" i="25"/>
  <c r="G414" i="25"/>
  <c r="B414" i="25" s="1"/>
  <c r="AM414" i="32"/>
  <c r="AD400" i="25"/>
  <c r="G400" i="25"/>
  <c r="B400" i="25" s="1"/>
  <c r="AM400" i="32"/>
  <c r="AD421" i="25"/>
  <c r="G421" i="25"/>
  <c r="B421" i="25" s="1"/>
  <c r="AM421" i="32"/>
  <c r="AD413" i="25"/>
  <c r="G413" i="25"/>
  <c r="B413" i="25" s="1"/>
  <c r="AM413" i="32"/>
  <c r="AD405" i="25"/>
  <c r="G405" i="25"/>
  <c r="AM405" i="32"/>
  <c r="AD397" i="25"/>
  <c r="G397" i="25"/>
  <c r="AM397" i="32"/>
  <c r="B397" i="25"/>
  <c r="AD389" i="25"/>
  <c r="G389" i="25"/>
  <c r="AM389" i="32"/>
  <c r="B389" i="25"/>
  <c r="AD381" i="25"/>
  <c r="G381" i="25"/>
  <c r="AM381" i="32"/>
  <c r="B381" i="25"/>
  <c r="AD373" i="25"/>
  <c r="AM373" i="32"/>
  <c r="G373" i="25"/>
  <c r="B373" i="25"/>
  <c r="AD365" i="25"/>
  <c r="AM365" i="32"/>
  <c r="G365" i="25"/>
  <c r="B365" i="25" s="1"/>
  <c r="AD357" i="25"/>
  <c r="AM357" i="32"/>
  <c r="G357" i="25"/>
  <c r="AD349" i="25"/>
  <c r="AM349" i="32"/>
  <c r="G349" i="25"/>
  <c r="AD341" i="25"/>
  <c r="AM341" i="32"/>
  <c r="G341" i="25"/>
  <c r="B341" i="25" s="1"/>
  <c r="AD333" i="25"/>
  <c r="AM333" i="32"/>
  <c r="G333" i="25"/>
  <c r="AD325" i="25"/>
  <c r="AM325" i="32"/>
  <c r="G325" i="25"/>
  <c r="B325" i="25"/>
  <c r="AD317" i="25"/>
  <c r="AM317" i="32"/>
  <c r="G317" i="25"/>
  <c r="B317" i="25"/>
  <c r="AD309" i="25"/>
  <c r="AM309" i="32"/>
  <c r="G309" i="25"/>
  <c r="AD388" i="25"/>
  <c r="G388" i="25"/>
  <c r="AM388" i="32"/>
  <c r="B388" i="25"/>
  <c r="AD380" i="25"/>
  <c r="G380" i="25"/>
  <c r="AM380" i="32"/>
  <c r="B380" i="25"/>
  <c r="AD372" i="25"/>
  <c r="AM372" i="32"/>
  <c r="G372" i="25"/>
  <c r="AD364" i="25"/>
  <c r="AM364" i="32"/>
  <c r="G364" i="25"/>
  <c r="B364" i="25"/>
  <c r="AD356" i="25"/>
  <c r="AM356" i="32"/>
  <c r="G356" i="25"/>
  <c r="B356" i="25" s="1"/>
  <c r="AD348" i="25"/>
  <c r="AM348" i="32"/>
  <c r="G348" i="25"/>
  <c r="AD340" i="25"/>
  <c r="AM340" i="32"/>
  <c r="G340" i="25"/>
  <c r="AD332" i="25"/>
  <c r="AM332" i="32"/>
  <c r="G332" i="25"/>
  <c r="B332" i="25"/>
  <c r="AD324" i="25"/>
  <c r="AM324" i="32"/>
  <c r="G324" i="25"/>
  <c r="AD316" i="25"/>
  <c r="AM316" i="32"/>
  <c r="G316" i="25"/>
  <c r="AD308" i="25"/>
  <c r="AM308" i="32"/>
  <c r="G308" i="25"/>
  <c r="AD419" i="25"/>
  <c r="G419" i="25"/>
  <c r="B419" i="25" s="1"/>
  <c r="AM419" i="32"/>
  <c r="AD411" i="25"/>
  <c r="G411" i="25"/>
  <c r="AM411" i="32"/>
  <c r="B411" i="25"/>
  <c r="AD403" i="25"/>
  <c r="G403" i="25"/>
  <c r="AM403" i="32"/>
  <c r="B403" i="25"/>
  <c r="AD395" i="25"/>
  <c r="G395" i="25"/>
  <c r="AM395" i="32"/>
  <c r="B395" i="25"/>
  <c r="AD387" i="25"/>
  <c r="G387" i="25"/>
  <c r="AM387" i="32"/>
  <c r="AD379" i="25"/>
  <c r="G379" i="25"/>
  <c r="B379" i="25" s="1"/>
  <c r="AM379" i="32"/>
  <c r="AD371" i="25"/>
  <c r="AM371" i="32"/>
  <c r="G371" i="25"/>
  <c r="AD363" i="25"/>
  <c r="AM363" i="32"/>
  <c r="G363" i="25"/>
  <c r="AD355" i="25"/>
  <c r="AM355" i="32"/>
  <c r="G355" i="25"/>
  <c r="B355" i="25"/>
  <c r="AD347" i="25"/>
  <c r="AM347" i="32"/>
  <c r="G347" i="25"/>
  <c r="B347" i="25" s="1"/>
  <c r="AD339" i="25"/>
  <c r="AM339" i="32"/>
  <c r="G339" i="25"/>
  <c r="AD331" i="25"/>
  <c r="AM331" i="32"/>
  <c r="G331" i="25"/>
  <c r="AD323" i="25"/>
  <c r="AM323" i="32"/>
  <c r="G323" i="25"/>
  <c r="B323" i="25" s="1"/>
  <c r="AD315" i="25"/>
  <c r="AM315" i="32"/>
  <c r="G315" i="25"/>
  <c r="B315" i="25"/>
  <c r="AD307" i="25"/>
  <c r="AM307" i="32"/>
  <c r="G307" i="25"/>
  <c r="B307" i="25" s="1"/>
  <c r="AT27" i="32"/>
  <c r="AT25" i="32"/>
  <c r="AD402" i="25"/>
  <c r="G402" i="25"/>
  <c r="B402" i="25" s="1"/>
  <c r="AM402" i="32"/>
  <c r="AD394" i="25"/>
  <c r="G394" i="25"/>
  <c r="B394" i="25" s="1"/>
  <c r="AM394" i="32"/>
  <c r="AD386" i="25"/>
  <c r="G386" i="25"/>
  <c r="B386" i="25" s="1"/>
  <c r="AM386" i="32"/>
  <c r="AD378" i="25"/>
  <c r="G378" i="25"/>
  <c r="AM378" i="32"/>
  <c r="AD370" i="25"/>
  <c r="AM370" i="32"/>
  <c r="G370" i="25"/>
  <c r="B370" i="25" s="1"/>
  <c r="AD362" i="25"/>
  <c r="AM362" i="32"/>
  <c r="G362" i="25"/>
  <c r="AD354" i="25"/>
  <c r="AM354" i="32"/>
  <c r="G354" i="25"/>
  <c r="AD346" i="25"/>
  <c r="AM346" i="32"/>
  <c r="G346" i="25"/>
  <c r="B346" i="25"/>
  <c r="AD338" i="25"/>
  <c r="AM338" i="32"/>
  <c r="G338" i="25"/>
  <c r="AD330" i="25"/>
  <c r="AM330" i="32"/>
  <c r="G330" i="25"/>
  <c r="AD322" i="25"/>
  <c r="AM322" i="32"/>
  <c r="G322" i="25"/>
  <c r="B322" i="25"/>
  <c r="AD314" i="25"/>
  <c r="AM314" i="32"/>
  <c r="G314" i="25"/>
  <c r="F14" i="4"/>
  <c r="C12" i="25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AY20" i="39"/>
  <c r="BX20" i="39" s="1"/>
  <c r="BY20" i="39"/>
  <c r="BY4" i="39"/>
  <c r="AY4" i="39"/>
  <c r="BX4" i="39" s="1"/>
  <c r="AY21" i="39"/>
  <c r="BX21" i="39" s="1"/>
  <c r="BY21" i="39"/>
  <c r="BX8" i="39"/>
  <c r="AY6" i="39"/>
  <c r="BX6" i="39" s="1"/>
  <c r="BY6" i="39"/>
  <c r="AA19" i="32"/>
  <c r="AE19" i="25"/>
  <c r="AM19" i="25" s="1"/>
  <c r="AF19" i="25"/>
  <c r="Z58" i="32"/>
  <c r="AA58" i="32"/>
  <c r="AE58" i="25"/>
  <c r="AF58" i="25"/>
  <c r="AY11" i="39"/>
  <c r="BX11" i="39" s="1"/>
  <c r="BY16" i="39"/>
  <c r="BZ16" i="39" s="1"/>
  <c r="AU16" i="39" s="1"/>
  <c r="BY10" i="39"/>
  <c r="AY3" i="39"/>
  <c r="BX3" i="39" s="1"/>
  <c r="BY3" i="39"/>
  <c r="AE54" i="32"/>
  <c r="H54" i="25"/>
  <c r="Z29" i="32"/>
  <c r="AA29" i="32"/>
  <c r="AE29" i="25"/>
  <c r="AM29" i="25"/>
  <c r="AF29" i="25"/>
  <c r="Z64" i="32"/>
  <c r="AA64" i="32"/>
  <c r="AE64" i="25"/>
  <c r="AM64" i="25"/>
  <c r="AF64" i="25"/>
  <c r="BY11" i="39"/>
  <c r="BZ11" i="39" s="1"/>
  <c r="AU11" i="39" s="1"/>
  <c r="Z19" i="32"/>
  <c r="AC309" i="32"/>
  <c r="AQ309" i="25"/>
  <c r="AC325" i="32"/>
  <c r="AQ325" i="25"/>
  <c r="AC343" i="32"/>
  <c r="AQ343" i="25"/>
  <c r="AC359" i="32"/>
  <c r="AQ359" i="25"/>
  <c r="AC375" i="32"/>
  <c r="AQ375" i="25"/>
  <c r="AC379" i="32"/>
  <c r="AQ379" i="25"/>
  <c r="AC383" i="32"/>
  <c r="AQ383" i="25"/>
  <c r="AC387" i="32"/>
  <c r="AQ387" i="25"/>
  <c r="AC314" i="32"/>
  <c r="AQ314" i="25"/>
  <c r="AC332" i="32"/>
  <c r="AQ332" i="25"/>
  <c r="AC348" i="32"/>
  <c r="AQ348" i="25"/>
  <c r="AC364" i="32"/>
  <c r="AQ364" i="25"/>
  <c r="AC311" i="32"/>
  <c r="AQ311" i="25"/>
  <c r="AC327" i="32"/>
  <c r="AQ327" i="25"/>
  <c r="AC341" i="32"/>
  <c r="AQ341" i="25"/>
  <c r="AC357" i="32"/>
  <c r="AQ357" i="25"/>
  <c r="AC373" i="32"/>
  <c r="AQ373" i="25"/>
  <c r="AC308" i="32"/>
  <c r="AQ308" i="25"/>
  <c r="AC324" i="32"/>
  <c r="AQ324" i="25"/>
  <c r="AC338" i="32"/>
  <c r="AQ338" i="25"/>
  <c r="AC354" i="32"/>
  <c r="AQ354" i="25"/>
  <c r="AC370" i="32"/>
  <c r="AQ370" i="25"/>
  <c r="AC416" i="32"/>
  <c r="AQ416" i="25"/>
  <c r="AC424" i="32"/>
  <c r="AQ424" i="25"/>
  <c r="AC432" i="32"/>
  <c r="AQ432" i="25"/>
  <c r="AC440" i="32"/>
  <c r="AQ440" i="25"/>
  <c r="AC452" i="32"/>
  <c r="AQ452" i="25"/>
  <c r="AC468" i="32"/>
  <c r="AQ468" i="25"/>
  <c r="AC396" i="32"/>
  <c r="AQ396" i="25"/>
  <c r="AC400" i="32"/>
  <c r="AQ400" i="25"/>
  <c r="AC404" i="32"/>
  <c r="AQ404" i="25"/>
  <c r="AC408" i="32"/>
  <c r="AQ408" i="25"/>
  <c r="AC453" i="32"/>
  <c r="AQ453" i="25"/>
  <c r="AC469" i="32"/>
  <c r="AQ469" i="25"/>
  <c r="AC419" i="32"/>
  <c r="AQ419" i="25"/>
  <c r="AC427" i="32"/>
  <c r="AQ427" i="25"/>
  <c r="AC435" i="32"/>
  <c r="AQ435" i="25"/>
  <c r="AC443" i="32"/>
  <c r="AQ443" i="25"/>
  <c r="AC458" i="32"/>
  <c r="AQ458" i="25"/>
  <c r="AC447" i="32"/>
  <c r="AQ447" i="25"/>
  <c r="AC463" i="32"/>
  <c r="AQ463" i="25"/>
  <c r="AC473" i="32"/>
  <c r="AQ473" i="25"/>
  <c r="AC490" i="32"/>
  <c r="AQ490" i="25"/>
  <c r="AC483" i="32"/>
  <c r="AQ483" i="25"/>
  <c r="AC475" i="32"/>
  <c r="AQ475" i="25"/>
  <c r="AC496" i="32"/>
  <c r="AQ496" i="25"/>
  <c r="AC481" i="32"/>
  <c r="AQ481" i="25"/>
  <c r="AC497" i="32"/>
  <c r="AQ497" i="25"/>
  <c r="G498" i="25"/>
  <c r="B498" i="25" s="1"/>
  <c r="AD498" i="25"/>
  <c r="AM498" i="32"/>
  <c r="AD499" i="25"/>
  <c r="G499" i="25"/>
  <c r="B499" i="25" s="1"/>
  <c r="AM499" i="32"/>
  <c r="AD491" i="25"/>
  <c r="G491" i="25"/>
  <c r="AM491" i="32"/>
  <c r="AD483" i="25"/>
  <c r="G483" i="25"/>
  <c r="AM483" i="32"/>
  <c r="AD475" i="25"/>
  <c r="G475" i="25"/>
  <c r="AM475" i="32"/>
  <c r="B475" i="25"/>
  <c r="AD467" i="25"/>
  <c r="G467" i="25"/>
  <c r="AM467" i="32"/>
  <c r="B467" i="25"/>
  <c r="AD459" i="25"/>
  <c r="G459" i="25"/>
  <c r="AM459" i="32"/>
  <c r="AD451" i="25"/>
  <c r="G451" i="25"/>
  <c r="B451" i="25" s="1"/>
  <c r="AM451" i="32"/>
  <c r="AD443" i="25"/>
  <c r="G443" i="25"/>
  <c r="B443" i="25" s="1"/>
  <c r="AM443" i="32"/>
  <c r="AD435" i="25"/>
  <c r="G435" i="25"/>
  <c r="B435" i="25" s="1"/>
  <c r="AM435" i="32"/>
  <c r="AD427" i="25"/>
  <c r="G427" i="25"/>
  <c r="B427" i="25" s="1"/>
  <c r="AM427" i="32"/>
  <c r="AD490" i="25"/>
  <c r="G490" i="25"/>
  <c r="AM490" i="32"/>
  <c r="AD482" i="25"/>
  <c r="G482" i="25"/>
  <c r="AM482" i="32"/>
  <c r="B482" i="25"/>
  <c r="AD474" i="25"/>
  <c r="G474" i="25"/>
  <c r="AM474" i="32"/>
  <c r="B474" i="25"/>
  <c r="AD466" i="25"/>
  <c r="G466" i="25"/>
  <c r="AM466" i="32"/>
  <c r="AD458" i="25"/>
  <c r="G458" i="25"/>
  <c r="AM458" i="32"/>
  <c r="AD450" i="25"/>
  <c r="G450" i="25"/>
  <c r="B450" i="25" s="1"/>
  <c r="AM450" i="32"/>
  <c r="AD442" i="25"/>
  <c r="G442" i="25"/>
  <c r="B442" i="25" s="1"/>
  <c r="AM442" i="32"/>
  <c r="AD434" i="25"/>
  <c r="G434" i="25"/>
  <c r="AM434" i="32"/>
  <c r="AD426" i="25"/>
  <c r="G426" i="25"/>
  <c r="B426" i="25" s="1"/>
  <c r="AM426" i="32"/>
  <c r="AD416" i="25"/>
  <c r="G416" i="25"/>
  <c r="AM416" i="32"/>
  <c r="B416" i="25"/>
  <c r="AD497" i="25"/>
  <c r="G497" i="25"/>
  <c r="AM497" i="32"/>
  <c r="B497" i="25"/>
  <c r="AD489" i="25"/>
  <c r="G489" i="25"/>
  <c r="B489" i="25" s="1"/>
  <c r="AM489" i="32"/>
  <c r="AD481" i="25"/>
  <c r="G481" i="25"/>
  <c r="AM481" i="32"/>
  <c r="AD473" i="25"/>
  <c r="G473" i="25"/>
  <c r="B473" i="25" s="1"/>
  <c r="AM473" i="32"/>
  <c r="AD465" i="25"/>
  <c r="G465" i="25"/>
  <c r="B465" i="25" s="1"/>
  <c r="AM465" i="32"/>
  <c r="AD457" i="25"/>
  <c r="G457" i="25"/>
  <c r="AM457" i="32"/>
  <c r="AD449" i="25"/>
  <c r="G449" i="25"/>
  <c r="AM449" i="32"/>
  <c r="AD441" i="25"/>
  <c r="G441" i="25"/>
  <c r="AM441" i="32"/>
  <c r="B441" i="25"/>
  <c r="AD433" i="25"/>
  <c r="G433" i="25"/>
  <c r="AM433" i="32"/>
  <c r="B433" i="25"/>
  <c r="AD410" i="25"/>
  <c r="G410" i="25"/>
  <c r="AM410" i="32"/>
  <c r="B410" i="25"/>
  <c r="AD396" i="25"/>
  <c r="G396" i="25"/>
  <c r="B396" i="25" s="1"/>
  <c r="AM396" i="32"/>
  <c r="Y308" i="25"/>
  <c r="P309" i="25"/>
  <c r="BZ21" i="39" l="1"/>
  <c r="AU21" i="39" s="1"/>
  <c r="BZ20" i="39"/>
  <c r="AU20" i="39" s="1"/>
  <c r="F28" i="25"/>
  <c r="A28" i="25" s="1"/>
  <c r="A6" i="25"/>
  <c r="F6" i="25"/>
  <c r="AJ3" i="25"/>
  <c r="AL3" i="25" s="1"/>
  <c r="AM3" i="25"/>
  <c r="AI3" i="25"/>
  <c r="AK3" i="25" s="1"/>
  <c r="AG3" i="25" s="1"/>
  <c r="AM10" i="25"/>
  <c r="AI10" i="25"/>
  <c r="AK10" i="25" s="1"/>
  <c r="AJ10" i="25"/>
  <c r="AL10" i="25" s="1"/>
  <c r="F41" i="25"/>
  <c r="A41" i="25" s="1"/>
  <c r="F40" i="25"/>
  <c r="A40" i="25" s="1"/>
  <c r="AI9" i="32"/>
  <c r="AI7" i="32"/>
  <c r="AJ7" i="32"/>
  <c r="AL7" i="32" s="1"/>
  <c r="F32" i="25"/>
  <c r="A32" i="25" s="1"/>
  <c r="F24" i="25"/>
  <c r="A24" i="25" s="1"/>
  <c r="Z5" i="32"/>
  <c r="BZ10" i="39"/>
  <c r="AU10" i="39" s="1"/>
  <c r="AJ3" i="32"/>
  <c r="AL3" i="32" s="1"/>
  <c r="AI3" i="32"/>
  <c r="AJ6" i="32"/>
  <c r="AL6" i="32" s="1"/>
  <c r="AI10" i="32"/>
  <c r="AJ10" i="32"/>
  <c r="AL10" i="32" s="1"/>
  <c r="AI12" i="32"/>
  <c r="AJ4" i="32"/>
  <c r="AL4" i="32" s="1"/>
  <c r="AI4" i="32"/>
  <c r="AK4" i="32" s="1"/>
  <c r="AI6" i="32"/>
  <c r="AJ12" i="32"/>
  <c r="AL12" i="32" s="1"/>
  <c r="AI13" i="25"/>
  <c r="AK13" i="25" s="1"/>
  <c r="AJ13" i="25"/>
  <c r="AL13" i="25" s="1"/>
  <c r="AM12" i="25"/>
  <c r="AI12" i="25"/>
  <c r="AK12" i="25" s="1"/>
  <c r="AJ12" i="25"/>
  <c r="AL12" i="25" s="1"/>
  <c r="AJ6" i="25"/>
  <c r="AL6" i="25" s="1"/>
  <c r="AM6" i="25"/>
  <c r="AJ4" i="25"/>
  <c r="AL4" i="25" s="1"/>
  <c r="AM4" i="25"/>
  <c r="AI4" i="25"/>
  <c r="AK4" i="25" s="1"/>
  <c r="AJ11" i="25"/>
  <c r="AL11" i="25" s="1"/>
  <c r="AI11" i="25"/>
  <c r="AK11" i="25" s="1"/>
  <c r="F35" i="25"/>
  <c r="A35" i="25" s="1"/>
  <c r="F9" i="25"/>
  <c r="A9" i="25"/>
  <c r="AJ2" i="32"/>
  <c r="AL2" i="32" s="1"/>
  <c r="AI2" i="32"/>
  <c r="AJ2" i="25"/>
  <c r="AL2" i="25" s="1"/>
  <c r="AI2" i="25"/>
  <c r="AK2" i="25" s="1"/>
  <c r="AG2" i="25" s="1"/>
  <c r="AN2" i="25" s="1"/>
  <c r="AJ11" i="32"/>
  <c r="AL11" i="32" s="1"/>
  <c r="AI11" i="32"/>
  <c r="F23" i="25"/>
  <c r="A23" i="25" s="1"/>
  <c r="F12" i="25"/>
  <c r="A12" i="25" s="1"/>
  <c r="AI9" i="25"/>
  <c r="AJ9" i="25"/>
  <c r="AL9" i="25" s="1"/>
  <c r="AI7" i="25"/>
  <c r="AK7" i="25" s="1"/>
  <c r="AJ7" i="25"/>
  <c r="AL7" i="25" s="1"/>
  <c r="F27" i="25"/>
  <c r="A27" i="25" s="1"/>
  <c r="AI8" i="25"/>
  <c r="AK8" i="25" s="1"/>
  <c r="AJ8" i="25"/>
  <c r="AL8" i="25" s="1"/>
  <c r="AJ5" i="25"/>
  <c r="AL5" i="25" s="1"/>
  <c r="AI5" i="25"/>
  <c r="AK5" i="25" s="1"/>
  <c r="F36" i="25"/>
  <c r="A36" i="25" s="1"/>
  <c r="F8" i="25"/>
  <c r="A8" i="25" s="1"/>
  <c r="F18" i="25"/>
  <c r="A18" i="25" s="1"/>
  <c r="AI14" i="25"/>
  <c r="AK14" i="25" s="1"/>
  <c r="AJ14" i="25"/>
  <c r="AL14" i="25" s="1"/>
  <c r="AI6" i="25"/>
  <c r="F31" i="25"/>
  <c r="A31" i="25" s="1"/>
  <c r="AJ8" i="32"/>
  <c r="AL8" i="32" s="1"/>
  <c r="AI8" i="32"/>
  <c r="F5" i="25"/>
  <c r="A5" i="25" s="1"/>
  <c r="F17" i="25"/>
  <c r="A17" i="25" s="1"/>
  <c r="F15" i="25"/>
  <c r="A15" i="25" s="1"/>
  <c r="F25" i="25"/>
  <c r="A25" i="25" s="1"/>
  <c r="F13" i="25"/>
  <c r="A13" i="25" s="1"/>
  <c r="F11" i="25"/>
  <c r="A11" i="25" s="1"/>
  <c r="F34" i="25"/>
  <c r="A34" i="25" s="1"/>
  <c r="F26" i="25"/>
  <c r="A26" i="25" s="1"/>
  <c r="F29" i="25"/>
  <c r="A29" i="25" s="1"/>
  <c r="F38" i="25"/>
  <c r="A38" i="25" s="1"/>
  <c r="F14" i="25"/>
  <c r="A14" i="25" s="1"/>
  <c r="F33" i="25"/>
  <c r="A33" i="25" s="1"/>
  <c r="F21" i="25"/>
  <c r="A21" i="25" s="1"/>
  <c r="F16" i="25"/>
  <c r="A16" i="25" s="1"/>
  <c r="F19" i="25"/>
  <c r="A19" i="25" s="1"/>
  <c r="F39" i="25"/>
  <c r="A39" i="25" s="1"/>
  <c r="F20" i="25"/>
  <c r="A20" i="25" s="1"/>
  <c r="F30" i="25"/>
  <c r="A30" i="25" s="1"/>
  <c r="F22" i="25"/>
  <c r="A22" i="25" s="1"/>
  <c r="AI5" i="32"/>
  <c r="AJ5" i="32"/>
  <c r="AL5" i="32" s="1"/>
  <c r="BY7" i="39"/>
  <c r="BZ7" i="39" s="1"/>
  <c r="AU7" i="39" s="1"/>
  <c r="AD457" i="32"/>
  <c r="H457" i="25"/>
  <c r="Z473" i="32"/>
  <c r="AA473" i="32"/>
  <c r="AE473" i="25"/>
  <c r="AM473" i="25" s="1"/>
  <c r="AF473" i="25"/>
  <c r="AD466" i="32"/>
  <c r="H466" i="25"/>
  <c r="AD491" i="32"/>
  <c r="H491" i="25"/>
  <c r="AD338" i="32"/>
  <c r="H338" i="25"/>
  <c r="Z362" i="32"/>
  <c r="AA362" i="32"/>
  <c r="AE362" i="25"/>
  <c r="AF362" i="25"/>
  <c r="Z307" i="32"/>
  <c r="AA307" i="32"/>
  <c r="AE307" i="25"/>
  <c r="AF307" i="25"/>
  <c r="AD387" i="32"/>
  <c r="H387" i="25"/>
  <c r="Z403" i="32"/>
  <c r="AA403" i="32"/>
  <c r="AE403" i="25"/>
  <c r="AM403" i="25" s="1"/>
  <c r="AF403" i="25"/>
  <c r="AD324" i="32"/>
  <c r="H324" i="25"/>
  <c r="Z348" i="32"/>
  <c r="AA348" i="32"/>
  <c r="AE348" i="25"/>
  <c r="AM348" i="25"/>
  <c r="AF348" i="25"/>
  <c r="Z380" i="32"/>
  <c r="AA380" i="32"/>
  <c r="AE380" i="25"/>
  <c r="AM380" i="25" s="1"/>
  <c r="AF380" i="25"/>
  <c r="Z325" i="32"/>
  <c r="AA325" i="32"/>
  <c r="AE325" i="25"/>
  <c r="AF325" i="25"/>
  <c r="AD405" i="32"/>
  <c r="H405" i="25"/>
  <c r="AA421" i="32"/>
  <c r="AE421" i="25"/>
  <c r="AF421" i="25"/>
  <c r="AM421" i="25"/>
  <c r="Z421" i="32"/>
  <c r="AD414" i="32"/>
  <c r="H414" i="25"/>
  <c r="Z436" i="32"/>
  <c r="AA436" i="32"/>
  <c r="AE436" i="25"/>
  <c r="AF436" i="25"/>
  <c r="AM436" i="25"/>
  <c r="AJ281" i="25"/>
  <c r="AL281" i="25" s="1"/>
  <c r="AI281" i="25"/>
  <c r="AK281" i="25" s="1"/>
  <c r="AM281" i="25"/>
  <c r="AJ249" i="25"/>
  <c r="AL249" i="25" s="1"/>
  <c r="AI249" i="25"/>
  <c r="AK249" i="25" s="1"/>
  <c r="AM249" i="25"/>
  <c r="AI100" i="25"/>
  <c r="AK100" i="25" s="1"/>
  <c r="AM100" i="25"/>
  <c r="AJ100" i="25"/>
  <c r="AL100" i="25" s="1"/>
  <c r="AI79" i="25"/>
  <c r="AK79" i="25" s="1"/>
  <c r="AM79" i="25"/>
  <c r="AJ79" i="25"/>
  <c r="AL79" i="25" s="1"/>
  <c r="AI53" i="25"/>
  <c r="AK53" i="25" s="1"/>
  <c r="AM53" i="25"/>
  <c r="AJ53" i="25"/>
  <c r="AL53" i="25" s="1"/>
  <c r="AI295" i="25"/>
  <c r="AK295" i="25" s="1"/>
  <c r="AJ295" i="25"/>
  <c r="AL295" i="25" s="1"/>
  <c r="AM295" i="25"/>
  <c r="AI279" i="25"/>
  <c r="AK279" i="25" s="1"/>
  <c r="AJ279" i="25"/>
  <c r="AL279" i="25" s="1"/>
  <c r="AM279" i="25"/>
  <c r="AI263" i="25"/>
  <c r="AK263" i="25" s="1"/>
  <c r="AJ263" i="25"/>
  <c r="AL263" i="25" s="1"/>
  <c r="AM263" i="25"/>
  <c r="AI247" i="25"/>
  <c r="AK247" i="25" s="1"/>
  <c r="AJ247" i="25"/>
  <c r="AL247" i="25" s="1"/>
  <c r="AM247" i="25"/>
  <c r="AI231" i="25"/>
  <c r="AK231" i="25" s="1"/>
  <c r="AJ231" i="25"/>
  <c r="AL231" i="25" s="1"/>
  <c r="AM231" i="25"/>
  <c r="AI219" i="25"/>
  <c r="AK219" i="25" s="1"/>
  <c r="AM219" i="25"/>
  <c r="AJ219" i="25"/>
  <c r="AL219" i="25" s="1"/>
  <c r="AI211" i="25"/>
  <c r="AK211" i="25" s="1"/>
  <c r="AM211" i="25"/>
  <c r="AJ211" i="25"/>
  <c r="AL211" i="25" s="1"/>
  <c r="AI185" i="25"/>
  <c r="AK185" i="25" s="1"/>
  <c r="AG185" i="25" s="1"/>
  <c r="AJ185" i="25"/>
  <c r="AL185" i="25" s="1"/>
  <c r="AM185" i="25"/>
  <c r="AI153" i="25"/>
  <c r="AK153" i="25" s="1"/>
  <c r="AJ153" i="25"/>
  <c r="AL153" i="25" s="1"/>
  <c r="AM153" i="25"/>
  <c r="AI121" i="25"/>
  <c r="AK121" i="25" s="1"/>
  <c r="AM121" i="25"/>
  <c r="AJ121" i="25"/>
  <c r="AL121" i="25" s="1"/>
  <c r="AI21" i="25"/>
  <c r="AK21" i="25" s="1"/>
  <c r="AM21" i="25"/>
  <c r="AJ21" i="25"/>
  <c r="AL21" i="25" s="1"/>
  <c r="AJ277" i="25"/>
  <c r="AL277" i="25" s="1"/>
  <c r="AI277" i="25"/>
  <c r="AK277" i="25" s="1"/>
  <c r="AM277" i="25"/>
  <c r="AJ245" i="25"/>
  <c r="AL245" i="25" s="1"/>
  <c r="AI245" i="25"/>
  <c r="AK245" i="25" s="1"/>
  <c r="AM245" i="25"/>
  <c r="AI91" i="25"/>
  <c r="AK91" i="25" s="1"/>
  <c r="AJ91" i="25"/>
  <c r="AL91" i="25" s="1"/>
  <c r="AM91" i="25"/>
  <c r="AI44" i="25"/>
  <c r="AK44" i="25" s="1"/>
  <c r="AM44" i="25"/>
  <c r="AJ44" i="25"/>
  <c r="AL44" i="25" s="1"/>
  <c r="AI299" i="25"/>
  <c r="AK299" i="25" s="1"/>
  <c r="AG299" i="25" s="1"/>
  <c r="AJ299" i="25"/>
  <c r="AL299" i="25" s="1"/>
  <c r="AM299" i="25"/>
  <c r="AI283" i="25"/>
  <c r="AK283" i="25" s="1"/>
  <c r="AJ283" i="25"/>
  <c r="AL283" i="25" s="1"/>
  <c r="AM283" i="25"/>
  <c r="AI267" i="25"/>
  <c r="AK267" i="25" s="1"/>
  <c r="AJ267" i="25"/>
  <c r="AL267" i="25" s="1"/>
  <c r="AM267" i="25"/>
  <c r="AI251" i="25"/>
  <c r="AK251" i="25" s="1"/>
  <c r="AJ251" i="25"/>
  <c r="AL251" i="25" s="1"/>
  <c r="AM251" i="25"/>
  <c r="AI235" i="25"/>
  <c r="AK235" i="25" s="1"/>
  <c r="AG235" i="25" s="1"/>
  <c r="AJ235" i="25"/>
  <c r="AL235" i="25" s="1"/>
  <c r="AM235" i="25"/>
  <c r="AI197" i="25"/>
  <c r="AK197" i="25" s="1"/>
  <c r="AJ197" i="25"/>
  <c r="AL197" i="25" s="1"/>
  <c r="AM197" i="25"/>
  <c r="AI165" i="25"/>
  <c r="AK165" i="25" s="1"/>
  <c r="AJ165" i="25"/>
  <c r="AL165" i="25" s="1"/>
  <c r="AM165" i="25"/>
  <c r="AI133" i="25"/>
  <c r="AK133" i="25" s="1"/>
  <c r="AM133" i="25"/>
  <c r="AJ133" i="25"/>
  <c r="AL133" i="25" s="1"/>
  <c r="AI38" i="25"/>
  <c r="AJ38" i="25"/>
  <c r="AL38" i="25" s="1"/>
  <c r="AM38" i="25"/>
  <c r="AJ222" i="25"/>
  <c r="AL222" i="25" s="1"/>
  <c r="AM222" i="25"/>
  <c r="AI222" i="25"/>
  <c r="AK222" i="25" s="1"/>
  <c r="AJ206" i="25"/>
  <c r="AL206" i="25" s="1"/>
  <c r="AM206" i="25"/>
  <c r="AI206" i="25"/>
  <c r="AK206" i="25" s="1"/>
  <c r="AJ190" i="25"/>
  <c r="AL190" i="25" s="1"/>
  <c r="AM190" i="25"/>
  <c r="AI190" i="25"/>
  <c r="AK190" i="25" s="1"/>
  <c r="AJ174" i="25"/>
  <c r="AL174" i="25" s="1"/>
  <c r="AM174" i="25"/>
  <c r="AI174" i="25"/>
  <c r="AK174" i="25" s="1"/>
  <c r="AJ158" i="25"/>
  <c r="AL158" i="25" s="1"/>
  <c r="AM158" i="25"/>
  <c r="AI158" i="25"/>
  <c r="AK158" i="25" s="1"/>
  <c r="AJ142" i="25"/>
  <c r="AL142" i="25" s="1"/>
  <c r="AM142" i="25"/>
  <c r="AI142" i="25"/>
  <c r="AK142" i="25" s="1"/>
  <c r="AJ126" i="25"/>
  <c r="AM126" i="25"/>
  <c r="AI126" i="25"/>
  <c r="AK126" i="25" s="1"/>
  <c r="AJ110" i="25"/>
  <c r="AL110" i="25" s="1"/>
  <c r="AM110" i="25"/>
  <c r="AI110" i="25"/>
  <c r="AK110" i="25" s="1"/>
  <c r="AM96" i="25"/>
  <c r="AJ96" i="25"/>
  <c r="AL96" i="25" s="1"/>
  <c r="AI96" i="25"/>
  <c r="AK96" i="25" s="1"/>
  <c r="AJ80" i="25"/>
  <c r="AL80" i="25" s="1"/>
  <c r="AM80" i="25"/>
  <c r="AI80" i="25"/>
  <c r="AK80" i="25" s="1"/>
  <c r="AJ63" i="25"/>
  <c r="AL63" i="25" s="1"/>
  <c r="AM63" i="25"/>
  <c r="AI63" i="25"/>
  <c r="AK63" i="25" s="1"/>
  <c r="AJ45" i="25"/>
  <c r="AL45" i="25" s="1"/>
  <c r="AM45" i="25"/>
  <c r="AI45" i="25"/>
  <c r="AK45" i="25" s="1"/>
  <c r="AJ30" i="25"/>
  <c r="AL30" i="25" s="1"/>
  <c r="AM30" i="25"/>
  <c r="AI30" i="25"/>
  <c r="AK30" i="25" s="1"/>
  <c r="AI207" i="25"/>
  <c r="AK207" i="25" s="1"/>
  <c r="AJ207" i="25"/>
  <c r="AL207" i="25" s="1"/>
  <c r="AM207" i="25"/>
  <c r="AI191" i="25"/>
  <c r="AK191" i="25" s="1"/>
  <c r="AJ191" i="25"/>
  <c r="AL191" i="25" s="1"/>
  <c r="AM191" i="25"/>
  <c r="AI175" i="25"/>
  <c r="AK175" i="25" s="1"/>
  <c r="AG175" i="25" s="1"/>
  <c r="AJ175" i="25"/>
  <c r="AL175" i="25" s="1"/>
  <c r="AM175" i="25"/>
  <c r="AI159" i="25"/>
  <c r="AK159" i="25" s="1"/>
  <c r="AJ159" i="25"/>
  <c r="AL159" i="25" s="1"/>
  <c r="AM159" i="25"/>
  <c r="AI143" i="25"/>
  <c r="AK143" i="25" s="1"/>
  <c r="AJ143" i="25"/>
  <c r="AL143" i="25" s="1"/>
  <c r="AM143" i="25"/>
  <c r="AI127" i="25"/>
  <c r="AK127" i="25" s="1"/>
  <c r="AM127" i="25"/>
  <c r="AJ127" i="25"/>
  <c r="AL127" i="25" s="1"/>
  <c r="AI111" i="25"/>
  <c r="AK111" i="25" s="1"/>
  <c r="AG111" i="25" s="1"/>
  <c r="AJ111" i="25"/>
  <c r="AL111" i="25" s="1"/>
  <c r="AM111" i="25"/>
  <c r="AM97" i="25"/>
  <c r="AJ97" i="25"/>
  <c r="AL97" i="25" s="1"/>
  <c r="AI97" i="25"/>
  <c r="AM81" i="25"/>
  <c r="AI81" i="25"/>
  <c r="AK81" i="25" s="1"/>
  <c r="AJ81" i="25"/>
  <c r="AL81" i="25" s="1"/>
  <c r="AM55" i="25"/>
  <c r="AI55" i="25"/>
  <c r="AK55" i="25" s="1"/>
  <c r="AJ55" i="25"/>
  <c r="AL55" i="25" s="1"/>
  <c r="AM42" i="25"/>
  <c r="AI42" i="25"/>
  <c r="AK42" i="25" s="1"/>
  <c r="AJ42" i="25"/>
  <c r="AL42" i="25" s="1"/>
  <c r="AM31" i="25"/>
  <c r="AI31" i="25"/>
  <c r="AK31" i="25" s="1"/>
  <c r="AG31" i="25" s="1"/>
  <c r="AJ31" i="25"/>
  <c r="AL31" i="25" s="1"/>
  <c r="AI304" i="25"/>
  <c r="AK304" i="25" s="1"/>
  <c r="AJ304" i="25"/>
  <c r="AL304" i="25" s="1"/>
  <c r="AM304" i="25"/>
  <c r="AI288" i="25"/>
  <c r="AK288" i="25" s="1"/>
  <c r="AJ288" i="25"/>
  <c r="AL288" i="25" s="1"/>
  <c r="AM288" i="25"/>
  <c r="AI272" i="25"/>
  <c r="AK272" i="25" s="1"/>
  <c r="AG272" i="25" s="1"/>
  <c r="AJ272" i="25"/>
  <c r="AL272" i="25" s="1"/>
  <c r="AM272" i="25"/>
  <c r="AI256" i="25"/>
  <c r="AK256" i="25" s="1"/>
  <c r="AJ256" i="25"/>
  <c r="AL256" i="25" s="1"/>
  <c r="AM256" i="25"/>
  <c r="AI240" i="25"/>
  <c r="AK240" i="25" s="1"/>
  <c r="AJ240" i="25"/>
  <c r="AL240" i="25" s="1"/>
  <c r="AM240" i="25"/>
  <c r="AI224" i="25"/>
  <c r="AK224" i="25" s="1"/>
  <c r="AJ224" i="25"/>
  <c r="AL224" i="25" s="1"/>
  <c r="AM224" i="25"/>
  <c r="AJ208" i="25"/>
  <c r="AL208" i="25" s="1"/>
  <c r="AM208" i="25"/>
  <c r="AI208" i="25"/>
  <c r="AK208" i="25" s="1"/>
  <c r="AJ192" i="25"/>
  <c r="AL192" i="25" s="1"/>
  <c r="AM192" i="25"/>
  <c r="AI192" i="25"/>
  <c r="AK192" i="25" s="1"/>
  <c r="AJ176" i="25"/>
  <c r="AL176" i="25" s="1"/>
  <c r="AM176" i="25"/>
  <c r="AI176" i="25"/>
  <c r="AK176" i="25" s="1"/>
  <c r="AM160" i="25"/>
  <c r="AJ160" i="25"/>
  <c r="AL160" i="25" s="1"/>
  <c r="AI160" i="25"/>
  <c r="AK160" i="25" s="1"/>
  <c r="AM144" i="25"/>
  <c r="AJ144" i="25"/>
  <c r="AL144" i="25" s="1"/>
  <c r="AI144" i="25"/>
  <c r="AK144" i="25" s="1"/>
  <c r="AJ128" i="25"/>
  <c r="AL128" i="25" s="1"/>
  <c r="AM128" i="25"/>
  <c r="AI128" i="25"/>
  <c r="AK128" i="25" s="1"/>
  <c r="AJ112" i="25"/>
  <c r="AL112" i="25" s="1"/>
  <c r="AM112" i="25"/>
  <c r="AI112" i="25"/>
  <c r="AK112" i="25" s="1"/>
  <c r="AJ99" i="25"/>
  <c r="AL99" i="25" s="1"/>
  <c r="AM99" i="25"/>
  <c r="AI99" i="25"/>
  <c r="AK99" i="25" s="1"/>
  <c r="AG99" i="25" s="1"/>
  <c r="AJ82" i="25"/>
  <c r="AL82" i="25" s="1"/>
  <c r="AM82" i="25"/>
  <c r="AI82" i="25"/>
  <c r="AK82" i="25" s="1"/>
  <c r="AJ65" i="25"/>
  <c r="AL65" i="25" s="1"/>
  <c r="AM65" i="25"/>
  <c r="AI65" i="25"/>
  <c r="AK65" i="25" s="1"/>
  <c r="AJ52" i="25"/>
  <c r="AL52" i="25" s="1"/>
  <c r="AM52" i="25"/>
  <c r="AI52" i="25"/>
  <c r="AK52" i="25" s="1"/>
  <c r="AJ32" i="25"/>
  <c r="AL32" i="25" s="1"/>
  <c r="AM32" i="25"/>
  <c r="AI32" i="25"/>
  <c r="AK32" i="25" s="1"/>
  <c r="AG32" i="25" s="1"/>
  <c r="AJ16" i="25"/>
  <c r="AL16" i="25" s="1"/>
  <c r="AM16" i="25"/>
  <c r="AI16" i="25"/>
  <c r="AK16" i="25" s="1"/>
  <c r="BZ8" i="39"/>
  <c r="AU8" i="39" s="1"/>
  <c r="Z418" i="32"/>
  <c r="AA418" i="32"/>
  <c r="AE418" i="25"/>
  <c r="AF418" i="25"/>
  <c r="AM418" i="25"/>
  <c r="AD437" i="32"/>
  <c r="H437" i="25"/>
  <c r="Z453" i="32"/>
  <c r="AA453" i="32"/>
  <c r="AE453" i="25"/>
  <c r="AF453" i="25"/>
  <c r="AM453" i="25"/>
  <c r="AD469" i="32"/>
  <c r="H469" i="25"/>
  <c r="Z485" i="32"/>
  <c r="AA485" i="32"/>
  <c r="AE485" i="25"/>
  <c r="AF485" i="25"/>
  <c r="Z424" i="32"/>
  <c r="AA424" i="32"/>
  <c r="AE424" i="25"/>
  <c r="AM424" i="25" s="1"/>
  <c r="AF424" i="25"/>
  <c r="AD438" i="32"/>
  <c r="H438" i="25"/>
  <c r="Z454" i="32"/>
  <c r="AA454" i="32"/>
  <c r="AE454" i="25"/>
  <c r="AF454" i="25"/>
  <c r="AD470" i="32"/>
  <c r="H470" i="25"/>
  <c r="Z486" i="32"/>
  <c r="AA486" i="32"/>
  <c r="AE486" i="25"/>
  <c r="AF486" i="25"/>
  <c r="AD431" i="32"/>
  <c r="H431" i="25"/>
  <c r="Z447" i="32"/>
  <c r="AA447" i="32"/>
  <c r="AE447" i="25"/>
  <c r="AM447" i="25" s="1"/>
  <c r="AF447" i="25"/>
  <c r="AD463" i="32"/>
  <c r="H463" i="25"/>
  <c r="Z479" i="32"/>
  <c r="AA479" i="32"/>
  <c r="AE479" i="25"/>
  <c r="AM479" i="25" s="1"/>
  <c r="AF479" i="25"/>
  <c r="AD495" i="32"/>
  <c r="H495" i="25"/>
  <c r="AD496" i="32"/>
  <c r="H496" i="25"/>
  <c r="AF4" i="32"/>
  <c r="AD318" i="32"/>
  <c r="H318" i="25"/>
  <c r="Z334" i="32"/>
  <c r="AA334" i="32"/>
  <c r="AE334" i="25"/>
  <c r="AM334" i="25"/>
  <c r="AF334" i="25"/>
  <c r="AD342" i="32"/>
  <c r="H342" i="25"/>
  <c r="Z366" i="32"/>
  <c r="AA366" i="32"/>
  <c r="AE366" i="25"/>
  <c r="AF366" i="25"/>
  <c r="AM366" i="25"/>
  <c r="AD374" i="32"/>
  <c r="H374" i="25"/>
  <c r="AD382" i="32"/>
  <c r="H382" i="25"/>
  <c r="Z398" i="32"/>
  <c r="AA398" i="32"/>
  <c r="AE398" i="25"/>
  <c r="AF398" i="25"/>
  <c r="AD311" i="32"/>
  <c r="H311" i="25"/>
  <c r="Z327" i="32"/>
  <c r="AA327" i="32"/>
  <c r="AE327" i="25"/>
  <c r="AM327" i="25" s="1"/>
  <c r="AF327" i="25"/>
  <c r="AD335" i="32"/>
  <c r="H335" i="25"/>
  <c r="Z359" i="32"/>
  <c r="AA359" i="32"/>
  <c r="AE359" i="25"/>
  <c r="AM359" i="25" s="1"/>
  <c r="AF359" i="25"/>
  <c r="AD367" i="32"/>
  <c r="H367" i="25"/>
  <c r="Z391" i="32"/>
  <c r="AA391" i="32"/>
  <c r="AE391" i="25"/>
  <c r="AF391" i="25"/>
  <c r="AD407" i="32"/>
  <c r="H407" i="25"/>
  <c r="Z423" i="32"/>
  <c r="AA423" i="32"/>
  <c r="AE423" i="25"/>
  <c r="AM423" i="25" s="1"/>
  <c r="AF423" i="25"/>
  <c r="AD312" i="32"/>
  <c r="H312" i="25"/>
  <c r="Z336" i="32"/>
  <c r="AA336" i="32"/>
  <c r="AE336" i="25"/>
  <c r="AM336" i="25" s="1"/>
  <c r="AF336" i="25"/>
  <c r="AD344" i="32"/>
  <c r="H344" i="25"/>
  <c r="Z368" i="32"/>
  <c r="AA368" i="32"/>
  <c r="AE368" i="25"/>
  <c r="AM368" i="25" s="1"/>
  <c r="AF368" i="25"/>
  <c r="AD384" i="32"/>
  <c r="H384" i="25"/>
  <c r="Z313" i="32"/>
  <c r="AA313" i="32"/>
  <c r="AE313" i="25"/>
  <c r="AF313" i="25"/>
  <c r="Z345" i="32"/>
  <c r="AA345" i="32"/>
  <c r="AE345" i="25"/>
  <c r="AM345" i="25" s="1"/>
  <c r="AF345" i="25"/>
  <c r="AD353" i="32"/>
  <c r="H353" i="25"/>
  <c r="Z377" i="32"/>
  <c r="AA377" i="32"/>
  <c r="AE377" i="25"/>
  <c r="AF377" i="25"/>
  <c r="AD393" i="32"/>
  <c r="H393" i="25"/>
  <c r="Z409" i="32"/>
  <c r="AA409" i="32"/>
  <c r="AE409" i="25"/>
  <c r="AF409" i="25"/>
  <c r="AD425" i="32"/>
  <c r="H425" i="25"/>
  <c r="Z422" i="32"/>
  <c r="AA422" i="32"/>
  <c r="AE422" i="25"/>
  <c r="AM422" i="25" s="1"/>
  <c r="AF422" i="25"/>
  <c r="AD440" i="32"/>
  <c r="H440" i="25"/>
  <c r="Z456" i="32"/>
  <c r="AA456" i="32"/>
  <c r="AE456" i="25"/>
  <c r="AF456" i="25"/>
  <c r="AM456" i="25"/>
  <c r="AD472" i="32"/>
  <c r="H472" i="25"/>
  <c r="Z488" i="32"/>
  <c r="AA488" i="32"/>
  <c r="AE488" i="25"/>
  <c r="AF488" i="25"/>
  <c r="BZ5" i="39"/>
  <c r="AU5" i="39" s="1"/>
  <c r="AD410" i="32"/>
  <c r="H410" i="25"/>
  <c r="Z441" i="32"/>
  <c r="AA441" i="32"/>
  <c r="AE441" i="25"/>
  <c r="AF441" i="25"/>
  <c r="B457" i="25"/>
  <c r="AD434" i="32"/>
  <c r="H434" i="25"/>
  <c r="Z450" i="32"/>
  <c r="AA450" i="32"/>
  <c r="AE450" i="25"/>
  <c r="AF450" i="25"/>
  <c r="B466" i="25"/>
  <c r="Z482" i="32"/>
  <c r="AA482" i="32"/>
  <c r="AE482" i="25"/>
  <c r="AM482" i="25" s="1"/>
  <c r="AF482" i="25"/>
  <c r="AD459" i="32"/>
  <c r="H459" i="25"/>
  <c r="B491" i="25"/>
  <c r="AD314" i="32"/>
  <c r="H314" i="25"/>
  <c r="F503" i="25" s="1"/>
  <c r="A503" i="25" s="1"/>
  <c r="Z330" i="32"/>
  <c r="AA330" i="32"/>
  <c r="AE330" i="25"/>
  <c r="AM330" i="25"/>
  <c r="AF330" i="25"/>
  <c r="AD378" i="32"/>
  <c r="H378" i="25"/>
  <c r="Z394" i="32"/>
  <c r="AA394" i="32"/>
  <c r="AE394" i="25"/>
  <c r="AF394" i="25"/>
  <c r="AM394" i="25"/>
  <c r="AD323" i="32"/>
  <c r="H323" i="25"/>
  <c r="Z339" i="32"/>
  <c r="AA339" i="32"/>
  <c r="AE339" i="25"/>
  <c r="AF339" i="25"/>
  <c r="AD419" i="32"/>
  <c r="H419" i="25"/>
  <c r="Z316" i="32"/>
  <c r="AA316" i="32"/>
  <c r="AE316" i="25"/>
  <c r="AF316" i="25"/>
  <c r="AD309" i="32"/>
  <c r="H309" i="25"/>
  <c r="AD333" i="32"/>
  <c r="H333" i="25"/>
  <c r="Z357" i="32"/>
  <c r="AA357" i="32"/>
  <c r="AE357" i="25"/>
  <c r="AF357" i="25"/>
  <c r="Z389" i="32"/>
  <c r="AA389" i="32"/>
  <c r="AE389" i="25"/>
  <c r="AM389" i="25"/>
  <c r="AF389" i="25"/>
  <c r="B405" i="25"/>
  <c r="AD452" i="32"/>
  <c r="H452" i="25"/>
  <c r="Z468" i="32"/>
  <c r="AA468" i="32"/>
  <c r="AE468" i="25"/>
  <c r="AF468" i="25"/>
  <c r="AM468" i="25"/>
  <c r="AD501" i="32"/>
  <c r="H501" i="25"/>
  <c r="AD481" i="32"/>
  <c r="H481" i="25"/>
  <c r="Z497" i="32"/>
  <c r="AA497" i="32"/>
  <c r="AE497" i="25"/>
  <c r="AM497" i="25" s="1"/>
  <c r="AF497" i="25"/>
  <c r="AD490" i="32"/>
  <c r="H490" i="25"/>
  <c r="Z435" i="32"/>
  <c r="AA435" i="32"/>
  <c r="AE435" i="25"/>
  <c r="AM435" i="25"/>
  <c r="AF435" i="25"/>
  <c r="Z467" i="32"/>
  <c r="AA467" i="32"/>
  <c r="AE467" i="25"/>
  <c r="AM467" i="25" s="1"/>
  <c r="AF467" i="25"/>
  <c r="AA499" i="32"/>
  <c r="AE499" i="25"/>
  <c r="AM499" i="25" s="1"/>
  <c r="AF499" i="25"/>
  <c r="Z499" i="32"/>
  <c r="AI35" i="32"/>
  <c r="AI40" i="32"/>
  <c r="F54" i="25"/>
  <c r="A54" i="25" s="1"/>
  <c r="AI58" i="25"/>
  <c r="AK58" i="25" s="1"/>
  <c r="AJ58" i="25"/>
  <c r="AL58" i="25" s="1"/>
  <c r="BZ6" i="39"/>
  <c r="AU6" i="39" s="1"/>
  <c r="Z322" i="32"/>
  <c r="AA322" i="32"/>
  <c r="AE322" i="25"/>
  <c r="AF322" i="25"/>
  <c r="AD330" i="32"/>
  <c r="H330" i="25"/>
  <c r="B338" i="25"/>
  <c r="Z354" i="32"/>
  <c r="AA354" i="32"/>
  <c r="AE354" i="25"/>
  <c r="AF354" i="25"/>
  <c r="AD362" i="32"/>
  <c r="H362" i="25"/>
  <c r="Z386" i="32"/>
  <c r="AA386" i="32"/>
  <c r="AE386" i="25"/>
  <c r="AM386" i="25" s="1"/>
  <c r="AF386" i="25"/>
  <c r="AD402" i="32"/>
  <c r="H402" i="25"/>
  <c r="AD315" i="32"/>
  <c r="H315" i="25"/>
  <c r="Z331" i="32"/>
  <c r="AA331" i="32"/>
  <c r="AE331" i="25"/>
  <c r="AF331" i="25"/>
  <c r="AD339" i="32"/>
  <c r="H339" i="25"/>
  <c r="Z363" i="32"/>
  <c r="AA363" i="32"/>
  <c r="AE363" i="25"/>
  <c r="AF363" i="25"/>
  <c r="AM363" i="25"/>
  <c r="AD371" i="32"/>
  <c r="H371" i="25"/>
  <c r="AD379" i="32"/>
  <c r="H379" i="25"/>
  <c r="Z395" i="32"/>
  <c r="AA395" i="32"/>
  <c r="AE395" i="25"/>
  <c r="AF395" i="25"/>
  <c r="AD411" i="32"/>
  <c r="H411" i="25"/>
  <c r="Z308" i="32"/>
  <c r="AA308" i="32"/>
  <c r="AE308" i="25"/>
  <c r="AF308" i="25"/>
  <c r="AM308" i="25"/>
  <c r="AD316" i="32"/>
  <c r="H316" i="25"/>
  <c r="B324" i="25"/>
  <c r="Z340" i="32"/>
  <c r="AA340" i="32"/>
  <c r="AE340" i="25"/>
  <c r="AM340" i="25" s="1"/>
  <c r="AF340" i="25"/>
  <c r="AD348" i="32"/>
  <c r="H348" i="25"/>
  <c r="Z372" i="32"/>
  <c r="AA372" i="32"/>
  <c r="AE372" i="25"/>
  <c r="AM372" i="25" s="1"/>
  <c r="AF372" i="25"/>
  <c r="AD388" i="32"/>
  <c r="H388" i="25"/>
  <c r="Z317" i="32"/>
  <c r="AA317" i="32"/>
  <c r="AE317" i="25"/>
  <c r="AF317" i="25"/>
  <c r="B333" i="25"/>
  <c r="Z349" i="32"/>
  <c r="AA349" i="32"/>
  <c r="AE349" i="25"/>
  <c r="AM349" i="25" s="1"/>
  <c r="AF349" i="25"/>
  <c r="AD357" i="32"/>
  <c r="H357" i="25"/>
  <c r="Z381" i="32"/>
  <c r="AA381" i="32"/>
  <c r="AE381" i="25"/>
  <c r="AM381" i="25" s="1"/>
  <c r="AF381" i="25"/>
  <c r="AD397" i="32"/>
  <c r="H397" i="25"/>
  <c r="AA413" i="32"/>
  <c r="AE413" i="25"/>
  <c r="AF413" i="25"/>
  <c r="Z413" i="32"/>
  <c r="AD400" i="32"/>
  <c r="H400" i="25"/>
  <c r="Z428" i="32"/>
  <c r="AA428" i="32"/>
  <c r="AE428" i="25"/>
  <c r="AF428" i="25"/>
  <c r="AD444" i="32"/>
  <c r="H444" i="25"/>
  <c r="Z460" i="32"/>
  <c r="AA460" i="32"/>
  <c r="AE460" i="25"/>
  <c r="AF460" i="25"/>
  <c r="AM460" i="25"/>
  <c r="AD476" i="32"/>
  <c r="H476" i="25"/>
  <c r="Z492" i="32"/>
  <c r="AA492" i="32"/>
  <c r="AE492" i="25"/>
  <c r="AF492" i="25"/>
  <c r="AM492" i="25"/>
  <c r="AJ26" i="32"/>
  <c r="AL26" i="32" s="1"/>
  <c r="B501" i="25"/>
  <c r="AJ305" i="25"/>
  <c r="AL305" i="25" s="1"/>
  <c r="AI305" i="25"/>
  <c r="AK305" i="25" s="1"/>
  <c r="AM305" i="25"/>
  <c r="AJ273" i="25"/>
  <c r="AL273" i="25" s="1"/>
  <c r="AI273" i="25"/>
  <c r="AK273" i="25" s="1"/>
  <c r="AM273" i="25"/>
  <c r="AJ241" i="25"/>
  <c r="AL241" i="25" s="1"/>
  <c r="AI241" i="25"/>
  <c r="AK241" i="25" s="1"/>
  <c r="AM241" i="25"/>
  <c r="AJ306" i="25"/>
  <c r="AL306" i="25" s="1"/>
  <c r="AM306" i="25"/>
  <c r="AI306" i="25"/>
  <c r="AK306" i="25" s="1"/>
  <c r="AJ290" i="25"/>
  <c r="AL290" i="25" s="1"/>
  <c r="AM290" i="25"/>
  <c r="AI290" i="25"/>
  <c r="AK290" i="25" s="1"/>
  <c r="AJ274" i="25"/>
  <c r="AL274" i="25" s="1"/>
  <c r="AM274" i="25"/>
  <c r="AI274" i="25"/>
  <c r="AK274" i="25" s="1"/>
  <c r="AJ258" i="25"/>
  <c r="AL258" i="25" s="1"/>
  <c r="AM258" i="25"/>
  <c r="AI258" i="25"/>
  <c r="AK258" i="25" s="1"/>
  <c r="AG258" i="25" s="1"/>
  <c r="AJ242" i="25"/>
  <c r="AL242" i="25" s="1"/>
  <c r="AM242" i="25"/>
  <c r="AI242" i="25"/>
  <c r="AK242" i="25" s="1"/>
  <c r="AJ226" i="25"/>
  <c r="AM226" i="25"/>
  <c r="AI226" i="25"/>
  <c r="AK226" i="25" s="1"/>
  <c r="AI217" i="25"/>
  <c r="AK217" i="25" s="1"/>
  <c r="AJ217" i="25"/>
  <c r="AL217" i="25" s="1"/>
  <c r="AM217" i="25"/>
  <c r="AI209" i="25"/>
  <c r="AK209" i="25" s="1"/>
  <c r="AJ209" i="25"/>
  <c r="AL209" i="25" s="1"/>
  <c r="AM209" i="25"/>
  <c r="AI177" i="25"/>
  <c r="AK177" i="25" s="1"/>
  <c r="AJ177" i="25"/>
  <c r="AL177" i="25" s="1"/>
  <c r="AM177" i="25"/>
  <c r="AI145" i="25"/>
  <c r="AK145" i="25" s="1"/>
  <c r="AJ145" i="25"/>
  <c r="AL145" i="25" s="1"/>
  <c r="AM145" i="25"/>
  <c r="AI113" i="25"/>
  <c r="AK113" i="25" s="1"/>
  <c r="AJ113" i="25"/>
  <c r="AL113" i="25" s="1"/>
  <c r="AM113" i="25"/>
  <c r="AJ301" i="25"/>
  <c r="AL301" i="25" s="1"/>
  <c r="AI301" i="25"/>
  <c r="AK301" i="25" s="1"/>
  <c r="AM301" i="25"/>
  <c r="AJ269" i="25"/>
  <c r="AL269" i="25" s="1"/>
  <c r="AI269" i="25"/>
  <c r="AK269" i="25" s="1"/>
  <c r="AM269" i="25"/>
  <c r="AJ237" i="25"/>
  <c r="AL237" i="25" s="1"/>
  <c r="AI237" i="25"/>
  <c r="AK237" i="25" s="1"/>
  <c r="AM237" i="25"/>
  <c r="AI83" i="25"/>
  <c r="AK83" i="25" s="1"/>
  <c r="AM83" i="25"/>
  <c r="AJ83" i="25"/>
  <c r="AL83" i="25" s="1"/>
  <c r="AM294" i="25"/>
  <c r="AJ294" i="25"/>
  <c r="AL294" i="25" s="1"/>
  <c r="AI294" i="25"/>
  <c r="AK294" i="25" s="1"/>
  <c r="AM278" i="25"/>
  <c r="AJ278" i="25"/>
  <c r="AL278" i="25" s="1"/>
  <c r="AI278" i="25"/>
  <c r="AK278" i="25" s="1"/>
  <c r="AM262" i="25"/>
  <c r="AJ262" i="25"/>
  <c r="AL262" i="25" s="1"/>
  <c r="AI262" i="25"/>
  <c r="AK262" i="25" s="1"/>
  <c r="AM246" i="25"/>
  <c r="AJ246" i="25"/>
  <c r="AL246" i="25" s="1"/>
  <c r="AI246" i="25"/>
  <c r="AK246" i="25" s="1"/>
  <c r="AM230" i="25"/>
  <c r="AJ230" i="25"/>
  <c r="AL230" i="25" s="1"/>
  <c r="AI230" i="25"/>
  <c r="AK230" i="25" s="1"/>
  <c r="AI189" i="25"/>
  <c r="AK189" i="25" s="1"/>
  <c r="AM189" i="25"/>
  <c r="AJ189" i="25"/>
  <c r="AL189" i="25" s="1"/>
  <c r="AI157" i="25"/>
  <c r="AK157" i="25" s="1"/>
  <c r="AJ157" i="25"/>
  <c r="AL157" i="25" s="1"/>
  <c r="AM157" i="25"/>
  <c r="AI125" i="25"/>
  <c r="AK125" i="25" s="1"/>
  <c r="AJ125" i="25"/>
  <c r="AL125" i="25" s="1"/>
  <c r="AM125" i="25"/>
  <c r="AI33" i="25"/>
  <c r="AJ33" i="25"/>
  <c r="AL33" i="25" s="1"/>
  <c r="AM33" i="25"/>
  <c r="AJ218" i="25"/>
  <c r="AL218" i="25" s="1"/>
  <c r="AM218" i="25"/>
  <c r="AI218" i="25"/>
  <c r="AK218" i="25" s="1"/>
  <c r="AJ202" i="25"/>
  <c r="AL202" i="25" s="1"/>
  <c r="AM202" i="25"/>
  <c r="AI202" i="25"/>
  <c r="AK202" i="25" s="1"/>
  <c r="AJ186" i="25"/>
  <c r="AL186" i="25" s="1"/>
  <c r="AM186" i="25"/>
  <c r="AI186" i="25"/>
  <c r="AK186" i="25" s="1"/>
  <c r="AJ170" i="25"/>
  <c r="AL170" i="25" s="1"/>
  <c r="AM170" i="25"/>
  <c r="AI170" i="25"/>
  <c r="AK170" i="25" s="1"/>
  <c r="AG170" i="25" s="1"/>
  <c r="AJ154" i="25"/>
  <c r="AL154" i="25" s="1"/>
  <c r="AM154" i="25"/>
  <c r="AI154" i="25"/>
  <c r="AK154" i="25" s="1"/>
  <c r="AJ138" i="25"/>
  <c r="AL138" i="25" s="1"/>
  <c r="AM138" i="25"/>
  <c r="AI138" i="25"/>
  <c r="AK138" i="25" s="1"/>
  <c r="AM122" i="25"/>
  <c r="AJ122" i="25"/>
  <c r="AI122" i="25"/>
  <c r="AK122" i="25" s="1"/>
  <c r="AJ106" i="25"/>
  <c r="AL106" i="25" s="1"/>
  <c r="AM106" i="25"/>
  <c r="AI106" i="25"/>
  <c r="AK106" i="25" s="1"/>
  <c r="AG106" i="25" s="1"/>
  <c r="AM92" i="25"/>
  <c r="AJ92" i="25"/>
  <c r="AL92" i="25" s="1"/>
  <c r="AI92" i="25"/>
  <c r="AK92" i="25" s="1"/>
  <c r="AJ75" i="25"/>
  <c r="AL75" i="25" s="1"/>
  <c r="AM75" i="25"/>
  <c r="AI75" i="25"/>
  <c r="AK75" i="25" s="1"/>
  <c r="AJ59" i="25"/>
  <c r="AL59" i="25" s="1"/>
  <c r="AM59" i="25"/>
  <c r="AI59" i="25"/>
  <c r="AK59" i="25" s="1"/>
  <c r="AJ41" i="25"/>
  <c r="AL41" i="25" s="1"/>
  <c r="AM41" i="25"/>
  <c r="AI41" i="25"/>
  <c r="AK41" i="25" s="1"/>
  <c r="AG41" i="25" s="1"/>
  <c r="AJ26" i="25"/>
  <c r="AL26" i="25" s="1"/>
  <c r="AM26" i="25"/>
  <c r="AI26" i="25"/>
  <c r="AK26" i="25" s="1"/>
  <c r="AI203" i="25"/>
  <c r="AK203" i="25" s="1"/>
  <c r="AJ203" i="25"/>
  <c r="AL203" i="25" s="1"/>
  <c r="AM203" i="25"/>
  <c r="AI187" i="25"/>
  <c r="AK187" i="25" s="1"/>
  <c r="AJ187" i="25"/>
  <c r="AL187" i="25" s="1"/>
  <c r="AM187" i="25"/>
  <c r="AI171" i="25"/>
  <c r="AK171" i="25" s="1"/>
  <c r="AM171" i="25"/>
  <c r="AJ171" i="25"/>
  <c r="AL171" i="25" s="1"/>
  <c r="AJ155" i="25"/>
  <c r="AL155" i="25" s="1"/>
  <c r="AI155" i="25"/>
  <c r="AK155" i="25" s="1"/>
  <c r="AM155" i="25"/>
  <c r="AJ139" i="25"/>
  <c r="AI139" i="25"/>
  <c r="AK139" i="25" s="1"/>
  <c r="AM139" i="25"/>
  <c r="AI123" i="25"/>
  <c r="AK123" i="25" s="1"/>
  <c r="AJ123" i="25"/>
  <c r="AL123" i="25" s="1"/>
  <c r="AM123" i="25"/>
  <c r="AJ107" i="25"/>
  <c r="AL107" i="25" s="1"/>
  <c r="AI107" i="25"/>
  <c r="AK107" i="25" s="1"/>
  <c r="AM107" i="25"/>
  <c r="AI93" i="25"/>
  <c r="AK93" i="25" s="1"/>
  <c r="AJ93" i="25"/>
  <c r="AL93" i="25" s="1"/>
  <c r="AM93" i="25"/>
  <c r="AM77" i="25"/>
  <c r="AI77" i="25"/>
  <c r="AK77" i="25" s="1"/>
  <c r="AJ77" i="25"/>
  <c r="AL77" i="25" s="1"/>
  <c r="AM51" i="25"/>
  <c r="AI51" i="25"/>
  <c r="AK51" i="25" s="1"/>
  <c r="AJ51" i="25"/>
  <c r="AL51" i="25" s="1"/>
  <c r="AI27" i="25"/>
  <c r="AK27" i="25" s="1"/>
  <c r="AM27" i="25"/>
  <c r="AJ27" i="25"/>
  <c r="AL27" i="25" s="1"/>
  <c r="AI300" i="25"/>
  <c r="AK300" i="25" s="1"/>
  <c r="AJ300" i="25"/>
  <c r="AL300" i="25" s="1"/>
  <c r="AM300" i="25"/>
  <c r="AI284" i="25"/>
  <c r="AK284" i="25" s="1"/>
  <c r="AJ284" i="25"/>
  <c r="AL284" i="25" s="1"/>
  <c r="AM284" i="25"/>
  <c r="AI268" i="25"/>
  <c r="AK268" i="25" s="1"/>
  <c r="AJ268" i="25"/>
  <c r="AL268" i="25" s="1"/>
  <c r="AM268" i="25"/>
  <c r="AI252" i="25"/>
  <c r="AK252" i="25" s="1"/>
  <c r="AJ252" i="25"/>
  <c r="AL252" i="25" s="1"/>
  <c r="AM252" i="25"/>
  <c r="AI236" i="25"/>
  <c r="AK236" i="25" s="1"/>
  <c r="AJ236" i="25"/>
  <c r="AL236" i="25" s="1"/>
  <c r="AM236" i="25"/>
  <c r="AJ220" i="25"/>
  <c r="AL220" i="25" s="1"/>
  <c r="AM220" i="25"/>
  <c r="AI220" i="25"/>
  <c r="AK220" i="25" s="1"/>
  <c r="AJ204" i="25"/>
  <c r="AL204" i="25" s="1"/>
  <c r="AM204" i="25"/>
  <c r="AI204" i="25"/>
  <c r="AK204" i="25" s="1"/>
  <c r="AJ188" i="25"/>
  <c r="AL188" i="25" s="1"/>
  <c r="AM188" i="25"/>
  <c r="AI188" i="25"/>
  <c r="AK188" i="25" s="1"/>
  <c r="AG188" i="25" s="1"/>
  <c r="AJ172" i="25"/>
  <c r="AL172" i="25" s="1"/>
  <c r="AM172" i="25"/>
  <c r="AI172" i="25"/>
  <c r="AK172" i="25" s="1"/>
  <c r="AJ156" i="25"/>
  <c r="AL156" i="25" s="1"/>
  <c r="AM156" i="25"/>
  <c r="AI156" i="25"/>
  <c r="AK156" i="25" s="1"/>
  <c r="AM140" i="25"/>
  <c r="AJ140" i="25"/>
  <c r="AL140" i="25" s="1"/>
  <c r="AI140" i="25"/>
  <c r="AK140" i="25" s="1"/>
  <c r="AJ124" i="25"/>
  <c r="AL124" i="25" s="1"/>
  <c r="AM124" i="25"/>
  <c r="AI124" i="25"/>
  <c r="AK124" i="25" s="1"/>
  <c r="AG124" i="25" s="1"/>
  <c r="AJ108" i="25"/>
  <c r="AL108" i="25" s="1"/>
  <c r="AM108" i="25"/>
  <c r="AI108" i="25"/>
  <c r="AK108" i="25" s="1"/>
  <c r="AJ94" i="25"/>
  <c r="AL94" i="25" s="1"/>
  <c r="AM94" i="25"/>
  <c r="AI94" i="25"/>
  <c r="AK94" i="25" s="1"/>
  <c r="AJ78" i="25"/>
  <c r="AL78" i="25" s="1"/>
  <c r="AM78" i="25"/>
  <c r="AI78" i="25"/>
  <c r="AK78" i="25" s="1"/>
  <c r="AJ61" i="25"/>
  <c r="AL61" i="25" s="1"/>
  <c r="AM61" i="25"/>
  <c r="AI61" i="25"/>
  <c r="AK61" i="25" s="1"/>
  <c r="AG61" i="25" s="1"/>
  <c r="AJ47" i="25"/>
  <c r="AL47" i="25" s="1"/>
  <c r="AM47" i="25"/>
  <c r="AI47" i="25"/>
  <c r="AK47" i="25" s="1"/>
  <c r="AJ28" i="25"/>
  <c r="AL28" i="25" s="1"/>
  <c r="AM28" i="25"/>
  <c r="AI28" i="25"/>
  <c r="AK28" i="25" s="1"/>
  <c r="AI15" i="32"/>
  <c r="AJ15" i="32"/>
  <c r="AL15" i="32" s="1"/>
  <c r="BZ17" i="39"/>
  <c r="AU17" i="39" s="1"/>
  <c r="F74" i="25"/>
  <c r="A74" i="25" s="1"/>
  <c r="Z404" i="32"/>
  <c r="AA404" i="32"/>
  <c r="AE404" i="25"/>
  <c r="AF404" i="25"/>
  <c r="AD429" i="32"/>
  <c r="H429" i="25"/>
  <c r="Z445" i="32"/>
  <c r="AA445" i="32"/>
  <c r="AE445" i="25"/>
  <c r="AF445" i="25"/>
  <c r="AD461" i="32"/>
  <c r="H461" i="25"/>
  <c r="Z477" i="32"/>
  <c r="AA477" i="32"/>
  <c r="AE477" i="25"/>
  <c r="AM477" i="25" s="1"/>
  <c r="AF477" i="25"/>
  <c r="AD493" i="32"/>
  <c r="H493" i="25"/>
  <c r="AD430" i="32"/>
  <c r="H430" i="25"/>
  <c r="Z446" i="32"/>
  <c r="AA446" i="32"/>
  <c r="AE446" i="25"/>
  <c r="AF446" i="25"/>
  <c r="AD462" i="32"/>
  <c r="H462" i="25"/>
  <c r="Z478" i="32"/>
  <c r="AA478" i="32"/>
  <c r="AE478" i="25"/>
  <c r="AM478" i="25" s="1"/>
  <c r="AF478" i="25"/>
  <c r="Z494" i="32"/>
  <c r="AA494" i="32"/>
  <c r="AE494" i="25"/>
  <c r="AF494" i="25"/>
  <c r="Z439" i="32"/>
  <c r="AA439" i="32"/>
  <c r="AE439" i="25"/>
  <c r="AF439" i="25"/>
  <c r="AD455" i="32"/>
  <c r="H455" i="25"/>
  <c r="Z471" i="32"/>
  <c r="AA471" i="32"/>
  <c r="AE471" i="25"/>
  <c r="AM471" i="25"/>
  <c r="AF471" i="25"/>
  <c r="AD487" i="32"/>
  <c r="H487" i="25"/>
  <c r="B504" i="25"/>
  <c r="AD310" i="32"/>
  <c r="H310" i="25"/>
  <c r="Z326" i="32"/>
  <c r="AA326" i="32"/>
  <c r="AE326" i="25"/>
  <c r="AM326" i="25" s="1"/>
  <c r="AF326" i="25"/>
  <c r="AD334" i="32"/>
  <c r="H334" i="25"/>
  <c r="B342" i="25"/>
  <c r="Z358" i="32"/>
  <c r="AA358" i="32"/>
  <c r="AE358" i="25"/>
  <c r="AM358" i="25" s="1"/>
  <c r="AF358" i="25"/>
  <c r="AD366" i="32"/>
  <c r="H366" i="25"/>
  <c r="B374" i="25"/>
  <c r="Z390" i="32"/>
  <c r="AA390" i="32"/>
  <c r="AE390" i="25"/>
  <c r="AM390" i="25" s="1"/>
  <c r="AF390" i="25"/>
  <c r="AD406" i="32"/>
  <c r="H406" i="25"/>
  <c r="Z319" i="32"/>
  <c r="AA319" i="32"/>
  <c r="AE319" i="25"/>
  <c r="AM319" i="25" s="1"/>
  <c r="AF319" i="25"/>
  <c r="B335" i="25"/>
  <c r="Z351" i="32"/>
  <c r="AA351" i="32"/>
  <c r="AE351" i="25"/>
  <c r="AF351" i="25"/>
  <c r="AD359" i="32"/>
  <c r="H359" i="25"/>
  <c r="B367" i="25"/>
  <c r="Z383" i="32"/>
  <c r="AA383" i="32"/>
  <c r="AE383" i="25"/>
  <c r="AF383" i="25"/>
  <c r="AD399" i="32"/>
  <c r="H399" i="25"/>
  <c r="Z415" i="32"/>
  <c r="AA415" i="32"/>
  <c r="AE415" i="25"/>
  <c r="AM415" i="25"/>
  <c r="AF415" i="25"/>
  <c r="B312" i="25"/>
  <c r="Z328" i="32"/>
  <c r="AA328" i="32"/>
  <c r="AE328" i="25"/>
  <c r="AF328" i="25"/>
  <c r="AD336" i="32"/>
  <c r="H336" i="25"/>
  <c r="B344" i="25"/>
  <c r="Z360" i="32"/>
  <c r="AA360" i="32"/>
  <c r="AE360" i="25"/>
  <c r="AF360" i="25"/>
  <c r="AD368" i="32"/>
  <c r="H368" i="25"/>
  <c r="AD376" i="32"/>
  <c r="H376" i="25"/>
  <c r="Z392" i="32"/>
  <c r="AA392" i="32"/>
  <c r="AE392" i="25"/>
  <c r="AM392" i="25" s="1"/>
  <c r="AF392" i="25"/>
  <c r="AD321" i="32"/>
  <c r="H321" i="25"/>
  <c r="Z337" i="32"/>
  <c r="AA337" i="32"/>
  <c r="AE337" i="25"/>
  <c r="AF337" i="25"/>
  <c r="AD345" i="32"/>
  <c r="H345" i="25"/>
  <c r="B353" i="25"/>
  <c r="Z369" i="32"/>
  <c r="AA369" i="32"/>
  <c r="AE369" i="25"/>
  <c r="AF369" i="25"/>
  <c r="AD385" i="32"/>
  <c r="H385" i="25"/>
  <c r="Z401" i="32"/>
  <c r="AA401" i="32"/>
  <c r="AE401" i="25"/>
  <c r="AF401" i="25"/>
  <c r="AD417" i="32"/>
  <c r="H417" i="25"/>
  <c r="Z408" i="32"/>
  <c r="AA408" i="32"/>
  <c r="AE408" i="25"/>
  <c r="AF408" i="25"/>
  <c r="AM408" i="25"/>
  <c r="AD432" i="32"/>
  <c r="H432" i="25"/>
  <c r="Z448" i="32"/>
  <c r="AA448" i="32"/>
  <c r="AE448" i="25"/>
  <c r="AM448" i="25" s="1"/>
  <c r="AF448" i="25"/>
  <c r="AD464" i="32"/>
  <c r="H464" i="25"/>
  <c r="Z480" i="32"/>
  <c r="AA480" i="32"/>
  <c r="AE480" i="25"/>
  <c r="AF480" i="25"/>
  <c r="AD412" i="32"/>
  <c r="H412" i="25"/>
  <c r="AD500" i="32"/>
  <c r="H500" i="25"/>
  <c r="B503" i="25"/>
  <c r="AJ25" i="32"/>
  <c r="AL25" i="32" s="1"/>
  <c r="AI68" i="25"/>
  <c r="AK68" i="25" s="1"/>
  <c r="AJ68" i="25"/>
  <c r="AL68" i="25" s="1"/>
  <c r="F42" i="25"/>
  <c r="F46" i="25"/>
  <c r="A46" i="25" s="1"/>
  <c r="F50" i="25"/>
  <c r="A50" i="25" s="1"/>
  <c r="F58" i="25"/>
  <c r="A58" i="25" s="1"/>
  <c r="F62" i="25"/>
  <c r="A62" i="25" s="1"/>
  <c r="F66" i="25"/>
  <c r="A66" i="25" s="1"/>
  <c r="F70" i="25"/>
  <c r="A70" i="25" s="1"/>
  <c r="F78" i="25"/>
  <c r="A78" i="25" s="1"/>
  <c r="F82" i="25"/>
  <c r="A82" i="25" s="1"/>
  <c r="F86" i="25"/>
  <c r="A86" i="25" s="1"/>
  <c r="F90" i="25"/>
  <c r="A90" i="25" s="1"/>
  <c r="F94" i="25"/>
  <c r="A94" i="25" s="1"/>
  <c r="F98" i="25"/>
  <c r="A98" i="25" s="1"/>
  <c r="F102" i="25"/>
  <c r="A102" i="25" s="1"/>
  <c r="F106" i="25"/>
  <c r="A106" i="25" s="1"/>
  <c r="F110" i="25"/>
  <c r="A110" i="25" s="1"/>
  <c r="F114" i="25"/>
  <c r="A114" i="25" s="1"/>
  <c r="F118" i="25"/>
  <c r="A118" i="25" s="1"/>
  <c r="F122" i="25"/>
  <c r="A122" i="25" s="1"/>
  <c r="F126" i="25"/>
  <c r="A126" i="25" s="1"/>
  <c r="F130" i="25"/>
  <c r="A130" i="25" s="1"/>
  <c r="F134" i="25"/>
  <c r="A134" i="25" s="1"/>
  <c r="F138" i="25"/>
  <c r="A138" i="25" s="1"/>
  <c r="F142" i="25"/>
  <c r="A142" i="25" s="1"/>
  <c r="F146" i="25"/>
  <c r="A146" i="25" s="1"/>
  <c r="F150" i="25"/>
  <c r="A150" i="25" s="1"/>
  <c r="F154" i="25"/>
  <c r="A154" i="25" s="1"/>
  <c r="F158" i="25"/>
  <c r="A158" i="25" s="1"/>
  <c r="F162" i="25"/>
  <c r="A162" i="25" s="1"/>
  <c r="F166" i="25"/>
  <c r="A166" i="25" s="1"/>
  <c r="F170" i="25"/>
  <c r="A170" i="25" s="1"/>
  <c r="F174" i="25"/>
  <c r="A174" i="25" s="1"/>
  <c r="F178" i="25"/>
  <c r="A178" i="25" s="1"/>
  <c r="F182" i="25"/>
  <c r="A182" i="25" s="1"/>
  <c r="F186" i="25"/>
  <c r="A186" i="25" s="1"/>
  <c r="F190" i="25"/>
  <c r="A190" i="25" s="1"/>
  <c r="F194" i="25"/>
  <c r="A194" i="25" s="1"/>
  <c r="F198" i="25"/>
  <c r="A198" i="25" s="1"/>
  <c r="F202" i="25"/>
  <c r="A202" i="25" s="1"/>
  <c r="F206" i="25"/>
  <c r="A206" i="25" s="1"/>
  <c r="F210" i="25"/>
  <c r="A210" i="25" s="1"/>
  <c r="F214" i="25"/>
  <c r="A214" i="25" s="1"/>
  <c r="F218" i="25"/>
  <c r="A218" i="25" s="1"/>
  <c r="F222" i="25"/>
  <c r="A222" i="25" s="1"/>
  <c r="F226" i="25"/>
  <c r="A226" i="25" s="1"/>
  <c r="F230" i="25"/>
  <c r="A230" i="25" s="1"/>
  <c r="F234" i="25"/>
  <c r="A234" i="25" s="1"/>
  <c r="F238" i="25"/>
  <c r="A238" i="25" s="1"/>
  <c r="F242" i="25"/>
  <c r="A242" i="25" s="1"/>
  <c r="F246" i="25"/>
  <c r="A246" i="25" s="1"/>
  <c r="F250" i="25"/>
  <c r="A250" i="25" s="1"/>
  <c r="F254" i="25"/>
  <c r="A254" i="25" s="1"/>
  <c r="F258" i="25"/>
  <c r="A258" i="25" s="1"/>
  <c r="F262" i="25"/>
  <c r="A262" i="25" s="1"/>
  <c r="F266" i="25"/>
  <c r="A266" i="25" s="1"/>
  <c r="F270" i="25"/>
  <c r="A270" i="25" s="1"/>
  <c r="F274" i="25"/>
  <c r="A274" i="25" s="1"/>
  <c r="F278" i="25"/>
  <c r="A278" i="25" s="1"/>
  <c r="F282" i="25"/>
  <c r="A282" i="25" s="1"/>
  <c r="F286" i="25"/>
  <c r="A286" i="25" s="1"/>
  <c r="F290" i="25"/>
  <c r="A290" i="25" s="1"/>
  <c r="F294" i="25"/>
  <c r="A294" i="25" s="1"/>
  <c r="F298" i="25"/>
  <c r="A298" i="25" s="1"/>
  <c r="F302" i="25"/>
  <c r="A302" i="25" s="1"/>
  <c r="F306" i="25"/>
  <c r="A306" i="25" s="1"/>
  <c r="A42" i="25"/>
  <c r="F44" i="25"/>
  <c r="A44" i="25" s="1"/>
  <c r="F48" i="25"/>
  <c r="A48" i="25" s="1"/>
  <c r="F52" i="25"/>
  <c r="A52" i="25" s="1"/>
  <c r="F56" i="25"/>
  <c r="A56" i="25" s="1"/>
  <c r="F60" i="25"/>
  <c r="A60" i="25" s="1"/>
  <c r="F64" i="25"/>
  <c r="A64" i="25" s="1"/>
  <c r="F68" i="25"/>
  <c r="A68" i="25" s="1"/>
  <c r="F72" i="25"/>
  <c r="A72" i="25" s="1"/>
  <c r="F76" i="25"/>
  <c r="A76" i="25" s="1"/>
  <c r="F80" i="25"/>
  <c r="A80" i="25" s="1"/>
  <c r="F84" i="25"/>
  <c r="A84" i="25" s="1"/>
  <c r="F88" i="25"/>
  <c r="A88" i="25" s="1"/>
  <c r="F92" i="25"/>
  <c r="A92" i="25" s="1"/>
  <c r="F96" i="25"/>
  <c r="A96" i="25" s="1"/>
  <c r="F100" i="25"/>
  <c r="A100" i="25" s="1"/>
  <c r="F104" i="25"/>
  <c r="A104" i="25" s="1"/>
  <c r="F108" i="25"/>
  <c r="A108" i="25" s="1"/>
  <c r="F112" i="25"/>
  <c r="A112" i="25" s="1"/>
  <c r="F116" i="25"/>
  <c r="A116" i="25" s="1"/>
  <c r="F120" i="25"/>
  <c r="A120" i="25" s="1"/>
  <c r="F124" i="25"/>
  <c r="A124" i="25" s="1"/>
  <c r="F128" i="25"/>
  <c r="A128" i="25" s="1"/>
  <c r="F132" i="25"/>
  <c r="A132" i="25" s="1"/>
  <c r="F136" i="25"/>
  <c r="A136" i="25" s="1"/>
  <c r="F140" i="25"/>
  <c r="A140" i="25" s="1"/>
  <c r="F144" i="25"/>
  <c r="A144" i="25" s="1"/>
  <c r="F148" i="25"/>
  <c r="A148" i="25" s="1"/>
  <c r="F152" i="25"/>
  <c r="A152" i="25" s="1"/>
  <c r="F156" i="25"/>
  <c r="A156" i="25" s="1"/>
  <c r="F160" i="25"/>
  <c r="A160" i="25" s="1"/>
  <c r="F164" i="25"/>
  <c r="A164" i="25" s="1"/>
  <c r="F168" i="25"/>
  <c r="A168" i="25" s="1"/>
  <c r="F172" i="25"/>
  <c r="A172" i="25" s="1"/>
  <c r="F176" i="25"/>
  <c r="A176" i="25" s="1"/>
  <c r="F180" i="25"/>
  <c r="A180" i="25" s="1"/>
  <c r="F184" i="25"/>
  <c r="A184" i="25" s="1"/>
  <c r="F188" i="25"/>
  <c r="A188" i="25" s="1"/>
  <c r="F192" i="25"/>
  <c r="A192" i="25" s="1"/>
  <c r="F196" i="25"/>
  <c r="A196" i="25" s="1"/>
  <c r="F200" i="25"/>
  <c r="A200" i="25" s="1"/>
  <c r="F204" i="25"/>
  <c r="A204" i="25" s="1"/>
  <c r="F208" i="25"/>
  <c r="A208" i="25" s="1"/>
  <c r="F212" i="25"/>
  <c r="A212" i="25" s="1"/>
  <c r="F216" i="25"/>
  <c r="A216" i="25" s="1"/>
  <c r="F220" i="25"/>
  <c r="A220" i="25" s="1"/>
  <c r="F224" i="25"/>
  <c r="A224" i="25" s="1"/>
  <c r="F228" i="25"/>
  <c r="A228" i="25" s="1"/>
  <c r="F232" i="25"/>
  <c r="A232" i="25" s="1"/>
  <c r="F236" i="25"/>
  <c r="A236" i="25" s="1"/>
  <c r="F240" i="25"/>
  <c r="A240" i="25" s="1"/>
  <c r="F244" i="25"/>
  <c r="A244" i="25" s="1"/>
  <c r="F248" i="25"/>
  <c r="A248" i="25" s="1"/>
  <c r="F252" i="25"/>
  <c r="A252" i="25" s="1"/>
  <c r="F256" i="25"/>
  <c r="A256" i="25" s="1"/>
  <c r="F260" i="25"/>
  <c r="A260" i="25" s="1"/>
  <c r="F264" i="25"/>
  <c r="A264" i="25" s="1"/>
  <c r="F268" i="25"/>
  <c r="A268" i="25" s="1"/>
  <c r="F272" i="25"/>
  <c r="A272" i="25" s="1"/>
  <c r="F276" i="25"/>
  <c r="A276" i="25" s="1"/>
  <c r="F280" i="25"/>
  <c r="A280" i="25" s="1"/>
  <c r="F284" i="25"/>
  <c r="A284" i="25" s="1"/>
  <c r="F288" i="25"/>
  <c r="A288" i="25" s="1"/>
  <c r="F292" i="25"/>
  <c r="A292" i="25" s="1"/>
  <c r="F296" i="25"/>
  <c r="A296" i="25" s="1"/>
  <c r="F300" i="25"/>
  <c r="A300" i="25" s="1"/>
  <c r="F304" i="25"/>
  <c r="A304" i="25" s="1"/>
  <c r="F53" i="25"/>
  <c r="A53" i="25" s="1"/>
  <c r="F45" i="25"/>
  <c r="A45" i="25" s="1"/>
  <c r="F71" i="25"/>
  <c r="A71" i="25" s="1"/>
  <c r="F63" i="25"/>
  <c r="A63" i="25" s="1"/>
  <c r="F55" i="25"/>
  <c r="A55" i="25" s="1"/>
  <c r="F303" i="25"/>
  <c r="A303" i="25" s="1"/>
  <c r="F295" i="25"/>
  <c r="A295" i="25" s="1"/>
  <c r="F287" i="25"/>
  <c r="A287" i="25" s="1"/>
  <c r="F279" i="25"/>
  <c r="A279" i="25" s="1"/>
  <c r="F271" i="25"/>
  <c r="A271" i="25" s="1"/>
  <c r="F263" i="25"/>
  <c r="A263" i="25" s="1"/>
  <c r="F255" i="25"/>
  <c r="A255" i="25" s="1"/>
  <c r="F247" i="25"/>
  <c r="A247" i="25" s="1"/>
  <c r="F239" i="25"/>
  <c r="A239" i="25" s="1"/>
  <c r="F231" i="25"/>
  <c r="A231" i="25" s="1"/>
  <c r="F223" i="25"/>
  <c r="A223" i="25" s="1"/>
  <c r="F215" i="25"/>
  <c r="A215" i="25" s="1"/>
  <c r="F207" i="25"/>
  <c r="A207" i="25" s="1"/>
  <c r="F199" i="25"/>
  <c r="A199" i="25" s="1"/>
  <c r="F191" i="25"/>
  <c r="A191" i="25" s="1"/>
  <c r="F183" i="25"/>
  <c r="A183" i="25" s="1"/>
  <c r="F175" i="25"/>
  <c r="A175" i="25" s="1"/>
  <c r="F167" i="25"/>
  <c r="A167" i="25" s="1"/>
  <c r="F159" i="25"/>
  <c r="A159" i="25" s="1"/>
  <c r="F151" i="25"/>
  <c r="A151" i="25" s="1"/>
  <c r="F143" i="25"/>
  <c r="A143" i="25" s="1"/>
  <c r="F135" i="25"/>
  <c r="A135" i="25" s="1"/>
  <c r="F127" i="25"/>
  <c r="A127" i="25" s="1"/>
  <c r="F119" i="25"/>
  <c r="A119" i="25" s="1"/>
  <c r="F111" i="25"/>
  <c r="A111" i="25" s="1"/>
  <c r="F103" i="25"/>
  <c r="A103" i="25" s="1"/>
  <c r="F95" i="25"/>
  <c r="A95" i="25" s="1"/>
  <c r="F87" i="25"/>
  <c r="A87" i="25" s="1"/>
  <c r="F79" i="25"/>
  <c r="A79" i="25" s="1"/>
  <c r="F51" i="25"/>
  <c r="A51" i="25" s="1"/>
  <c r="F43" i="25"/>
  <c r="A43" i="25" s="1"/>
  <c r="F69" i="25"/>
  <c r="A69" i="25" s="1"/>
  <c r="F61" i="25"/>
  <c r="A61" i="25" s="1"/>
  <c r="F301" i="25"/>
  <c r="A301" i="25" s="1"/>
  <c r="F293" i="25"/>
  <c r="A293" i="25" s="1"/>
  <c r="F285" i="25"/>
  <c r="A285" i="25" s="1"/>
  <c r="F277" i="25"/>
  <c r="A277" i="25" s="1"/>
  <c r="F269" i="25"/>
  <c r="A269" i="25" s="1"/>
  <c r="F261" i="25"/>
  <c r="A261" i="25" s="1"/>
  <c r="F253" i="25"/>
  <c r="A253" i="25" s="1"/>
  <c r="F245" i="25"/>
  <c r="A245" i="25" s="1"/>
  <c r="F237" i="25"/>
  <c r="A237" i="25" s="1"/>
  <c r="F229" i="25"/>
  <c r="A229" i="25" s="1"/>
  <c r="F221" i="25"/>
  <c r="A221" i="25" s="1"/>
  <c r="F213" i="25"/>
  <c r="A213" i="25" s="1"/>
  <c r="F205" i="25"/>
  <c r="A205" i="25" s="1"/>
  <c r="F197" i="25"/>
  <c r="A197" i="25" s="1"/>
  <c r="F189" i="25"/>
  <c r="A189" i="25" s="1"/>
  <c r="F181" i="25"/>
  <c r="A181" i="25" s="1"/>
  <c r="F173" i="25"/>
  <c r="A173" i="25" s="1"/>
  <c r="F165" i="25"/>
  <c r="A165" i="25" s="1"/>
  <c r="F157" i="25"/>
  <c r="A157" i="25" s="1"/>
  <c r="F149" i="25"/>
  <c r="A149" i="25" s="1"/>
  <c r="F141" i="25"/>
  <c r="A141" i="25" s="1"/>
  <c r="F133" i="25"/>
  <c r="A133" i="25" s="1"/>
  <c r="F125" i="25"/>
  <c r="A125" i="25" s="1"/>
  <c r="F117" i="25"/>
  <c r="A117" i="25" s="1"/>
  <c r="F109" i="25"/>
  <c r="A109" i="25" s="1"/>
  <c r="F101" i="25"/>
  <c r="A101" i="25" s="1"/>
  <c r="F93" i="25"/>
  <c r="A93" i="25" s="1"/>
  <c r="F85" i="25"/>
  <c r="A85" i="25" s="1"/>
  <c r="F77" i="25"/>
  <c r="A77" i="25" s="1"/>
  <c r="F49" i="25"/>
  <c r="A49" i="25" s="1"/>
  <c r="F67" i="25"/>
  <c r="A67" i="25" s="1"/>
  <c r="F59" i="25"/>
  <c r="A59" i="25" s="1"/>
  <c r="F299" i="25"/>
  <c r="A299" i="25" s="1"/>
  <c r="F291" i="25"/>
  <c r="A291" i="25" s="1"/>
  <c r="F283" i="25"/>
  <c r="A283" i="25" s="1"/>
  <c r="F275" i="25"/>
  <c r="A275" i="25" s="1"/>
  <c r="F267" i="25"/>
  <c r="A267" i="25" s="1"/>
  <c r="F259" i="25"/>
  <c r="A259" i="25" s="1"/>
  <c r="F251" i="25"/>
  <c r="A251" i="25" s="1"/>
  <c r="F243" i="25"/>
  <c r="A243" i="25" s="1"/>
  <c r="F235" i="25"/>
  <c r="A235" i="25" s="1"/>
  <c r="F227" i="25"/>
  <c r="A227" i="25" s="1"/>
  <c r="F219" i="25"/>
  <c r="A219" i="25" s="1"/>
  <c r="F211" i="25"/>
  <c r="A211" i="25" s="1"/>
  <c r="F203" i="25"/>
  <c r="A203" i="25" s="1"/>
  <c r="F195" i="25"/>
  <c r="A195" i="25" s="1"/>
  <c r="F187" i="25"/>
  <c r="A187" i="25" s="1"/>
  <c r="F179" i="25"/>
  <c r="A179" i="25" s="1"/>
  <c r="F171" i="25"/>
  <c r="A171" i="25" s="1"/>
  <c r="F163" i="25"/>
  <c r="A163" i="25" s="1"/>
  <c r="F155" i="25"/>
  <c r="A155" i="25" s="1"/>
  <c r="F147" i="25"/>
  <c r="A147" i="25" s="1"/>
  <c r="F139" i="25"/>
  <c r="A139" i="25" s="1"/>
  <c r="F131" i="25"/>
  <c r="A131" i="25" s="1"/>
  <c r="F123" i="25"/>
  <c r="A123" i="25" s="1"/>
  <c r="F115" i="25"/>
  <c r="A115" i="25" s="1"/>
  <c r="F107" i="25"/>
  <c r="A107" i="25" s="1"/>
  <c r="F99" i="25"/>
  <c r="A99" i="25" s="1"/>
  <c r="F91" i="25"/>
  <c r="A91" i="25" s="1"/>
  <c r="F83" i="25"/>
  <c r="A83" i="25" s="1"/>
  <c r="F75" i="25"/>
  <c r="A75" i="25" s="1"/>
  <c r="F47" i="25"/>
  <c r="A47" i="25" s="1"/>
  <c r="F73" i="25"/>
  <c r="A73" i="25" s="1"/>
  <c r="F65" i="25"/>
  <c r="A65" i="25" s="1"/>
  <c r="F57" i="25"/>
  <c r="A57" i="25" s="1"/>
  <c r="F305" i="25"/>
  <c r="A305" i="25" s="1"/>
  <c r="F297" i="25"/>
  <c r="A297" i="25" s="1"/>
  <c r="F289" i="25"/>
  <c r="A289" i="25" s="1"/>
  <c r="F281" i="25"/>
  <c r="A281" i="25" s="1"/>
  <c r="F273" i="25"/>
  <c r="A273" i="25" s="1"/>
  <c r="F265" i="25"/>
  <c r="A265" i="25" s="1"/>
  <c r="F257" i="25"/>
  <c r="A257" i="25" s="1"/>
  <c r="F249" i="25"/>
  <c r="A249" i="25" s="1"/>
  <c r="F241" i="25"/>
  <c r="A241" i="25" s="1"/>
  <c r="F233" i="25"/>
  <c r="A233" i="25" s="1"/>
  <c r="F225" i="25"/>
  <c r="A225" i="25" s="1"/>
  <c r="F217" i="25"/>
  <c r="A217" i="25" s="1"/>
  <c r="F209" i="25"/>
  <c r="A209" i="25" s="1"/>
  <c r="F201" i="25"/>
  <c r="A201" i="25" s="1"/>
  <c r="F193" i="25"/>
  <c r="A193" i="25" s="1"/>
  <c r="F185" i="25"/>
  <c r="A185" i="25" s="1"/>
  <c r="F177" i="25"/>
  <c r="A177" i="25" s="1"/>
  <c r="F169" i="25"/>
  <c r="A169" i="25" s="1"/>
  <c r="F161" i="25"/>
  <c r="A161" i="25" s="1"/>
  <c r="F153" i="25"/>
  <c r="A153" i="25" s="1"/>
  <c r="F145" i="25"/>
  <c r="A145" i="25" s="1"/>
  <c r="F137" i="25"/>
  <c r="A137" i="25" s="1"/>
  <c r="F129" i="25"/>
  <c r="A129" i="25" s="1"/>
  <c r="F121" i="25"/>
  <c r="A121" i="25" s="1"/>
  <c r="F113" i="25"/>
  <c r="A113" i="25" s="1"/>
  <c r="F105" i="25"/>
  <c r="A105" i="25" s="1"/>
  <c r="F97" i="25"/>
  <c r="A97" i="25" s="1"/>
  <c r="F89" i="25"/>
  <c r="A89" i="25" s="1"/>
  <c r="F81" i="25"/>
  <c r="A81" i="25" s="1"/>
  <c r="AU15" i="39"/>
  <c r="AI72" i="25"/>
  <c r="AK72" i="25" s="1"/>
  <c r="AJ72" i="25"/>
  <c r="AL72" i="25" s="1"/>
  <c r="BZ23" i="39"/>
  <c r="AU23" i="39" s="1"/>
  <c r="AD449" i="32"/>
  <c r="H449" i="25"/>
  <c r="Z465" i="32"/>
  <c r="AA465" i="32"/>
  <c r="AE465" i="25"/>
  <c r="AF465" i="25"/>
  <c r="AD458" i="32"/>
  <c r="H458" i="25"/>
  <c r="AD483" i="32"/>
  <c r="H483" i="25"/>
  <c r="AJ32" i="32"/>
  <c r="AL32" i="32" s="1"/>
  <c r="AI36" i="32"/>
  <c r="Z410" i="32"/>
  <c r="AA410" i="32"/>
  <c r="AE410" i="25"/>
  <c r="AF410" i="25"/>
  <c r="AD441" i="32"/>
  <c r="H441" i="25"/>
  <c r="Z457" i="32"/>
  <c r="AA457" i="32"/>
  <c r="AE457" i="25"/>
  <c r="AF457" i="25"/>
  <c r="AM457" i="25"/>
  <c r="AD473" i="32"/>
  <c r="H473" i="25"/>
  <c r="Z489" i="32"/>
  <c r="AA489" i="32"/>
  <c r="AE489" i="25"/>
  <c r="AF489" i="25"/>
  <c r="AM489" i="25"/>
  <c r="AD416" i="32"/>
  <c r="H416" i="25"/>
  <c r="Z434" i="32"/>
  <c r="AA434" i="32"/>
  <c r="AE434" i="25"/>
  <c r="AF434" i="25"/>
  <c r="AD450" i="32"/>
  <c r="H450" i="25"/>
  <c r="Z466" i="32"/>
  <c r="AA466" i="32"/>
  <c r="AE466" i="25"/>
  <c r="AF466" i="25"/>
  <c r="AD482" i="32"/>
  <c r="H482" i="25"/>
  <c r="Z427" i="32"/>
  <c r="AA427" i="32"/>
  <c r="AE427" i="25"/>
  <c r="AM427" i="25" s="1"/>
  <c r="AF427" i="25"/>
  <c r="AD443" i="32"/>
  <c r="H443" i="25"/>
  <c r="Z459" i="32"/>
  <c r="AA459" i="32"/>
  <c r="AE459" i="25"/>
  <c r="AM459" i="25" s="1"/>
  <c r="AF459" i="25"/>
  <c r="AD475" i="32"/>
  <c r="H475" i="25"/>
  <c r="Z491" i="32"/>
  <c r="AA491" i="32"/>
  <c r="AE491" i="25"/>
  <c r="AF491" i="25"/>
  <c r="Z498" i="32"/>
  <c r="AA498" i="32"/>
  <c r="AE498" i="25"/>
  <c r="AF498" i="25"/>
  <c r="AM498" i="25"/>
  <c r="AI64" i="25"/>
  <c r="AK64" i="25" s="1"/>
  <c r="AJ64" i="25"/>
  <c r="AL64" i="25" s="1"/>
  <c r="AJ21" i="32"/>
  <c r="AL21" i="32" s="1"/>
  <c r="AJ35" i="32"/>
  <c r="AL35" i="32" s="1"/>
  <c r="AJ23" i="32"/>
  <c r="AL23" i="32" s="1"/>
  <c r="AI27" i="32"/>
  <c r="AJ38" i="32"/>
  <c r="AL38" i="32" s="1"/>
  <c r="AI21" i="32"/>
  <c r="AJ34" i="32"/>
  <c r="AL34" i="32" s="1"/>
  <c r="AJ22" i="32"/>
  <c r="AL22" i="32" s="1"/>
  <c r="AI31" i="32"/>
  <c r="AJ39" i="32"/>
  <c r="AL39" i="32" s="1"/>
  <c r="Z54" i="32"/>
  <c r="AM58" i="25"/>
  <c r="F15" i="4"/>
  <c r="C31" i="25"/>
  <c r="C32" i="25" s="1"/>
  <c r="C33" i="25" s="1"/>
  <c r="C34" i="25" s="1"/>
  <c r="C35" i="25" s="1"/>
  <c r="C36" i="25" s="1"/>
  <c r="C37" i="25" s="1"/>
  <c r="Z314" i="32"/>
  <c r="AA314" i="32"/>
  <c r="AE314" i="25"/>
  <c r="AM314" i="25" s="1"/>
  <c r="AF314" i="25"/>
  <c r="B330" i="25"/>
  <c r="Z346" i="32"/>
  <c r="AA346" i="32"/>
  <c r="AE346" i="25"/>
  <c r="AM346" i="25" s="1"/>
  <c r="AF346" i="25"/>
  <c r="AD354" i="32"/>
  <c r="H354" i="25"/>
  <c r="B362" i="25"/>
  <c r="Z378" i="32"/>
  <c r="AA378" i="32"/>
  <c r="AE378" i="25"/>
  <c r="AF378" i="25"/>
  <c r="AD394" i="32"/>
  <c r="H394" i="25"/>
  <c r="AD307" i="32"/>
  <c r="H307" i="25"/>
  <c r="Z323" i="32"/>
  <c r="AA323" i="32"/>
  <c r="AE323" i="25"/>
  <c r="AF323" i="25"/>
  <c r="AD331" i="32"/>
  <c r="H331" i="25"/>
  <c r="B339" i="25"/>
  <c r="Z355" i="32"/>
  <c r="AA355" i="32"/>
  <c r="AE355" i="25"/>
  <c r="AF355" i="25"/>
  <c r="AD363" i="32"/>
  <c r="H363" i="25"/>
  <c r="B371" i="25"/>
  <c r="Z387" i="32"/>
  <c r="AA387" i="32"/>
  <c r="AE387" i="25"/>
  <c r="AF387" i="25"/>
  <c r="AD403" i="32"/>
  <c r="H403" i="25"/>
  <c r="Z419" i="32"/>
  <c r="AA419" i="32"/>
  <c r="AE419" i="25"/>
  <c r="AM419" i="25"/>
  <c r="AF419" i="25"/>
  <c r="AD308" i="32"/>
  <c r="H308" i="25"/>
  <c r="B316" i="25"/>
  <c r="Z332" i="32"/>
  <c r="AA332" i="32"/>
  <c r="AE332" i="25"/>
  <c r="AM332" i="25"/>
  <c r="AF332" i="25"/>
  <c r="AD340" i="32"/>
  <c r="H340" i="25"/>
  <c r="B348" i="25"/>
  <c r="Z364" i="32"/>
  <c r="AA364" i="32"/>
  <c r="AE364" i="25"/>
  <c r="AM364" i="25"/>
  <c r="AF364" i="25"/>
  <c r="AD372" i="32"/>
  <c r="H372" i="25"/>
  <c r="AD380" i="32"/>
  <c r="H380" i="25"/>
  <c r="Z309" i="32"/>
  <c r="AA309" i="32"/>
  <c r="AE309" i="25"/>
  <c r="AM309" i="25" s="1"/>
  <c r="AF309" i="25"/>
  <c r="AD325" i="32"/>
  <c r="H325" i="25"/>
  <c r="Z341" i="32"/>
  <c r="AA341" i="32"/>
  <c r="AE341" i="25"/>
  <c r="AF341" i="25"/>
  <c r="AD349" i="32"/>
  <c r="H349" i="25"/>
  <c r="B357" i="25"/>
  <c r="Z373" i="32"/>
  <c r="AA373" i="32"/>
  <c r="AE373" i="25"/>
  <c r="AM373" i="25" s="1"/>
  <c r="AF373" i="25"/>
  <c r="AD389" i="32"/>
  <c r="H389" i="25"/>
  <c r="Z405" i="32"/>
  <c r="AA405" i="32"/>
  <c r="AE405" i="25"/>
  <c r="AF405" i="25"/>
  <c r="AM405" i="25"/>
  <c r="AD421" i="32"/>
  <c r="H421" i="25"/>
  <c r="Z414" i="32"/>
  <c r="AA414" i="32"/>
  <c r="AE414" i="25"/>
  <c r="AF414" i="25"/>
  <c r="AM414" i="25"/>
  <c r="AD436" i="32"/>
  <c r="H436" i="25"/>
  <c r="Z452" i="32"/>
  <c r="AA452" i="32"/>
  <c r="AE452" i="25"/>
  <c r="AF452" i="25"/>
  <c r="AD468" i="32"/>
  <c r="H468" i="25"/>
  <c r="Z484" i="32"/>
  <c r="AA484" i="32"/>
  <c r="AE484" i="25"/>
  <c r="AF484" i="25"/>
  <c r="AD420" i="32"/>
  <c r="H420" i="25"/>
  <c r="AJ297" i="25"/>
  <c r="AL297" i="25" s="1"/>
  <c r="AI297" i="25"/>
  <c r="AK297" i="25" s="1"/>
  <c r="AM297" i="25"/>
  <c r="AJ265" i="25"/>
  <c r="AL265" i="25" s="1"/>
  <c r="AI265" i="25"/>
  <c r="AK265" i="25" s="1"/>
  <c r="AG265" i="25" s="1"/>
  <c r="AM265" i="25"/>
  <c r="AJ233" i="25"/>
  <c r="AL233" i="25" s="1"/>
  <c r="AI233" i="25"/>
  <c r="AK233" i="25" s="1"/>
  <c r="AM233" i="25"/>
  <c r="AI95" i="25"/>
  <c r="AK95" i="25" s="1"/>
  <c r="AJ95" i="25"/>
  <c r="AL95" i="25" s="1"/>
  <c r="AM95" i="25"/>
  <c r="AI74" i="25"/>
  <c r="AK74" i="25" s="1"/>
  <c r="AM74" i="25"/>
  <c r="AJ74" i="25"/>
  <c r="AL74" i="25" s="1"/>
  <c r="AI48" i="25"/>
  <c r="AK48" i="25" s="1"/>
  <c r="AM48" i="25"/>
  <c r="AJ48" i="25"/>
  <c r="AL48" i="25" s="1"/>
  <c r="AI303" i="25"/>
  <c r="AK303" i="25" s="1"/>
  <c r="AJ303" i="25"/>
  <c r="AL303" i="25" s="1"/>
  <c r="AM303" i="25"/>
  <c r="AI287" i="25"/>
  <c r="AK287" i="25" s="1"/>
  <c r="AJ287" i="25"/>
  <c r="AL287" i="25" s="1"/>
  <c r="AM287" i="25"/>
  <c r="AI271" i="25"/>
  <c r="AK271" i="25" s="1"/>
  <c r="AJ271" i="25"/>
  <c r="AL271" i="25" s="1"/>
  <c r="AM271" i="25"/>
  <c r="AI255" i="25"/>
  <c r="AK255" i="25" s="1"/>
  <c r="AJ255" i="25"/>
  <c r="AL255" i="25" s="1"/>
  <c r="AM255" i="25"/>
  <c r="AI239" i="25"/>
  <c r="AK239" i="25" s="1"/>
  <c r="AJ239" i="25"/>
  <c r="AL239" i="25" s="1"/>
  <c r="AM239" i="25"/>
  <c r="AI223" i="25"/>
  <c r="AK223" i="25" s="1"/>
  <c r="AJ223" i="25"/>
  <c r="AL223" i="25" s="1"/>
  <c r="AM223" i="25"/>
  <c r="AI215" i="25"/>
  <c r="AK215" i="25" s="1"/>
  <c r="AM215" i="25"/>
  <c r="AJ215" i="25"/>
  <c r="AL215" i="25" s="1"/>
  <c r="AI201" i="25"/>
  <c r="AK201" i="25" s="1"/>
  <c r="AJ201" i="25"/>
  <c r="AL201" i="25" s="1"/>
  <c r="AM201" i="25"/>
  <c r="AI169" i="25"/>
  <c r="AK169" i="25" s="1"/>
  <c r="AJ169" i="25"/>
  <c r="AL169" i="25" s="1"/>
  <c r="AM169" i="25"/>
  <c r="AI137" i="25"/>
  <c r="AK137" i="25" s="1"/>
  <c r="AM137" i="25"/>
  <c r="AJ137" i="25"/>
  <c r="AL137" i="25" s="1"/>
  <c r="AI39" i="25"/>
  <c r="AK39" i="25" s="1"/>
  <c r="AM39" i="25"/>
  <c r="AJ39" i="25"/>
  <c r="AL39" i="25" s="1"/>
  <c r="AJ293" i="25"/>
  <c r="AL293" i="25" s="1"/>
  <c r="AI293" i="25"/>
  <c r="AK293" i="25" s="1"/>
  <c r="AG293" i="25" s="1"/>
  <c r="AM293" i="25"/>
  <c r="AJ261" i="25"/>
  <c r="AL261" i="25" s="1"/>
  <c r="AI261" i="25"/>
  <c r="AK261" i="25" s="1"/>
  <c r="AM261" i="25"/>
  <c r="AJ229" i="25"/>
  <c r="AL229" i="25" s="1"/>
  <c r="AI229" i="25"/>
  <c r="AK229" i="25" s="1"/>
  <c r="AM229" i="25"/>
  <c r="AI70" i="25"/>
  <c r="AK70" i="25" s="1"/>
  <c r="AG70" i="25" s="1"/>
  <c r="AM70" i="25"/>
  <c r="AJ70" i="25"/>
  <c r="AL70" i="25" s="1"/>
  <c r="AI291" i="25"/>
  <c r="AK291" i="25" s="1"/>
  <c r="AJ291" i="25"/>
  <c r="AL291" i="25" s="1"/>
  <c r="AM291" i="25"/>
  <c r="AI275" i="25"/>
  <c r="AK275" i="25" s="1"/>
  <c r="AJ275" i="25"/>
  <c r="AL275" i="25" s="1"/>
  <c r="AM275" i="25"/>
  <c r="AI259" i="25"/>
  <c r="AK259" i="25" s="1"/>
  <c r="AJ259" i="25"/>
  <c r="AL259" i="25" s="1"/>
  <c r="AM259" i="25"/>
  <c r="AI243" i="25"/>
  <c r="AK243" i="25" s="1"/>
  <c r="AJ243" i="25"/>
  <c r="AL243" i="25" s="1"/>
  <c r="AM243" i="25"/>
  <c r="AI227" i="25"/>
  <c r="AK227" i="25" s="1"/>
  <c r="AJ227" i="25"/>
  <c r="AL227" i="25" s="1"/>
  <c r="AM227" i="25"/>
  <c r="AI181" i="25"/>
  <c r="AK181" i="25" s="1"/>
  <c r="AJ181" i="25"/>
  <c r="AL181" i="25" s="1"/>
  <c r="AM181" i="25"/>
  <c r="AI149" i="25"/>
  <c r="AK149" i="25" s="1"/>
  <c r="AJ149" i="25"/>
  <c r="AL149" i="25" s="1"/>
  <c r="AM149" i="25"/>
  <c r="AI117" i="25"/>
  <c r="AK117" i="25" s="1"/>
  <c r="AJ117" i="25"/>
  <c r="AL117" i="25" s="1"/>
  <c r="AM117" i="25"/>
  <c r="AI25" i="25"/>
  <c r="AK25" i="25" s="1"/>
  <c r="AM25" i="25"/>
  <c r="AJ25" i="25"/>
  <c r="AL25" i="25" s="1"/>
  <c r="AJ214" i="25"/>
  <c r="AL214" i="25" s="1"/>
  <c r="AM214" i="25"/>
  <c r="AI214" i="25"/>
  <c r="AK214" i="25" s="1"/>
  <c r="AG214" i="25" s="1"/>
  <c r="AJ198" i="25"/>
  <c r="AL198" i="25" s="1"/>
  <c r="AM198" i="25"/>
  <c r="AI198" i="25"/>
  <c r="AK198" i="25" s="1"/>
  <c r="AJ182" i="25"/>
  <c r="AL182" i="25" s="1"/>
  <c r="AM182" i="25"/>
  <c r="AI182" i="25"/>
  <c r="AK182" i="25" s="1"/>
  <c r="AJ166" i="25"/>
  <c r="AL166" i="25" s="1"/>
  <c r="AM166" i="25"/>
  <c r="AI166" i="25"/>
  <c r="AK166" i="25" s="1"/>
  <c r="AJ150" i="25"/>
  <c r="AL150" i="25" s="1"/>
  <c r="AM150" i="25"/>
  <c r="AI150" i="25"/>
  <c r="AK150" i="25" s="1"/>
  <c r="AG150" i="25" s="1"/>
  <c r="AJ134" i="25"/>
  <c r="AL134" i="25" s="1"/>
  <c r="AM134" i="25"/>
  <c r="AI134" i="25"/>
  <c r="AK134" i="25" s="1"/>
  <c r="AJ118" i="25"/>
  <c r="AL118" i="25" s="1"/>
  <c r="AM118" i="25"/>
  <c r="AI118" i="25"/>
  <c r="AK118" i="25" s="1"/>
  <c r="AJ105" i="25"/>
  <c r="AL105" i="25" s="1"/>
  <c r="AM105" i="25"/>
  <c r="AI105" i="25"/>
  <c r="AM88" i="25"/>
  <c r="AJ88" i="25"/>
  <c r="AL88" i="25" s="1"/>
  <c r="AI88" i="25"/>
  <c r="AK88" i="25" s="1"/>
  <c r="AG88" i="25" s="1"/>
  <c r="AJ71" i="25"/>
  <c r="AL71" i="25" s="1"/>
  <c r="AM71" i="25"/>
  <c r="AI71" i="25"/>
  <c r="AK71" i="25" s="1"/>
  <c r="AJ40" i="25"/>
  <c r="AL40" i="25" s="1"/>
  <c r="AM40" i="25"/>
  <c r="AI40" i="25"/>
  <c r="AJ22" i="25"/>
  <c r="AL22" i="25" s="1"/>
  <c r="AM22" i="25"/>
  <c r="AI22" i="25"/>
  <c r="AK22" i="25" s="1"/>
  <c r="AI199" i="25"/>
  <c r="AK199" i="25" s="1"/>
  <c r="AJ199" i="25"/>
  <c r="AL199" i="25" s="1"/>
  <c r="AM199" i="25"/>
  <c r="AI183" i="25"/>
  <c r="AK183" i="25" s="1"/>
  <c r="AJ183" i="25"/>
  <c r="AL183" i="25" s="1"/>
  <c r="AM183" i="25"/>
  <c r="AI167" i="25"/>
  <c r="AK167" i="25" s="1"/>
  <c r="AJ167" i="25"/>
  <c r="AL167" i="25" s="1"/>
  <c r="AM167" i="25"/>
  <c r="AI151" i="25"/>
  <c r="AK151" i="25" s="1"/>
  <c r="AJ151" i="25"/>
  <c r="AL151" i="25" s="1"/>
  <c r="AM151" i="25"/>
  <c r="AI135" i="25"/>
  <c r="AK135" i="25" s="1"/>
  <c r="AM135" i="25"/>
  <c r="AJ135" i="25"/>
  <c r="AL135" i="25" s="1"/>
  <c r="AI119" i="25"/>
  <c r="AK119" i="25" s="1"/>
  <c r="AJ119" i="25"/>
  <c r="AL119" i="25" s="1"/>
  <c r="AM119" i="25"/>
  <c r="AM102" i="25"/>
  <c r="AI102" i="25"/>
  <c r="AK102" i="25" s="1"/>
  <c r="AJ102" i="25"/>
  <c r="AL102" i="25" s="1"/>
  <c r="AJ89" i="25"/>
  <c r="AL89" i="25" s="1"/>
  <c r="AI89" i="25"/>
  <c r="AK89" i="25" s="1"/>
  <c r="AG89" i="25" s="1"/>
  <c r="AM89" i="25"/>
  <c r="AJ76" i="25"/>
  <c r="AL76" i="25" s="1"/>
  <c r="AM76" i="25"/>
  <c r="AI76" i="25"/>
  <c r="AJ50" i="25"/>
  <c r="AL50" i="25" s="1"/>
  <c r="AM50" i="25"/>
  <c r="AI50" i="25"/>
  <c r="AI36" i="25"/>
  <c r="AK36" i="25" s="1"/>
  <c r="AG36" i="25" s="1"/>
  <c r="AM36" i="25"/>
  <c r="AJ36" i="25"/>
  <c r="AL36" i="25" s="1"/>
  <c r="AM23" i="25"/>
  <c r="AI23" i="25"/>
  <c r="AK23" i="25" s="1"/>
  <c r="AJ23" i="25"/>
  <c r="AL23" i="25" s="1"/>
  <c r="AI296" i="25"/>
  <c r="AK296" i="25" s="1"/>
  <c r="AJ296" i="25"/>
  <c r="AL296" i="25" s="1"/>
  <c r="AM296" i="25"/>
  <c r="AI280" i="25"/>
  <c r="AK280" i="25" s="1"/>
  <c r="AJ280" i="25"/>
  <c r="AL280" i="25" s="1"/>
  <c r="AM280" i="25"/>
  <c r="AI264" i="25"/>
  <c r="AK264" i="25" s="1"/>
  <c r="AJ264" i="25"/>
  <c r="AL264" i="25" s="1"/>
  <c r="AM264" i="25"/>
  <c r="AI248" i="25"/>
  <c r="AK248" i="25" s="1"/>
  <c r="AJ248" i="25"/>
  <c r="AL248" i="25" s="1"/>
  <c r="AM248" i="25"/>
  <c r="AI232" i="25"/>
  <c r="AK232" i="25" s="1"/>
  <c r="AJ232" i="25"/>
  <c r="AL232" i="25" s="1"/>
  <c r="AM232" i="25"/>
  <c r="AJ216" i="25"/>
  <c r="AL216" i="25" s="1"/>
  <c r="AM216" i="25"/>
  <c r="AI216" i="25"/>
  <c r="AK216" i="25" s="1"/>
  <c r="AJ200" i="25"/>
  <c r="AL200" i="25" s="1"/>
  <c r="AM200" i="25"/>
  <c r="AI200" i="25"/>
  <c r="AK200" i="25" s="1"/>
  <c r="AJ184" i="25"/>
  <c r="AL184" i="25" s="1"/>
  <c r="AM184" i="25"/>
  <c r="AI184" i="25"/>
  <c r="AK184" i="25" s="1"/>
  <c r="AJ168" i="25"/>
  <c r="AL168" i="25" s="1"/>
  <c r="AM168" i="25"/>
  <c r="AI168" i="25"/>
  <c r="AK168" i="25" s="1"/>
  <c r="AG168" i="25" s="1"/>
  <c r="AM152" i="25"/>
  <c r="AJ152" i="25"/>
  <c r="AL152" i="25" s="1"/>
  <c r="AI152" i="25"/>
  <c r="AK152" i="25" s="1"/>
  <c r="AJ136" i="25"/>
  <c r="AL136" i="25" s="1"/>
  <c r="AM136" i="25"/>
  <c r="AI136" i="25"/>
  <c r="AK136" i="25" s="1"/>
  <c r="AM120" i="25"/>
  <c r="AJ120" i="25"/>
  <c r="AI120" i="25"/>
  <c r="AK120" i="25" s="1"/>
  <c r="AJ90" i="25"/>
  <c r="AL90" i="25" s="1"/>
  <c r="AM90" i="25"/>
  <c r="AI90" i="25"/>
  <c r="AK90" i="25" s="1"/>
  <c r="AG90" i="25" s="1"/>
  <c r="AJ73" i="25"/>
  <c r="AL73" i="25" s="1"/>
  <c r="AM73" i="25"/>
  <c r="AI73" i="25"/>
  <c r="AK73" i="25" s="1"/>
  <c r="AJ57" i="25"/>
  <c r="AL57" i="25" s="1"/>
  <c r="AM57" i="25"/>
  <c r="AI57" i="25"/>
  <c r="AK57" i="25" s="1"/>
  <c r="AJ43" i="25"/>
  <c r="AL43" i="25" s="1"/>
  <c r="AM43" i="25"/>
  <c r="AI43" i="25"/>
  <c r="AK43" i="25" s="1"/>
  <c r="AJ24" i="25"/>
  <c r="AL24" i="25" s="1"/>
  <c r="AM24" i="25"/>
  <c r="AI24" i="25"/>
  <c r="AK24" i="25" s="1"/>
  <c r="AG24" i="25" s="1"/>
  <c r="Z74" i="32"/>
  <c r="AI272" i="32" s="1"/>
  <c r="AD418" i="32"/>
  <c r="H418" i="25"/>
  <c r="Z437" i="32"/>
  <c r="AA437" i="32"/>
  <c r="AE437" i="25"/>
  <c r="AF437" i="25"/>
  <c r="AM437" i="25"/>
  <c r="AD453" i="32"/>
  <c r="H453" i="25"/>
  <c r="Z469" i="32"/>
  <c r="AA469" i="32"/>
  <c r="AE469" i="25"/>
  <c r="AF469" i="25"/>
  <c r="AD485" i="32"/>
  <c r="H485" i="25"/>
  <c r="AD424" i="32"/>
  <c r="H424" i="25"/>
  <c r="Z438" i="32"/>
  <c r="AA438" i="32"/>
  <c r="AE438" i="25"/>
  <c r="AM438" i="25" s="1"/>
  <c r="AF438" i="25"/>
  <c r="AD454" i="32"/>
  <c r="H454" i="25"/>
  <c r="Z470" i="32"/>
  <c r="AA470" i="32"/>
  <c r="AE470" i="25"/>
  <c r="AF470" i="25"/>
  <c r="AD486" i="32"/>
  <c r="H486" i="25"/>
  <c r="AD494" i="32"/>
  <c r="H494" i="25"/>
  <c r="Z431" i="32"/>
  <c r="AA431" i="32"/>
  <c r="AE431" i="25"/>
  <c r="AM431" i="25" s="1"/>
  <c r="AF431" i="25"/>
  <c r="AD447" i="32"/>
  <c r="H447" i="25"/>
  <c r="Z463" i="32"/>
  <c r="AA463" i="32"/>
  <c r="AE463" i="25"/>
  <c r="AF463" i="25"/>
  <c r="AD479" i="32"/>
  <c r="H479" i="25"/>
  <c r="AA495" i="32"/>
  <c r="AE495" i="25"/>
  <c r="AM495" i="25" s="1"/>
  <c r="AF495" i="25"/>
  <c r="Z495" i="32"/>
  <c r="Z496" i="32"/>
  <c r="AA496" i="32"/>
  <c r="AE496" i="25"/>
  <c r="AM496" i="25" s="1"/>
  <c r="AF496" i="25"/>
  <c r="AE504" i="25"/>
  <c r="AF504" i="25"/>
  <c r="AI18" i="32"/>
  <c r="AG4" i="32"/>
  <c r="AN4" i="32" s="1"/>
  <c r="Z318" i="32"/>
  <c r="AA318" i="32"/>
  <c r="AE318" i="25"/>
  <c r="AF318" i="25"/>
  <c r="B334" i="25"/>
  <c r="Z350" i="32"/>
  <c r="AA350" i="32"/>
  <c r="AE350" i="25"/>
  <c r="AM350" i="25" s="1"/>
  <c r="AF350" i="25"/>
  <c r="AD358" i="32"/>
  <c r="H358" i="25"/>
  <c r="B366" i="25"/>
  <c r="Z382" i="32"/>
  <c r="AA382" i="32"/>
  <c r="AE382" i="25"/>
  <c r="AM382" i="25" s="1"/>
  <c r="AF382" i="25"/>
  <c r="AD398" i="32"/>
  <c r="H398" i="25"/>
  <c r="Z311" i="32"/>
  <c r="AA311" i="32"/>
  <c r="AE311" i="25"/>
  <c r="AF311" i="25"/>
  <c r="AD327" i="32"/>
  <c r="H327" i="25"/>
  <c r="Z343" i="32"/>
  <c r="AA343" i="32"/>
  <c r="AE343" i="25"/>
  <c r="AF343" i="25"/>
  <c r="AD351" i="32"/>
  <c r="H351" i="25"/>
  <c r="B359" i="25"/>
  <c r="Z375" i="32"/>
  <c r="AA375" i="32"/>
  <c r="AE375" i="25"/>
  <c r="AF375" i="25"/>
  <c r="AD391" i="32"/>
  <c r="H391" i="25"/>
  <c r="Z407" i="32"/>
  <c r="AA407" i="32"/>
  <c r="AE407" i="25"/>
  <c r="AM407" i="25"/>
  <c r="AF407" i="25"/>
  <c r="AD423" i="32"/>
  <c r="H423" i="25"/>
  <c r="Z320" i="32"/>
  <c r="AA320" i="32"/>
  <c r="AE320" i="25"/>
  <c r="AM320" i="25"/>
  <c r="AF320" i="25"/>
  <c r="AD328" i="32"/>
  <c r="H328" i="25"/>
  <c r="B336" i="25"/>
  <c r="Z352" i="32"/>
  <c r="AA352" i="32"/>
  <c r="AE352" i="25"/>
  <c r="AM352" i="25"/>
  <c r="AF352" i="25"/>
  <c r="AD360" i="32"/>
  <c r="H360" i="25"/>
  <c r="B368" i="25"/>
  <c r="Z384" i="32"/>
  <c r="AA384" i="32"/>
  <c r="AE384" i="25"/>
  <c r="AM384" i="25"/>
  <c r="AF384" i="25"/>
  <c r="AD313" i="32"/>
  <c r="H313" i="25"/>
  <c r="Z329" i="32"/>
  <c r="AA329" i="32"/>
  <c r="AE329" i="25"/>
  <c r="AM329" i="25" s="1"/>
  <c r="AF329" i="25"/>
  <c r="AD337" i="32"/>
  <c r="H337" i="25"/>
  <c r="B345" i="25"/>
  <c r="Z361" i="32"/>
  <c r="AA361" i="32"/>
  <c r="AE361" i="25"/>
  <c r="AF361" i="25"/>
  <c r="AD369" i="32"/>
  <c r="H369" i="25"/>
  <c r="AD377" i="32"/>
  <c r="H377" i="25"/>
  <c r="Z393" i="32"/>
  <c r="AA393" i="32"/>
  <c r="AE393" i="25"/>
  <c r="AM393" i="25" s="1"/>
  <c r="AF393" i="25"/>
  <c r="AD409" i="32"/>
  <c r="H409" i="25"/>
  <c r="Z425" i="32"/>
  <c r="AA425" i="32"/>
  <c r="AE425" i="25"/>
  <c r="AF425" i="25"/>
  <c r="AD422" i="32"/>
  <c r="H422" i="25"/>
  <c r="Z440" i="32"/>
  <c r="AA440" i="32"/>
  <c r="AE440" i="25"/>
  <c r="AF440" i="25"/>
  <c r="AD456" i="32"/>
  <c r="H456" i="25"/>
  <c r="Z472" i="32"/>
  <c r="AA472" i="32"/>
  <c r="AE472" i="25"/>
  <c r="AF472" i="25"/>
  <c r="AM472" i="25"/>
  <c r="AD488" i="32"/>
  <c r="H488" i="25"/>
  <c r="AE503" i="25"/>
  <c r="AF503" i="25"/>
  <c r="AJ27" i="32"/>
  <c r="AL27" i="32" s="1"/>
  <c r="AJ37" i="25"/>
  <c r="AL37" i="25" s="1"/>
  <c r="AI37" i="25"/>
  <c r="AK37" i="25" s="1"/>
  <c r="Z42" i="32"/>
  <c r="BZ9" i="39"/>
  <c r="AU9" i="39" s="1"/>
  <c r="AI72" i="32"/>
  <c r="BZ18" i="39"/>
  <c r="AU18" i="39" s="1"/>
  <c r="AD489" i="32"/>
  <c r="H489" i="25"/>
  <c r="Z416" i="32"/>
  <c r="AA416" i="32"/>
  <c r="AE416" i="25"/>
  <c r="AF416" i="25"/>
  <c r="B434" i="25"/>
  <c r="AD427" i="32"/>
  <c r="H427" i="25"/>
  <c r="Z443" i="32"/>
  <c r="AA443" i="32"/>
  <c r="AE443" i="25"/>
  <c r="AF443" i="25"/>
  <c r="B459" i="25"/>
  <c r="Z475" i="32"/>
  <c r="AA475" i="32"/>
  <c r="AE475" i="25"/>
  <c r="AM475" i="25" s="1"/>
  <c r="AF475" i="25"/>
  <c r="AJ29" i="32"/>
  <c r="AL29" i="32" s="1"/>
  <c r="AI29" i="32"/>
  <c r="AJ19" i="32"/>
  <c r="AL19" i="32" s="1"/>
  <c r="AI19" i="32"/>
  <c r="B314" i="25"/>
  <c r="AD370" i="32"/>
  <c r="H370" i="25"/>
  <c r="B378" i="25"/>
  <c r="AD347" i="32"/>
  <c r="H347" i="25"/>
  <c r="Z371" i="32"/>
  <c r="AA371" i="32"/>
  <c r="AE371" i="25"/>
  <c r="AF371" i="25"/>
  <c r="B387" i="25"/>
  <c r="AD356" i="32"/>
  <c r="H356" i="25"/>
  <c r="B309" i="25"/>
  <c r="AD365" i="32"/>
  <c r="H365" i="25"/>
  <c r="AD484" i="32"/>
  <c r="H484" i="25"/>
  <c r="Z420" i="32"/>
  <c r="AA420" i="32"/>
  <c r="AE420" i="25"/>
  <c r="AF420" i="25"/>
  <c r="AD396" i="32"/>
  <c r="H396" i="25"/>
  <c r="Z433" i="32"/>
  <c r="AA433" i="32"/>
  <c r="AE433" i="25"/>
  <c r="AF433" i="25"/>
  <c r="B449" i="25"/>
  <c r="B481" i="25"/>
  <c r="AD426" i="32"/>
  <c r="H426" i="25"/>
  <c r="Z442" i="32"/>
  <c r="AA442" i="32"/>
  <c r="AE442" i="25"/>
  <c r="AM442" i="25" s="1"/>
  <c r="AF442" i="25"/>
  <c r="B458" i="25"/>
  <c r="Z474" i="32"/>
  <c r="AA474" i="32"/>
  <c r="AE474" i="25"/>
  <c r="AF474" i="25"/>
  <c r="AM474" i="25"/>
  <c r="B490" i="25"/>
  <c r="AD451" i="32"/>
  <c r="H451" i="25"/>
  <c r="B483" i="25"/>
  <c r="AJ122" i="32"/>
  <c r="AL122" i="32" s="1"/>
  <c r="AI112" i="32"/>
  <c r="P310" i="25"/>
  <c r="Y309" i="25"/>
  <c r="Z396" i="32"/>
  <c r="AA396" i="32"/>
  <c r="AE396" i="25"/>
  <c r="AF396" i="25"/>
  <c r="AD433" i="32"/>
  <c r="H433" i="25"/>
  <c r="Z449" i="32"/>
  <c r="AA449" i="32"/>
  <c r="AE449" i="25"/>
  <c r="AF449" i="25"/>
  <c r="AM449" i="25"/>
  <c r="AD465" i="32"/>
  <c r="H465" i="25"/>
  <c r="Z481" i="32"/>
  <c r="AA481" i="32"/>
  <c r="AE481" i="25"/>
  <c r="AF481" i="25"/>
  <c r="AM481" i="25"/>
  <c r="AD497" i="32"/>
  <c r="H497" i="25"/>
  <c r="Z426" i="32"/>
  <c r="AA426" i="32"/>
  <c r="AE426" i="25"/>
  <c r="AF426" i="25"/>
  <c r="AD442" i="32"/>
  <c r="H442" i="25"/>
  <c r="Z458" i="32"/>
  <c r="AA458" i="32"/>
  <c r="AE458" i="25"/>
  <c r="AF458" i="25"/>
  <c r="AD474" i="32"/>
  <c r="H474" i="25"/>
  <c r="Z490" i="32"/>
  <c r="AA490" i="32"/>
  <c r="AE490" i="25"/>
  <c r="AM490" i="25" s="1"/>
  <c r="AF490" i="25"/>
  <c r="AD435" i="32"/>
  <c r="H435" i="25"/>
  <c r="Z451" i="32"/>
  <c r="AA451" i="32"/>
  <c r="AE451" i="25"/>
  <c r="AM451" i="25" s="1"/>
  <c r="AF451" i="25"/>
  <c r="AD467" i="32"/>
  <c r="H467" i="25"/>
  <c r="Z483" i="32"/>
  <c r="AA483" i="32"/>
  <c r="AE483" i="25"/>
  <c r="AF483" i="25"/>
  <c r="AD499" i="32"/>
  <c r="H499" i="25"/>
  <c r="AD498" i="32"/>
  <c r="H498" i="25"/>
  <c r="AJ265" i="32"/>
  <c r="AL265" i="32" s="1"/>
  <c r="AI277" i="32"/>
  <c r="AI29" i="25"/>
  <c r="AK29" i="25" s="1"/>
  <c r="AJ29" i="25"/>
  <c r="AL29" i="25" s="1"/>
  <c r="AI39" i="32"/>
  <c r="AJ56" i="32"/>
  <c r="AL56" i="32" s="1"/>
  <c r="AJ156" i="32"/>
  <c r="AL156" i="32" s="1"/>
  <c r="AI22" i="32"/>
  <c r="AI24" i="32"/>
  <c r="AI30" i="32"/>
  <c r="AJ40" i="32"/>
  <c r="AL40" i="32" s="1"/>
  <c r="AI75" i="32"/>
  <c r="AJ36" i="32"/>
  <c r="AL36" i="32" s="1"/>
  <c r="AI44" i="32"/>
  <c r="AJ142" i="32"/>
  <c r="AL142" i="32" s="1"/>
  <c r="AI32" i="32"/>
  <c r="AJ41" i="32"/>
  <c r="AL41" i="32" s="1"/>
  <c r="AJ49" i="32"/>
  <c r="AL49" i="32" s="1"/>
  <c r="AJ149" i="32"/>
  <c r="AL149" i="32" s="1"/>
  <c r="AI162" i="32"/>
  <c r="AI19" i="25"/>
  <c r="AK19" i="25" s="1"/>
  <c r="AJ19" i="25"/>
  <c r="AL19" i="25" s="1"/>
  <c r="AD322" i="32"/>
  <c r="H322" i="25"/>
  <c r="Z338" i="32"/>
  <c r="AA338" i="32"/>
  <c r="AE338" i="25"/>
  <c r="AM338" i="25"/>
  <c r="AF338" i="25"/>
  <c r="AD346" i="32"/>
  <c r="H346" i="25"/>
  <c r="B354" i="25"/>
  <c r="Z370" i="32"/>
  <c r="AA370" i="32"/>
  <c r="AE370" i="25"/>
  <c r="AF370" i="25"/>
  <c r="AM370" i="25"/>
  <c r="AD386" i="32"/>
  <c r="H386" i="25"/>
  <c r="Z402" i="32"/>
  <c r="AA402" i="32"/>
  <c r="AE402" i="25"/>
  <c r="AF402" i="25"/>
  <c r="AT29" i="32"/>
  <c r="Z315" i="32"/>
  <c r="AA315" i="32"/>
  <c r="AE315" i="25"/>
  <c r="AM315" i="25"/>
  <c r="AF315" i="25"/>
  <c r="B331" i="25"/>
  <c r="Z347" i="32"/>
  <c r="AA347" i="32"/>
  <c r="AE347" i="25"/>
  <c r="AF347" i="25"/>
  <c r="AD355" i="32"/>
  <c r="H355" i="25"/>
  <c r="B363" i="25"/>
  <c r="Z379" i="32"/>
  <c r="AA379" i="32"/>
  <c r="AE379" i="25"/>
  <c r="AM379" i="25" s="1"/>
  <c r="AF379" i="25"/>
  <c r="AD395" i="32"/>
  <c r="H395" i="25"/>
  <c r="Z411" i="32"/>
  <c r="AA411" i="32"/>
  <c r="AE411" i="25"/>
  <c r="AM411" i="25"/>
  <c r="AF411" i="25"/>
  <c r="B308" i="25"/>
  <c r="Z324" i="32"/>
  <c r="AA324" i="32"/>
  <c r="AE324" i="25"/>
  <c r="AM324" i="25" s="1"/>
  <c r="AF324" i="25"/>
  <c r="AD332" i="32"/>
  <c r="H332" i="25"/>
  <c r="B340" i="25"/>
  <c r="Z356" i="32"/>
  <c r="AA356" i="32"/>
  <c r="AE356" i="25"/>
  <c r="AM356" i="25" s="1"/>
  <c r="AF356" i="25"/>
  <c r="AD364" i="32"/>
  <c r="H364" i="25"/>
  <c r="B372" i="25"/>
  <c r="Z388" i="32"/>
  <c r="AA388" i="32"/>
  <c r="AE388" i="25"/>
  <c r="AM388" i="25" s="1"/>
  <c r="AF388" i="25"/>
  <c r="AD317" i="32"/>
  <c r="H317" i="25"/>
  <c r="Z333" i="32"/>
  <c r="AA333" i="32"/>
  <c r="AE333" i="25"/>
  <c r="AF333" i="25"/>
  <c r="AD341" i="32"/>
  <c r="H341" i="25"/>
  <c r="B349" i="25"/>
  <c r="Z365" i="32"/>
  <c r="AA365" i="32"/>
  <c r="AE365" i="25"/>
  <c r="AM365" i="25" s="1"/>
  <c r="AF365" i="25"/>
  <c r="AD373" i="32"/>
  <c r="H373" i="25"/>
  <c r="AD381" i="32"/>
  <c r="H381" i="25"/>
  <c r="Z397" i="32"/>
  <c r="AA397" i="32"/>
  <c r="AE397" i="25"/>
  <c r="AF397" i="25"/>
  <c r="AM397" i="25"/>
  <c r="AD413" i="32"/>
  <c r="H413" i="25"/>
  <c r="Z400" i="32"/>
  <c r="AA400" i="32"/>
  <c r="AE400" i="25"/>
  <c r="AF400" i="25"/>
  <c r="AD428" i="32"/>
  <c r="H428" i="25"/>
  <c r="Z444" i="32"/>
  <c r="AA444" i="32"/>
  <c r="AE444" i="25"/>
  <c r="AF444" i="25"/>
  <c r="AD460" i="32"/>
  <c r="H460" i="25"/>
  <c r="Z476" i="32"/>
  <c r="AA476" i="32"/>
  <c r="AE476" i="25"/>
  <c r="AF476" i="25"/>
  <c r="AM476" i="25"/>
  <c r="AD492" i="32"/>
  <c r="H492" i="25"/>
  <c r="AE502" i="25"/>
  <c r="AF502" i="25"/>
  <c r="AP2" i="25"/>
  <c r="AO2" i="25"/>
  <c r="AI193" i="32"/>
  <c r="AA501" i="32"/>
  <c r="AE501" i="25"/>
  <c r="AF501" i="25"/>
  <c r="AM501" i="25"/>
  <c r="Z501" i="32"/>
  <c r="AJ289" i="25"/>
  <c r="AL289" i="25" s="1"/>
  <c r="AI289" i="25"/>
  <c r="AK289" i="25" s="1"/>
  <c r="AM289" i="25"/>
  <c r="AJ257" i="25"/>
  <c r="AL257" i="25" s="1"/>
  <c r="AI257" i="25"/>
  <c r="AK257" i="25" s="1"/>
  <c r="AM257" i="25"/>
  <c r="AI225" i="25"/>
  <c r="AK225" i="25" s="1"/>
  <c r="AJ225" i="25"/>
  <c r="AL225" i="25" s="1"/>
  <c r="AM225" i="25"/>
  <c r="AI87" i="25"/>
  <c r="AK87" i="25" s="1"/>
  <c r="AJ87" i="25"/>
  <c r="AL87" i="25" s="1"/>
  <c r="AM87" i="25"/>
  <c r="AI66" i="25"/>
  <c r="AK66" i="25" s="1"/>
  <c r="AM66" i="25"/>
  <c r="AJ66" i="25"/>
  <c r="AL66" i="25" s="1"/>
  <c r="AM298" i="25"/>
  <c r="AJ298" i="25"/>
  <c r="AL298" i="25" s="1"/>
  <c r="AI298" i="25"/>
  <c r="AK298" i="25" s="1"/>
  <c r="AM282" i="25"/>
  <c r="AJ282" i="25"/>
  <c r="AL282" i="25" s="1"/>
  <c r="AI282" i="25"/>
  <c r="AK282" i="25" s="1"/>
  <c r="AM266" i="25"/>
  <c r="AJ266" i="25"/>
  <c r="AL266" i="25" s="1"/>
  <c r="AI266" i="25"/>
  <c r="AK266" i="25" s="1"/>
  <c r="AM250" i="25"/>
  <c r="AJ250" i="25"/>
  <c r="AL250" i="25" s="1"/>
  <c r="AI250" i="25"/>
  <c r="AK250" i="25" s="1"/>
  <c r="AM234" i="25"/>
  <c r="AJ234" i="25"/>
  <c r="AL234" i="25" s="1"/>
  <c r="AI234" i="25"/>
  <c r="AK234" i="25" s="1"/>
  <c r="AI221" i="25"/>
  <c r="AK221" i="25" s="1"/>
  <c r="AJ221" i="25"/>
  <c r="AL221" i="25" s="1"/>
  <c r="AM221" i="25"/>
  <c r="AI213" i="25"/>
  <c r="AK213" i="25" s="1"/>
  <c r="AJ213" i="25"/>
  <c r="AL213" i="25" s="1"/>
  <c r="AM213" i="25"/>
  <c r="AI193" i="25"/>
  <c r="AK193" i="25" s="1"/>
  <c r="AJ193" i="25"/>
  <c r="AL193" i="25" s="1"/>
  <c r="AM193" i="25"/>
  <c r="AI161" i="25"/>
  <c r="AK161" i="25" s="1"/>
  <c r="AJ161" i="25"/>
  <c r="AL161" i="25" s="1"/>
  <c r="AM161" i="25"/>
  <c r="AI129" i="25"/>
  <c r="AK129" i="25" s="1"/>
  <c r="AG129" i="25" s="1"/>
  <c r="AM129" i="25"/>
  <c r="AJ129" i="25"/>
  <c r="AL129" i="25" s="1"/>
  <c r="AI34" i="25"/>
  <c r="AK34" i="25" s="1"/>
  <c r="AM34" i="25"/>
  <c r="AJ34" i="25"/>
  <c r="AL34" i="25" s="1"/>
  <c r="AJ285" i="25"/>
  <c r="AL285" i="25" s="1"/>
  <c r="AI285" i="25"/>
  <c r="AK285" i="25" s="1"/>
  <c r="AM285" i="25"/>
  <c r="AJ253" i="25"/>
  <c r="AL253" i="25" s="1"/>
  <c r="AI253" i="25"/>
  <c r="AK253" i="25" s="1"/>
  <c r="AM253" i="25"/>
  <c r="AI104" i="25"/>
  <c r="AK104" i="25" s="1"/>
  <c r="AG104" i="25" s="1"/>
  <c r="AM104" i="25"/>
  <c r="AJ104" i="25"/>
  <c r="AL104" i="25" s="1"/>
  <c r="AI62" i="25"/>
  <c r="AK62" i="25" s="1"/>
  <c r="AM62" i="25"/>
  <c r="AJ62" i="25"/>
  <c r="AL62" i="25" s="1"/>
  <c r="AJ302" i="25"/>
  <c r="AL302" i="25" s="1"/>
  <c r="AM302" i="25"/>
  <c r="AI302" i="25"/>
  <c r="AK302" i="25" s="1"/>
  <c r="AG302" i="25" s="1"/>
  <c r="AJ286" i="25"/>
  <c r="AL286" i="25" s="1"/>
  <c r="AM286" i="25"/>
  <c r="AI286" i="25"/>
  <c r="AK286" i="25" s="1"/>
  <c r="AJ270" i="25"/>
  <c r="AL270" i="25" s="1"/>
  <c r="AM270" i="25"/>
  <c r="AI270" i="25"/>
  <c r="AK270" i="25" s="1"/>
  <c r="AJ254" i="25"/>
  <c r="AL254" i="25" s="1"/>
  <c r="AM254" i="25"/>
  <c r="AI254" i="25"/>
  <c r="AK254" i="25" s="1"/>
  <c r="AJ238" i="25"/>
  <c r="AL238" i="25" s="1"/>
  <c r="AM238" i="25"/>
  <c r="AI238" i="25"/>
  <c r="AK238" i="25" s="1"/>
  <c r="AG238" i="25" s="1"/>
  <c r="AI205" i="25"/>
  <c r="AK205" i="25" s="1"/>
  <c r="AJ205" i="25"/>
  <c r="AM205" i="25"/>
  <c r="AI173" i="25"/>
  <c r="AK173" i="25" s="1"/>
  <c r="AJ173" i="25"/>
  <c r="AM173" i="25"/>
  <c r="AI141" i="25"/>
  <c r="AK141" i="25" s="1"/>
  <c r="AJ141" i="25"/>
  <c r="AL141" i="25" s="1"/>
  <c r="AM141" i="25"/>
  <c r="AI109" i="25"/>
  <c r="AK109" i="25" s="1"/>
  <c r="AJ109" i="25"/>
  <c r="AL109" i="25" s="1"/>
  <c r="AM109" i="25"/>
  <c r="AI17" i="25"/>
  <c r="AK17" i="25" s="1"/>
  <c r="AM17" i="25"/>
  <c r="AJ17" i="25"/>
  <c r="AL17" i="25" s="1"/>
  <c r="AJ210" i="25"/>
  <c r="AL210" i="25" s="1"/>
  <c r="AM210" i="25"/>
  <c r="AI210" i="25"/>
  <c r="AK210" i="25" s="1"/>
  <c r="AJ194" i="25"/>
  <c r="AL194" i="25" s="1"/>
  <c r="AM194" i="25"/>
  <c r="AI194" i="25"/>
  <c r="AK194" i="25" s="1"/>
  <c r="AJ178" i="25"/>
  <c r="AL178" i="25" s="1"/>
  <c r="AM178" i="25"/>
  <c r="AI178" i="25"/>
  <c r="AK178" i="25" s="1"/>
  <c r="AG178" i="25" s="1"/>
  <c r="AJ162" i="25"/>
  <c r="AL162" i="25" s="1"/>
  <c r="AM162" i="25"/>
  <c r="AI162" i="25"/>
  <c r="AK162" i="25" s="1"/>
  <c r="AJ146" i="25"/>
  <c r="AL146" i="25" s="1"/>
  <c r="AM146" i="25"/>
  <c r="AI146" i="25"/>
  <c r="AK146" i="25" s="1"/>
  <c r="AJ130" i="25"/>
  <c r="AL130" i="25" s="1"/>
  <c r="AM130" i="25"/>
  <c r="AI130" i="25"/>
  <c r="AK130" i="25" s="1"/>
  <c r="AJ114" i="25"/>
  <c r="AL114" i="25" s="1"/>
  <c r="AM114" i="25"/>
  <c r="AI114" i="25"/>
  <c r="AK114" i="25" s="1"/>
  <c r="AG114" i="25" s="1"/>
  <c r="AM101" i="25"/>
  <c r="AJ101" i="25"/>
  <c r="AL101" i="25" s="1"/>
  <c r="AI101" i="25"/>
  <c r="AK101" i="25" s="1"/>
  <c r="AJ84" i="25"/>
  <c r="AL84" i="25" s="1"/>
  <c r="AM84" i="25"/>
  <c r="AI84" i="25"/>
  <c r="AK84" i="25" s="1"/>
  <c r="AJ67" i="25"/>
  <c r="AL67" i="25" s="1"/>
  <c r="AM67" i="25"/>
  <c r="AI67" i="25"/>
  <c r="AK67" i="25" s="1"/>
  <c r="AJ49" i="25"/>
  <c r="AL49" i="25" s="1"/>
  <c r="AM49" i="25"/>
  <c r="AI49" i="25"/>
  <c r="AK49" i="25" s="1"/>
  <c r="AG49" i="25" s="1"/>
  <c r="AJ35" i="25"/>
  <c r="AL35" i="25" s="1"/>
  <c r="AM35" i="25"/>
  <c r="AI35" i="25"/>
  <c r="AK35" i="25" s="1"/>
  <c r="AJ18" i="25"/>
  <c r="AL18" i="25" s="1"/>
  <c r="AM18" i="25"/>
  <c r="AI18" i="25"/>
  <c r="AK18" i="25" s="1"/>
  <c r="AI195" i="25"/>
  <c r="AK195" i="25" s="1"/>
  <c r="AJ195" i="25"/>
  <c r="AL195" i="25" s="1"/>
  <c r="AM195" i="25"/>
  <c r="AI179" i="25"/>
  <c r="AK179" i="25" s="1"/>
  <c r="AJ179" i="25"/>
  <c r="AL179" i="25" s="1"/>
  <c r="AM179" i="25"/>
  <c r="AI163" i="25"/>
  <c r="AK163" i="25" s="1"/>
  <c r="AJ163" i="25"/>
  <c r="AM163" i="25"/>
  <c r="AJ147" i="25"/>
  <c r="AL147" i="25" s="1"/>
  <c r="AI147" i="25"/>
  <c r="AK147" i="25" s="1"/>
  <c r="AM147" i="25"/>
  <c r="AM131" i="25"/>
  <c r="AI131" i="25"/>
  <c r="AK131" i="25" s="1"/>
  <c r="AJ131" i="25"/>
  <c r="AL131" i="25" s="1"/>
  <c r="AJ115" i="25"/>
  <c r="AL115" i="25" s="1"/>
  <c r="AI115" i="25"/>
  <c r="AK115" i="25" s="1"/>
  <c r="AM115" i="25"/>
  <c r="AI98" i="25"/>
  <c r="AK98" i="25" s="1"/>
  <c r="AM98" i="25"/>
  <c r="AJ98" i="25"/>
  <c r="AL98" i="25" s="1"/>
  <c r="AM85" i="25"/>
  <c r="AI85" i="25"/>
  <c r="AK85" i="25" s="1"/>
  <c r="AJ85" i="25"/>
  <c r="AL85" i="25" s="1"/>
  <c r="AM60" i="25"/>
  <c r="AI60" i="25"/>
  <c r="AK60" i="25" s="1"/>
  <c r="AJ60" i="25"/>
  <c r="AL60" i="25" s="1"/>
  <c r="AI46" i="25"/>
  <c r="AK46" i="25" s="1"/>
  <c r="AM46" i="25"/>
  <c r="AJ46" i="25"/>
  <c r="AL46" i="25" s="1"/>
  <c r="AI15" i="25"/>
  <c r="AJ15" i="25"/>
  <c r="AL15" i="25" s="1"/>
  <c r="AI292" i="25"/>
  <c r="AK292" i="25" s="1"/>
  <c r="AJ292" i="25"/>
  <c r="AL292" i="25" s="1"/>
  <c r="AM292" i="25"/>
  <c r="AI276" i="25"/>
  <c r="AK276" i="25" s="1"/>
  <c r="AJ276" i="25"/>
  <c r="AL276" i="25" s="1"/>
  <c r="AM276" i="25"/>
  <c r="AI260" i="25"/>
  <c r="AK260" i="25" s="1"/>
  <c r="AJ260" i="25"/>
  <c r="AL260" i="25" s="1"/>
  <c r="AM260" i="25"/>
  <c r="AI244" i="25"/>
  <c r="AK244" i="25" s="1"/>
  <c r="AJ244" i="25"/>
  <c r="AL244" i="25" s="1"/>
  <c r="AM244" i="25"/>
  <c r="AI228" i="25"/>
  <c r="AK228" i="25" s="1"/>
  <c r="AJ228" i="25"/>
  <c r="AL228" i="25" s="1"/>
  <c r="AM228" i="25"/>
  <c r="AJ212" i="25"/>
  <c r="AL212" i="25" s="1"/>
  <c r="AM212" i="25"/>
  <c r="AI212" i="25"/>
  <c r="AK212" i="25" s="1"/>
  <c r="AG212" i="25" s="1"/>
  <c r="AJ196" i="25"/>
  <c r="AL196" i="25" s="1"/>
  <c r="AM196" i="25"/>
  <c r="AI196" i="25"/>
  <c r="AK196" i="25" s="1"/>
  <c r="AJ180" i="25"/>
  <c r="AL180" i="25" s="1"/>
  <c r="AM180" i="25"/>
  <c r="AI180" i="25"/>
  <c r="AK180" i="25" s="1"/>
  <c r="AJ164" i="25"/>
  <c r="AL164" i="25" s="1"/>
  <c r="AM164" i="25"/>
  <c r="AI164" i="25"/>
  <c r="AK164" i="25" s="1"/>
  <c r="AJ148" i="25"/>
  <c r="AL148" i="25" s="1"/>
  <c r="AM148" i="25"/>
  <c r="AI148" i="25"/>
  <c r="AK148" i="25" s="1"/>
  <c r="AG148" i="25" s="1"/>
  <c r="AJ132" i="25"/>
  <c r="AL132" i="25" s="1"/>
  <c r="AM132" i="25"/>
  <c r="AI132" i="25"/>
  <c r="AK132" i="25" s="1"/>
  <c r="AM116" i="25"/>
  <c r="AJ116" i="25"/>
  <c r="AL116" i="25" s="1"/>
  <c r="AI116" i="25"/>
  <c r="AK116" i="25" s="1"/>
  <c r="AJ103" i="25"/>
  <c r="AL103" i="25" s="1"/>
  <c r="AM103" i="25"/>
  <c r="AI103" i="25"/>
  <c r="AK103" i="25" s="1"/>
  <c r="AJ86" i="25"/>
  <c r="AM86" i="25"/>
  <c r="AI86" i="25"/>
  <c r="AK86" i="25" s="1"/>
  <c r="AJ69" i="25"/>
  <c r="AL69" i="25" s="1"/>
  <c r="AM69" i="25"/>
  <c r="AI69" i="25"/>
  <c r="AK69" i="25" s="1"/>
  <c r="AI56" i="25"/>
  <c r="AJ56" i="25"/>
  <c r="AL56" i="25" s="1"/>
  <c r="AM56" i="25"/>
  <c r="AJ20" i="25"/>
  <c r="AL20" i="25" s="1"/>
  <c r="AM20" i="25"/>
  <c r="AI20" i="25"/>
  <c r="AK20" i="25" s="1"/>
  <c r="BZ22" i="39"/>
  <c r="AU22" i="39" s="1"/>
  <c r="AJ54" i="25"/>
  <c r="AL54" i="25" s="1"/>
  <c r="AI54" i="25"/>
  <c r="AK54" i="25" s="1"/>
  <c r="AD404" i="32"/>
  <c r="H404" i="25"/>
  <c r="Z429" i="32"/>
  <c r="AA429" i="32"/>
  <c r="AE429" i="25"/>
  <c r="AF429" i="25"/>
  <c r="AD445" i="32"/>
  <c r="H445" i="25"/>
  <c r="Z461" i="32"/>
  <c r="AA461" i="32"/>
  <c r="AE461" i="25"/>
  <c r="AF461" i="25"/>
  <c r="AD477" i="32"/>
  <c r="H477" i="25"/>
  <c r="AA493" i="32"/>
  <c r="Z493" i="32"/>
  <c r="AE493" i="25"/>
  <c r="AM493" i="25" s="1"/>
  <c r="AF493" i="25"/>
  <c r="Z430" i="32"/>
  <c r="AA430" i="32"/>
  <c r="AE430" i="25"/>
  <c r="AF430" i="25"/>
  <c r="AD446" i="32"/>
  <c r="H446" i="25"/>
  <c r="Z462" i="32"/>
  <c r="AA462" i="32"/>
  <c r="AE462" i="25"/>
  <c r="AM462" i="25" s="1"/>
  <c r="AF462" i="25"/>
  <c r="AD478" i="32"/>
  <c r="H478" i="25"/>
  <c r="AD439" i="32"/>
  <c r="H439" i="25"/>
  <c r="Z455" i="32"/>
  <c r="AA455" i="32"/>
  <c r="AE455" i="25"/>
  <c r="AM455" i="25" s="1"/>
  <c r="AF455" i="25"/>
  <c r="AD471" i="32"/>
  <c r="H471" i="25"/>
  <c r="Z487" i="32"/>
  <c r="AA487" i="32"/>
  <c r="AE487" i="25"/>
  <c r="AM487" i="25" s="1"/>
  <c r="AF487" i="25"/>
  <c r="B496" i="25"/>
  <c r="AJ175" i="32"/>
  <c r="AL175" i="32" s="1"/>
  <c r="AH4" i="32"/>
  <c r="AO4" i="32" s="1"/>
  <c r="Z310" i="32"/>
  <c r="AA310" i="32"/>
  <c r="AE310" i="25"/>
  <c r="AM310" i="25" s="1"/>
  <c r="AF310" i="25"/>
  <c r="AD326" i="32"/>
  <c r="H326" i="25"/>
  <c r="Z342" i="32"/>
  <c r="AA342" i="32"/>
  <c r="AE342" i="25"/>
  <c r="AF342" i="25"/>
  <c r="AD350" i="32"/>
  <c r="H350" i="25"/>
  <c r="Z374" i="32"/>
  <c r="AA374" i="32"/>
  <c r="AE374" i="25"/>
  <c r="AM374" i="25"/>
  <c r="AF374" i="25"/>
  <c r="AD390" i="32"/>
  <c r="H390" i="25"/>
  <c r="Z406" i="32"/>
  <c r="AA406" i="32"/>
  <c r="AE406" i="25"/>
  <c r="AM406" i="25" s="1"/>
  <c r="AF406" i="25"/>
  <c r="AD319" i="32"/>
  <c r="H319" i="25"/>
  <c r="Z335" i="32"/>
  <c r="AA335" i="32"/>
  <c r="AE335" i="25"/>
  <c r="AM335" i="25" s="1"/>
  <c r="AF335" i="25"/>
  <c r="AD343" i="32"/>
  <c r="H343" i="25"/>
  <c r="Z367" i="32"/>
  <c r="AA367" i="32"/>
  <c r="AE367" i="25"/>
  <c r="AM367" i="25" s="1"/>
  <c r="AF367" i="25"/>
  <c r="AD375" i="32"/>
  <c r="H375" i="25"/>
  <c r="AD383" i="32"/>
  <c r="H383" i="25"/>
  <c r="Z399" i="32"/>
  <c r="AA399" i="32"/>
  <c r="AE399" i="25"/>
  <c r="AM399" i="25" s="1"/>
  <c r="AF399" i="25"/>
  <c r="AD415" i="32"/>
  <c r="H415" i="25"/>
  <c r="Z312" i="32"/>
  <c r="AA312" i="32"/>
  <c r="AE312" i="25"/>
  <c r="AM312" i="25" s="1"/>
  <c r="AF312" i="25"/>
  <c r="AD320" i="32"/>
  <c r="H320" i="25"/>
  <c r="B328" i="25"/>
  <c r="Z344" i="32"/>
  <c r="AA344" i="32"/>
  <c r="AE344" i="25"/>
  <c r="AF344" i="25"/>
  <c r="AD352" i="32"/>
  <c r="H352" i="25"/>
  <c r="B360" i="25"/>
  <c r="Z376" i="32"/>
  <c r="AA376" i="32"/>
  <c r="AE376" i="25"/>
  <c r="AF376" i="25"/>
  <c r="AD392" i="32"/>
  <c r="H392" i="25"/>
  <c r="Z321" i="32"/>
  <c r="AA321" i="32"/>
  <c r="AE321" i="25"/>
  <c r="AF321" i="25"/>
  <c r="AD329" i="32"/>
  <c r="H329" i="25"/>
  <c r="B337" i="25"/>
  <c r="Z353" i="32"/>
  <c r="AA353" i="32"/>
  <c r="AE353" i="25"/>
  <c r="AF353" i="25"/>
  <c r="AD361" i="32"/>
  <c r="H361" i="25"/>
  <c r="B369" i="25"/>
  <c r="Z385" i="32"/>
  <c r="AA385" i="32"/>
  <c r="AE385" i="25"/>
  <c r="AF385" i="25"/>
  <c r="AD401" i="32"/>
  <c r="H401" i="25"/>
  <c r="AA417" i="32"/>
  <c r="AE417" i="25"/>
  <c r="AM417" i="25" s="1"/>
  <c r="AF417" i="25"/>
  <c r="Z417" i="32"/>
  <c r="AD408" i="32"/>
  <c r="H408" i="25"/>
  <c r="Z432" i="32"/>
  <c r="AA432" i="32"/>
  <c r="AE432" i="25"/>
  <c r="AM432" i="25" s="1"/>
  <c r="AF432" i="25"/>
  <c r="AD448" i="32"/>
  <c r="H448" i="25"/>
  <c r="Z464" i="32"/>
  <c r="AA464" i="32"/>
  <c r="AE464" i="25"/>
  <c r="AF464" i="25"/>
  <c r="AD480" i="32"/>
  <c r="H480" i="25"/>
  <c r="Z412" i="32"/>
  <c r="AA412" i="32"/>
  <c r="AE412" i="25"/>
  <c r="AF412" i="25"/>
  <c r="Z500" i="32"/>
  <c r="AA500" i="32"/>
  <c r="AE500" i="25"/>
  <c r="AF500" i="25"/>
  <c r="AJ20" i="32"/>
  <c r="AL20" i="32" s="1"/>
  <c r="AJ28" i="32"/>
  <c r="AL28" i="32" s="1"/>
  <c r="AI284" i="32"/>
  <c r="AI186" i="32"/>
  <c r="AI37" i="32"/>
  <c r="AJ37" i="32"/>
  <c r="AL37" i="32" s="1"/>
  <c r="BZ19" i="39"/>
  <c r="AU19" i="39" s="1"/>
  <c r="AG160" i="25" l="1"/>
  <c r="AG63" i="25"/>
  <c r="AG190" i="25"/>
  <c r="AG39" i="25"/>
  <c r="AG215" i="25"/>
  <c r="AG74" i="25"/>
  <c r="AG54" i="25"/>
  <c r="AG250" i="25"/>
  <c r="AG284" i="25"/>
  <c r="AG51" i="25"/>
  <c r="AG203" i="25"/>
  <c r="AG157" i="25"/>
  <c r="AG230" i="25"/>
  <c r="AG294" i="25"/>
  <c r="AG145" i="25"/>
  <c r="AG273" i="25"/>
  <c r="AG14" i="25"/>
  <c r="AN14" i="25" s="1"/>
  <c r="AG12" i="25"/>
  <c r="AJ183" i="32"/>
  <c r="AL183" i="32" s="1"/>
  <c r="AC2" i="25"/>
  <c r="BZ3" i="39"/>
  <c r="AI119" i="32"/>
  <c r="AJ111" i="32"/>
  <c r="AL111" i="32" s="1"/>
  <c r="AI141" i="32"/>
  <c r="AJ126" i="32"/>
  <c r="AL126" i="32" s="1"/>
  <c r="AJ238" i="32"/>
  <c r="AL238" i="32" s="1"/>
  <c r="AI250" i="32"/>
  <c r="F504" i="25"/>
  <c r="A504" i="25" s="1"/>
  <c r="B19" i="39"/>
  <c r="D7" i="4"/>
  <c r="E7" i="4"/>
  <c r="D6" i="4"/>
  <c r="E6" i="4"/>
  <c r="F6" i="4"/>
  <c r="D8" i="4"/>
  <c r="E8" i="4"/>
  <c r="F7" i="4"/>
  <c r="AG7" i="25"/>
  <c r="AG4" i="25"/>
  <c r="AK10" i="32"/>
  <c r="AH10" i="32" s="1"/>
  <c r="AO10" i="32" s="1"/>
  <c r="AG6" i="32"/>
  <c r="AN6" i="32" s="1"/>
  <c r="AK7" i="32"/>
  <c r="AG7" i="32"/>
  <c r="AN7" i="32" s="1"/>
  <c r="AO3" i="25"/>
  <c r="AP3" i="25"/>
  <c r="AC3" i="25"/>
  <c r="AN3" i="25"/>
  <c r="AG28" i="32"/>
  <c r="AN28" i="32" s="1"/>
  <c r="AI194" i="32"/>
  <c r="AI179" i="32"/>
  <c r="AJ254" i="32"/>
  <c r="AL254" i="32" s="1"/>
  <c r="BZ4" i="39"/>
  <c r="AU4" i="39" s="1"/>
  <c r="AJ173" i="32"/>
  <c r="AL173" i="32" s="1"/>
  <c r="AI88" i="32"/>
  <c r="AJ80" i="32"/>
  <c r="AL80" i="32" s="1"/>
  <c r="AI108" i="32"/>
  <c r="AJ94" i="32"/>
  <c r="AL94" i="32" s="1"/>
  <c r="B23" i="39"/>
  <c r="AK8" i="32"/>
  <c r="AG8" i="25"/>
  <c r="AK11" i="32"/>
  <c r="AG11" i="32"/>
  <c r="AN11" i="32" s="1"/>
  <c r="AK2" i="32"/>
  <c r="AH2" i="32" s="1"/>
  <c r="AO2" i="32" s="1"/>
  <c r="AG13" i="25"/>
  <c r="AK6" i="32"/>
  <c r="AJ24" i="32"/>
  <c r="AL24" i="32" s="1"/>
  <c r="AI17" i="32"/>
  <c r="AJ13" i="32"/>
  <c r="AL13" i="32" s="1"/>
  <c r="AJ14" i="32"/>
  <c r="AL14" i="32" s="1"/>
  <c r="AJ33" i="32"/>
  <c r="AL33" i="32" s="1"/>
  <c r="AJ18" i="32"/>
  <c r="AL18" i="32" s="1"/>
  <c r="AI34" i="32"/>
  <c r="AI23" i="32"/>
  <c r="AK23" i="32" s="1"/>
  <c r="AH23" i="32" s="1"/>
  <c r="AO23" i="32" s="1"/>
  <c r="AI33" i="32"/>
  <c r="AI16" i="32"/>
  <c r="AJ30" i="32"/>
  <c r="AL30" i="32" s="1"/>
  <c r="AI14" i="32"/>
  <c r="AI38" i="32"/>
  <c r="AK38" i="32" s="1"/>
  <c r="AI26" i="32"/>
  <c r="AJ17" i="32"/>
  <c r="AL17" i="32" s="1"/>
  <c r="AI13" i="32"/>
  <c r="AI20" i="32"/>
  <c r="AK20" i="32" s="1"/>
  <c r="AJ16" i="32"/>
  <c r="AL16" i="32" s="1"/>
  <c r="AJ31" i="32"/>
  <c r="AL31" i="32" s="1"/>
  <c r="AI25" i="32"/>
  <c r="AI41" i="32"/>
  <c r="AK41" i="32" s="1"/>
  <c r="AI28" i="32"/>
  <c r="AK28" i="32" s="1"/>
  <c r="AJ9" i="32"/>
  <c r="AL9" i="32" s="1"/>
  <c r="AG10" i="25"/>
  <c r="AC14" i="25"/>
  <c r="AO14" i="25"/>
  <c r="AG5" i="25"/>
  <c r="AG11" i="25"/>
  <c r="AO12" i="25"/>
  <c r="AP12" i="25"/>
  <c r="AN12" i="25"/>
  <c r="AC12" i="25"/>
  <c r="AG12" i="32"/>
  <c r="AN12" i="32" s="1"/>
  <c r="AK12" i="32"/>
  <c r="AK3" i="32"/>
  <c r="AH3" i="32"/>
  <c r="AO3" i="32" s="1"/>
  <c r="AK5" i="32"/>
  <c r="AG5" i="32" s="1"/>
  <c r="AN5" i="32" s="1"/>
  <c r="AG107" i="25"/>
  <c r="AG92" i="25"/>
  <c r="AG278" i="25"/>
  <c r="AG301" i="25"/>
  <c r="AC301" i="25" s="1"/>
  <c r="AG241" i="25"/>
  <c r="AG144" i="25"/>
  <c r="AG236" i="25"/>
  <c r="AG300" i="25"/>
  <c r="AO300" i="25" s="1"/>
  <c r="AG77" i="25"/>
  <c r="AG276" i="25"/>
  <c r="AG179" i="25"/>
  <c r="AG109" i="25"/>
  <c r="AN109" i="25" s="1"/>
  <c r="AG20" i="25"/>
  <c r="AO20" i="25" s="1"/>
  <c r="AG103" i="25"/>
  <c r="AG164" i="25"/>
  <c r="AN164" i="25" s="1"/>
  <c r="AG260" i="25"/>
  <c r="AN260" i="25" s="1"/>
  <c r="AG85" i="25"/>
  <c r="AN85" i="25" s="1"/>
  <c r="AG98" i="25"/>
  <c r="AG67" i="25"/>
  <c r="AP67" i="25" s="1"/>
  <c r="AG130" i="25"/>
  <c r="AC130" i="25" s="1"/>
  <c r="AG194" i="25"/>
  <c r="AP194" i="25" s="1"/>
  <c r="AG17" i="25"/>
  <c r="AG254" i="25"/>
  <c r="AG161" i="25"/>
  <c r="AC161" i="25" s="1"/>
  <c r="AG43" i="25"/>
  <c r="AP43" i="25" s="1"/>
  <c r="AG184" i="25"/>
  <c r="AG280" i="25"/>
  <c r="AG102" i="25"/>
  <c r="AP102" i="25" s="1"/>
  <c r="AG119" i="25"/>
  <c r="AP119" i="25" s="1"/>
  <c r="AG183" i="25"/>
  <c r="AG22" i="25"/>
  <c r="AG166" i="25"/>
  <c r="AO166" i="25" s="1"/>
  <c r="AG149" i="25"/>
  <c r="AN149" i="25" s="1"/>
  <c r="AG259" i="25"/>
  <c r="AG137" i="25"/>
  <c r="AC137" i="25" s="1"/>
  <c r="AG223" i="25"/>
  <c r="AP223" i="25" s="1"/>
  <c r="AG287" i="25"/>
  <c r="AO287" i="25" s="1"/>
  <c r="AG95" i="25"/>
  <c r="AG233" i="25"/>
  <c r="AG147" i="25"/>
  <c r="AN147" i="25" s="1"/>
  <c r="AG266" i="25"/>
  <c r="AC266" i="25" s="1"/>
  <c r="AG256" i="25"/>
  <c r="AN256" i="25" s="1"/>
  <c r="AG81" i="25"/>
  <c r="AG159" i="25"/>
  <c r="AN159" i="25" s="1"/>
  <c r="AG197" i="25"/>
  <c r="AN197" i="25" s="1"/>
  <c r="AG283" i="25"/>
  <c r="AC283" i="25" s="1"/>
  <c r="AG153" i="25"/>
  <c r="AG231" i="25"/>
  <c r="AO231" i="25" s="1"/>
  <c r="AG295" i="25"/>
  <c r="AP295" i="25" s="1"/>
  <c r="AG285" i="25"/>
  <c r="AO285" i="25" s="1"/>
  <c r="AG234" i="25"/>
  <c r="AG298" i="25"/>
  <c r="AO298" i="25" s="1"/>
  <c r="AG289" i="25"/>
  <c r="AC289" i="25" s="1"/>
  <c r="AG152" i="25"/>
  <c r="AN152" i="25" s="1"/>
  <c r="AG261" i="25"/>
  <c r="AG47" i="25"/>
  <c r="AN47" i="25" s="1"/>
  <c r="AG108" i="25"/>
  <c r="AO108" i="25" s="1"/>
  <c r="AG172" i="25"/>
  <c r="AO172" i="25" s="1"/>
  <c r="AG26" i="25"/>
  <c r="AG154" i="25"/>
  <c r="AP154" i="25" s="1"/>
  <c r="AG218" i="25"/>
  <c r="AC218" i="25" s="1"/>
  <c r="AG83" i="25"/>
  <c r="AO83" i="25" s="1"/>
  <c r="AG242" i="25"/>
  <c r="AG306" i="25"/>
  <c r="AO306" i="25" s="1"/>
  <c r="AG16" i="25"/>
  <c r="AN16" i="25" s="1"/>
  <c r="AG82" i="25"/>
  <c r="AC82" i="25" s="1"/>
  <c r="AG208" i="25"/>
  <c r="AG45" i="25"/>
  <c r="AP45" i="25" s="1"/>
  <c r="AG110" i="25"/>
  <c r="AO110" i="25" s="1"/>
  <c r="AG174" i="25"/>
  <c r="AN174" i="25" s="1"/>
  <c r="AG121" i="25"/>
  <c r="AG219" i="25"/>
  <c r="AC219" i="25" s="1"/>
  <c r="AG100" i="25"/>
  <c r="AP100" i="25" s="1"/>
  <c r="AG37" i="25"/>
  <c r="AO37" i="25" s="1"/>
  <c r="AG155" i="25"/>
  <c r="AG262" i="25"/>
  <c r="AN262" i="25" s="1"/>
  <c r="AG269" i="25"/>
  <c r="AN269" i="25" s="1"/>
  <c r="AG277" i="25"/>
  <c r="AN277" i="25" s="1"/>
  <c r="AG281" i="25"/>
  <c r="AG297" i="25"/>
  <c r="AO297" i="25" s="1"/>
  <c r="AI344" i="25"/>
  <c r="AK344" i="25" s="1"/>
  <c r="AJ344" i="25"/>
  <c r="AL344" i="25" s="1"/>
  <c r="AC164" i="25"/>
  <c r="AI400" i="25"/>
  <c r="AK400" i="25" s="1"/>
  <c r="AJ400" i="25"/>
  <c r="AL400" i="25" s="1"/>
  <c r="AI333" i="25"/>
  <c r="AK333" i="25" s="1"/>
  <c r="AJ333" i="25"/>
  <c r="AL333" i="25" s="1"/>
  <c r="AI324" i="32"/>
  <c r="AJ324" i="32"/>
  <c r="AL324" i="32" s="1"/>
  <c r="F355" i="25"/>
  <c r="A355" i="25" s="1"/>
  <c r="AI402" i="25"/>
  <c r="AK402" i="25" s="1"/>
  <c r="AJ402" i="25"/>
  <c r="AL402" i="25" s="1"/>
  <c r="AI370" i="32"/>
  <c r="AJ370" i="32"/>
  <c r="AL370" i="32" s="1"/>
  <c r="AI338" i="32"/>
  <c r="AJ338" i="32"/>
  <c r="AL338" i="32" s="1"/>
  <c r="AJ443" i="25"/>
  <c r="AL443" i="25" s="1"/>
  <c r="AI443" i="25"/>
  <c r="AK443" i="25" s="1"/>
  <c r="AJ416" i="25"/>
  <c r="AL416" i="25" s="1"/>
  <c r="AI416" i="25"/>
  <c r="AK416" i="25" s="1"/>
  <c r="AJ222" i="32"/>
  <c r="AL222" i="32" s="1"/>
  <c r="A337" i="25"/>
  <c r="F337" i="25"/>
  <c r="AI352" i="32"/>
  <c r="AJ352" i="32"/>
  <c r="AL352" i="32" s="1"/>
  <c r="AJ311" i="25"/>
  <c r="AL311" i="25" s="1"/>
  <c r="AI311" i="25"/>
  <c r="AK311" i="25" s="1"/>
  <c r="F479" i="25"/>
  <c r="A479" i="25" s="1"/>
  <c r="AJ438" i="32"/>
  <c r="AL438" i="32" s="1"/>
  <c r="AI438" i="32"/>
  <c r="AJ288" i="32"/>
  <c r="AL288" i="32" s="1"/>
  <c r="AI243" i="32"/>
  <c r="AJ270" i="32"/>
  <c r="AL270" i="32" s="1"/>
  <c r="AI231" i="32"/>
  <c r="AN259" i="25"/>
  <c r="AC259" i="25"/>
  <c r="AO259" i="25"/>
  <c r="AP259" i="25"/>
  <c r="AO137" i="25"/>
  <c r="AI221" i="32"/>
  <c r="F468" i="25"/>
  <c r="A468" i="25" s="1"/>
  <c r="F325" i="25"/>
  <c r="A325" i="25" s="1"/>
  <c r="AI355" i="25"/>
  <c r="AK355" i="25" s="1"/>
  <c r="AJ355" i="25"/>
  <c r="AL355" i="25" s="1"/>
  <c r="AI161" i="32"/>
  <c r="AJ47" i="32"/>
  <c r="AL47" i="32" s="1"/>
  <c r="AI59" i="32"/>
  <c r="AI65" i="32"/>
  <c r="AJ108" i="32"/>
  <c r="AL108" i="32" s="1"/>
  <c r="AI275" i="32"/>
  <c r="AJ491" i="25"/>
  <c r="AL491" i="25" s="1"/>
  <c r="AI491" i="25"/>
  <c r="AK491" i="25" s="1"/>
  <c r="AJ489" i="32"/>
  <c r="AL489" i="32" s="1"/>
  <c r="AI489" i="32"/>
  <c r="AJ53" i="32"/>
  <c r="AL53" i="32" s="1"/>
  <c r="AI79" i="32"/>
  <c r="F458" i="25"/>
  <c r="A458" i="25" s="1"/>
  <c r="E17" i="4"/>
  <c r="E20" i="4"/>
  <c r="D17" i="4"/>
  <c r="D20" i="4"/>
  <c r="D9" i="4"/>
  <c r="E9" i="4"/>
  <c r="E19" i="4"/>
  <c r="D19" i="4"/>
  <c r="D18" i="4"/>
  <c r="E18" i="4"/>
  <c r="AJ202" i="32"/>
  <c r="AL202" i="32" s="1"/>
  <c r="AI198" i="32"/>
  <c r="AJ185" i="32"/>
  <c r="AL185" i="32" s="1"/>
  <c r="AJ210" i="32"/>
  <c r="AL210" i="32" s="1"/>
  <c r="F412" i="25"/>
  <c r="A412" i="25" s="1"/>
  <c r="AI480" i="25"/>
  <c r="AK480" i="25" s="1"/>
  <c r="AJ480" i="25"/>
  <c r="AL480" i="25" s="1"/>
  <c r="AJ448" i="32"/>
  <c r="AL448" i="32" s="1"/>
  <c r="AI448" i="32"/>
  <c r="A385" i="25"/>
  <c r="F385" i="25"/>
  <c r="AJ369" i="25"/>
  <c r="AL369" i="25" s="1"/>
  <c r="AI369" i="25"/>
  <c r="AK369" i="25" s="1"/>
  <c r="A345" i="25"/>
  <c r="F345" i="25"/>
  <c r="AJ337" i="25"/>
  <c r="AL337" i="25" s="1"/>
  <c r="AI337" i="25"/>
  <c r="AK337" i="25" s="1"/>
  <c r="AJ392" i="32"/>
  <c r="AL392" i="32" s="1"/>
  <c r="AI392" i="32"/>
  <c r="F368" i="25"/>
  <c r="A368" i="25" s="1"/>
  <c r="AI360" i="25"/>
  <c r="AK360" i="25" s="1"/>
  <c r="AJ360" i="25"/>
  <c r="AL360" i="25" s="1"/>
  <c r="F336" i="25"/>
  <c r="A336" i="25" s="1"/>
  <c r="AI328" i="25"/>
  <c r="AK328" i="25" s="1"/>
  <c r="AJ328" i="25"/>
  <c r="AL328" i="25" s="1"/>
  <c r="AI319" i="32"/>
  <c r="AJ319" i="32"/>
  <c r="AL319" i="32" s="1"/>
  <c r="AI206" i="32"/>
  <c r="F455" i="25"/>
  <c r="A455" i="25" s="1"/>
  <c r="AJ439" i="25"/>
  <c r="AL439" i="25" s="1"/>
  <c r="AI439" i="25"/>
  <c r="AK439" i="25" s="1"/>
  <c r="F430" i="25"/>
  <c r="A430" i="25" s="1"/>
  <c r="F429" i="25"/>
  <c r="A429" i="25" s="1"/>
  <c r="AI404" i="25"/>
  <c r="AK404" i="25" s="1"/>
  <c r="AJ404" i="25"/>
  <c r="AL404" i="25" s="1"/>
  <c r="AP61" i="25"/>
  <c r="AN61" i="25"/>
  <c r="AC61" i="25"/>
  <c r="AO61" i="25"/>
  <c r="AN124" i="25"/>
  <c r="AP124" i="25"/>
  <c r="AC124" i="25"/>
  <c r="AO124" i="25"/>
  <c r="AN188" i="25"/>
  <c r="AC188" i="25"/>
  <c r="AO188" i="25"/>
  <c r="AP188" i="25"/>
  <c r="AP284" i="25"/>
  <c r="AN284" i="25"/>
  <c r="AC284" i="25"/>
  <c r="AO284" i="25"/>
  <c r="AC51" i="25"/>
  <c r="AO51" i="25"/>
  <c r="AP51" i="25"/>
  <c r="AN51" i="25"/>
  <c r="AC203" i="25"/>
  <c r="AO203" i="25"/>
  <c r="AP203" i="25"/>
  <c r="AN203" i="25"/>
  <c r="AN41" i="25"/>
  <c r="AP41" i="25"/>
  <c r="AO41" i="25"/>
  <c r="AC41" i="25"/>
  <c r="AP106" i="25"/>
  <c r="AN106" i="25"/>
  <c r="AC106" i="25"/>
  <c r="AO106" i="25"/>
  <c r="AC170" i="25"/>
  <c r="AO170" i="25"/>
  <c r="AP170" i="25"/>
  <c r="AN170" i="25"/>
  <c r="AC157" i="25"/>
  <c r="AP157" i="25"/>
  <c r="AN157" i="25"/>
  <c r="AO157" i="25"/>
  <c r="AP230" i="25"/>
  <c r="AN230" i="25"/>
  <c r="AC230" i="25"/>
  <c r="AO230" i="25"/>
  <c r="AP294" i="25"/>
  <c r="AN294" i="25"/>
  <c r="AC294" i="25"/>
  <c r="AO294" i="25"/>
  <c r="AN145" i="25"/>
  <c r="AP145" i="25"/>
  <c r="AC145" i="25"/>
  <c r="AO145" i="25"/>
  <c r="AP258" i="25"/>
  <c r="AN258" i="25"/>
  <c r="AC258" i="25"/>
  <c r="AO258" i="25"/>
  <c r="AN273" i="25"/>
  <c r="AC273" i="25"/>
  <c r="AO273" i="25"/>
  <c r="AP273" i="25"/>
  <c r="AJ250" i="32"/>
  <c r="AL250" i="32" s="1"/>
  <c r="AI217" i="32"/>
  <c r="AI233" i="32"/>
  <c r="AJ215" i="32"/>
  <c r="AL215" i="32" s="1"/>
  <c r="AJ492" i="32"/>
  <c r="AL492" i="32" s="1"/>
  <c r="AI492" i="32"/>
  <c r="AK492" i="32" s="1"/>
  <c r="AB492" i="32" s="1"/>
  <c r="A400" i="25"/>
  <c r="F400" i="25"/>
  <c r="AI381" i="32"/>
  <c r="AJ381" i="32"/>
  <c r="AL381" i="32" s="1"/>
  <c r="AI317" i="25"/>
  <c r="AK317" i="25" s="1"/>
  <c r="AJ317" i="25"/>
  <c r="AL317" i="25" s="1"/>
  <c r="AI372" i="32"/>
  <c r="AJ372" i="32"/>
  <c r="AL372" i="32" s="1"/>
  <c r="A379" i="25"/>
  <c r="F379" i="25"/>
  <c r="F315" i="25"/>
  <c r="A315" i="25" s="1"/>
  <c r="AI164" i="32"/>
  <c r="AI132" i="32"/>
  <c r="AJ62" i="32"/>
  <c r="AL62" i="32" s="1"/>
  <c r="AJ99" i="32"/>
  <c r="AL99" i="32" s="1"/>
  <c r="AJ172" i="32"/>
  <c r="AL172" i="32" s="1"/>
  <c r="AJ63" i="32"/>
  <c r="AL63" i="32" s="1"/>
  <c r="AJ114" i="32"/>
  <c r="AL114" i="32" s="1"/>
  <c r="AJ435" i="32"/>
  <c r="AL435" i="32" s="1"/>
  <c r="AI435" i="32"/>
  <c r="AJ468" i="32"/>
  <c r="AL468" i="32" s="1"/>
  <c r="AI468" i="32"/>
  <c r="AJ389" i="32"/>
  <c r="AL389" i="32" s="1"/>
  <c r="AI389" i="32"/>
  <c r="AJ357" i="25"/>
  <c r="AL357" i="25" s="1"/>
  <c r="AI357" i="25"/>
  <c r="AK357" i="25" s="1"/>
  <c r="F419" i="25"/>
  <c r="A419" i="25" s="1"/>
  <c r="AJ339" i="25"/>
  <c r="AL339" i="25" s="1"/>
  <c r="AI339" i="25"/>
  <c r="AK339" i="25" s="1"/>
  <c r="AJ394" i="32"/>
  <c r="AL394" i="32" s="1"/>
  <c r="AI394" i="32"/>
  <c r="AK34" i="32"/>
  <c r="AB34" i="32" s="1"/>
  <c r="AJ482" i="32"/>
  <c r="AL482" i="32" s="1"/>
  <c r="AI482" i="32"/>
  <c r="AK482" i="32" s="1"/>
  <c r="AB482" i="32" s="1"/>
  <c r="A434" i="25"/>
  <c r="F434" i="25"/>
  <c r="F410" i="25"/>
  <c r="A410" i="25" s="1"/>
  <c r="AJ199" i="32"/>
  <c r="AL199" i="32" s="1"/>
  <c r="AI190" i="32"/>
  <c r="AI298" i="32"/>
  <c r="AJ206" i="32"/>
  <c r="AL206" i="32" s="1"/>
  <c r="AJ488" i="25"/>
  <c r="AL488" i="25" s="1"/>
  <c r="AI488" i="25"/>
  <c r="AK488" i="25" s="1"/>
  <c r="AJ456" i="32"/>
  <c r="AL456" i="32" s="1"/>
  <c r="AI456" i="32"/>
  <c r="F393" i="25"/>
  <c r="A393" i="25" s="1"/>
  <c r="AI377" i="25"/>
  <c r="AK377" i="25" s="1"/>
  <c r="AJ377" i="25"/>
  <c r="AL377" i="25" s="1"/>
  <c r="AI345" i="32"/>
  <c r="AJ345" i="32"/>
  <c r="AL345" i="32" s="1"/>
  <c r="AI313" i="25"/>
  <c r="AK313" i="25" s="1"/>
  <c r="AJ313" i="25"/>
  <c r="AL313" i="25" s="1"/>
  <c r="AI368" i="32"/>
  <c r="AJ368" i="32"/>
  <c r="AL368" i="32" s="1"/>
  <c r="F407" i="25"/>
  <c r="A407" i="25" s="1"/>
  <c r="AI391" i="25"/>
  <c r="AK391" i="25" s="1"/>
  <c r="AJ391" i="25"/>
  <c r="AL391" i="25" s="1"/>
  <c r="AI359" i="32"/>
  <c r="AJ359" i="32"/>
  <c r="AL359" i="32" s="1"/>
  <c r="F382" i="25"/>
  <c r="A382" i="25" s="1"/>
  <c r="F318" i="25"/>
  <c r="A318" i="25" s="1"/>
  <c r="AI479" i="32"/>
  <c r="AJ479" i="32"/>
  <c r="AL479" i="32" s="1"/>
  <c r="F470" i="25"/>
  <c r="A470" i="25" s="1"/>
  <c r="AJ454" i="25"/>
  <c r="AL454" i="25" s="1"/>
  <c r="AI454" i="25"/>
  <c r="AK454" i="25" s="1"/>
  <c r="AJ424" i="32"/>
  <c r="AL424" i="32" s="1"/>
  <c r="AI424" i="32"/>
  <c r="AK424" i="32" s="1"/>
  <c r="AB424" i="32" s="1"/>
  <c r="AJ485" i="25"/>
  <c r="AL485" i="25" s="1"/>
  <c r="AI485" i="25"/>
  <c r="AK485" i="25" s="1"/>
  <c r="AJ453" i="32"/>
  <c r="AL453" i="32" s="1"/>
  <c r="AI453" i="32"/>
  <c r="AK453" i="32" s="1"/>
  <c r="AB453" i="32" s="1"/>
  <c r="AN32" i="25"/>
  <c r="AP32" i="25"/>
  <c r="AO32" i="25"/>
  <c r="AC32" i="25"/>
  <c r="AC99" i="25"/>
  <c r="AO99" i="25"/>
  <c r="AP99" i="25"/>
  <c r="AN99" i="25"/>
  <c r="AC160" i="25"/>
  <c r="AO160" i="25"/>
  <c r="AP160" i="25"/>
  <c r="AN160" i="25"/>
  <c r="AP256" i="25"/>
  <c r="AC81" i="25"/>
  <c r="AO81" i="25"/>
  <c r="AP81" i="25"/>
  <c r="AN81" i="25"/>
  <c r="AP159" i="25"/>
  <c r="AN63" i="25"/>
  <c r="AP63" i="25"/>
  <c r="AO63" i="25"/>
  <c r="AC63" i="25"/>
  <c r="AN190" i="25"/>
  <c r="AC190" i="25"/>
  <c r="AO190" i="25"/>
  <c r="AP190" i="25"/>
  <c r="AN153" i="25"/>
  <c r="AP153" i="25"/>
  <c r="AC153" i="25"/>
  <c r="AO153" i="25"/>
  <c r="AC231" i="25"/>
  <c r="AO295" i="25"/>
  <c r="A405" i="25"/>
  <c r="F405" i="25"/>
  <c r="AJ325" i="25"/>
  <c r="AL325" i="25" s="1"/>
  <c r="AI325" i="25"/>
  <c r="AK325" i="25" s="1"/>
  <c r="A387" i="25"/>
  <c r="F387" i="25"/>
  <c r="AI307" i="25"/>
  <c r="AK307" i="25" s="1"/>
  <c r="AJ307" i="25"/>
  <c r="AL307" i="25" s="1"/>
  <c r="A338" i="25"/>
  <c r="F338" i="25"/>
  <c r="AI473" i="32"/>
  <c r="AJ473" i="32"/>
  <c r="AL473" i="32" s="1"/>
  <c r="AI242" i="32"/>
  <c r="AP260" i="25"/>
  <c r="AK15" i="25"/>
  <c r="AG15" i="25" s="1"/>
  <c r="AO147" i="25"/>
  <c r="F341" i="25"/>
  <c r="A341" i="25" s="1"/>
  <c r="AI356" i="32"/>
  <c r="AJ356" i="32"/>
  <c r="AL356" i="32" s="1"/>
  <c r="F395" i="25"/>
  <c r="A395" i="25" s="1"/>
  <c r="AI483" i="25"/>
  <c r="AK483" i="25" s="1"/>
  <c r="AJ483" i="25"/>
  <c r="AL483" i="25" s="1"/>
  <c r="AJ451" i="32"/>
  <c r="AL451" i="32" s="1"/>
  <c r="AI451" i="32"/>
  <c r="AK451" i="32" s="1"/>
  <c r="AB451" i="32" s="1"/>
  <c r="F442" i="25"/>
  <c r="A442" i="25" s="1"/>
  <c r="AI426" i="25"/>
  <c r="AK426" i="25" s="1"/>
  <c r="AJ426" i="25"/>
  <c r="AL426" i="25" s="1"/>
  <c r="AJ481" i="32"/>
  <c r="AL481" i="32" s="1"/>
  <c r="AI481" i="32"/>
  <c r="AK481" i="32" s="1"/>
  <c r="AB481" i="32" s="1"/>
  <c r="AI182" i="32"/>
  <c r="F422" i="25"/>
  <c r="A422" i="25" s="1"/>
  <c r="F369" i="25"/>
  <c r="A369" i="25" s="1"/>
  <c r="AJ463" i="25"/>
  <c r="AL463" i="25" s="1"/>
  <c r="AI463" i="25"/>
  <c r="AK463" i="25" s="1"/>
  <c r="AI470" i="25"/>
  <c r="AK470" i="25" s="1"/>
  <c r="AJ470" i="25"/>
  <c r="AL470" i="25" s="1"/>
  <c r="AI469" i="25"/>
  <c r="AK469" i="25" s="1"/>
  <c r="AJ469" i="25"/>
  <c r="AL469" i="25" s="1"/>
  <c r="AI281" i="32"/>
  <c r="AI304" i="32"/>
  <c r="AI183" i="32"/>
  <c r="AI273" i="32"/>
  <c r="AN184" i="25"/>
  <c r="AC184" i="25"/>
  <c r="AO184" i="25"/>
  <c r="AP184" i="25"/>
  <c r="AC183" i="25"/>
  <c r="AO183" i="25"/>
  <c r="AP183" i="25"/>
  <c r="AN183" i="25"/>
  <c r="AP95" i="25"/>
  <c r="AN95" i="25"/>
  <c r="AC95" i="25"/>
  <c r="AO95" i="25"/>
  <c r="AC297" i="25"/>
  <c r="AJ269" i="32"/>
  <c r="AL269" i="32" s="1"/>
  <c r="AI452" i="25"/>
  <c r="AK452" i="25" s="1"/>
  <c r="AJ452" i="25"/>
  <c r="AL452" i="25" s="1"/>
  <c r="AI387" i="25"/>
  <c r="AK387" i="25" s="1"/>
  <c r="AJ387" i="25"/>
  <c r="AL387" i="25" s="1"/>
  <c r="F331" i="25"/>
  <c r="A331" i="25" s="1"/>
  <c r="AJ306" i="32"/>
  <c r="AL306" i="32" s="1"/>
  <c r="AI86" i="32"/>
  <c r="AJ93" i="32"/>
  <c r="AL93" i="32" s="1"/>
  <c r="AI98" i="32"/>
  <c r="AI224" i="32"/>
  <c r="F450" i="25"/>
  <c r="A450" i="25" s="1"/>
  <c r="AI305" i="32"/>
  <c r="AI297" i="32"/>
  <c r="F401" i="25"/>
  <c r="A401" i="25" s="1"/>
  <c r="AJ321" i="25"/>
  <c r="AL321" i="25" s="1"/>
  <c r="AI321" i="25"/>
  <c r="AK321" i="25" s="1"/>
  <c r="AI344" i="32"/>
  <c r="AJ344" i="32"/>
  <c r="AL344" i="32" s="1"/>
  <c r="AI374" i="25"/>
  <c r="AK374" i="25" s="1"/>
  <c r="AJ374" i="25"/>
  <c r="AL374" i="25" s="1"/>
  <c r="AI342" i="32"/>
  <c r="AJ342" i="32"/>
  <c r="AL342" i="32" s="1"/>
  <c r="F471" i="25"/>
  <c r="A471" i="25" s="1"/>
  <c r="AP54" i="25"/>
  <c r="AN54" i="25"/>
  <c r="AC54" i="25"/>
  <c r="AO54" i="25"/>
  <c r="AG244" i="25"/>
  <c r="AG60" i="25"/>
  <c r="AP302" i="25"/>
  <c r="AN302" i="25"/>
  <c r="AC302" i="25"/>
  <c r="AO302" i="25"/>
  <c r="AC129" i="25"/>
  <c r="AO129" i="25"/>
  <c r="AP129" i="25"/>
  <c r="AN129" i="25"/>
  <c r="AG221" i="25"/>
  <c r="AI279" i="32"/>
  <c r="AI379" i="32"/>
  <c r="AJ379" i="32"/>
  <c r="AL379" i="32" s="1"/>
  <c r="AI347" i="32"/>
  <c r="AJ347" i="32"/>
  <c r="AL347" i="32" s="1"/>
  <c r="AI142" i="32"/>
  <c r="AI71" i="32"/>
  <c r="AI100" i="32"/>
  <c r="AI67" i="32"/>
  <c r="AK30" i="32"/>
  <c r="AH30" i="32"/>
  <c r="AO30" i="32" s="1"/>
  <c r="AJ85" i="32"/>
  <c r="AL85" i="32" s="1"/>
  <c r="AI47" i="32"/>
  <c r="AI64" i="32"/>
  <c r="AI228" i="32"/>
  <c r="AI209" i="32"/>
  <c r="AI203" i="32"/>
  <c r="AI208" i="32"/>
  <c r="AH28" i="32"/>
  <c r="AO28" i="32" s="1"/>
  <c r="AJ483" i="32"/>
  <c r="AL483" i="32" s="1"/>
  <c r="AI483" i="32"/>
  <c r="F474" i="25"/>
  <c r="A474" i="25" s="1"/>
  <c r="AI458" i="25"/>
  <c r="AK458" i="25" s="1"/>
  <c r="AJ458" i="25"/>
  <c r="AL458" i="25" s="1"/>
  <c r="AJ426" i="32"/>
  <c r="AL426" i="32" s="1"/>
  <c r="AI426" i="32"/>
  <c r="F433" i="25"/>
  <c r="A433" i="25" s="1"/>
  <c r="AI396" i="25"/>
  <c r="AK396" i="25" s="1"/>
  <c r="AJ396" i="25"/>
  <c r="AL396" i="25" s="1"/>
  <c r="Y310" i="25"/>
  <c r="P311" i="25"/>
  <c r="AI87" i="32"/>
  <c r="AJ98" i="32"/>
  <c r="AL98" i="32" s="1"/>
  <c r="F451" i="25"/>
  <c r="A451" i="25" s="1"/>
  <c r="AJ442" i="32"/>
  <c r="AL442" i="32" s="1"/>
  <c r="AI442" i="32"/>
  <c r="AJ433" i="25"/>
  <c r="AL433" i="25" s="1"/>
  <c r="AI433" i="25"/>
  <c r="AK433" i="25" s="1"/>
  <c r="AJ420" i="32"/>
  <c r="AL420" i="32" s="1"/>
  <c r="AI420" i="32"/>
  <c r="F365" i="25"/>
  <c r="A365" i="25" s="1"/>
  <c r="AJ371" i="25"/>
  <c r="AL371" i="25" s="1"/>
  <c r="AI371" i="25"/>
  <c r="AK371" i="25" s="1"/>
  <c r="AJ443" i="32"/>
  <c r="AL443" i="32" s="1"/>
  <c r="AI443" i="32"/>
  <c r="AJ416" i="32"/>
  <c r="AL416" i="32" s="1"/>
  <c r="AI416" i="32"/>
  <c r="AJ72" i="32"/>
  <c r="AL72" i="32" s="1"/>
  <c r="AI68" i="32"/>
  <c r="AI267" i="32"/>
  <c r="AI283" i="32"/>
  <c r="AI241" i="32"/>
  <c r="AI503" i="25"/>
  <c r="AK503" i="25" s="1"/>
  <c r="AJ503" i="25"/>
  <c r="AL503" i="25" s="1"/>
  <c r="A456" i="25"/>
  <c r="F456" i="25"/>
  <c r="AI440" i="25"/>
  <c r="AK440" i="25" s="1"/>
  <c r="AJ440" i="25"/>
  <c r="AL440" i="25" s="1"/>
  <c r="AJ425" i="32"/>
  <c r="AL425" i="32" s="1"/>
  <c r="AI425" i="32"/>
  <c r="AI361" i="32"/>
  <c r="AJ361" i="32"/>
  <c r="AL361" i="32" s="1"/>
  <c r="AI329" i="32"/>
  <c r="AK329" i="32" s="1"/>
  <c r="AB329" i="32" s="1"/>
  <c r="AJ329" i="32"/>
  <c r="AL329" i="32" s="1"/>
  <c r="F391" i="25"/>
  <c r="A391" i="25" s="1"/>
  <c r="AJ375" i="25"/>
  <c r="AL375" i="25" s="1"/>
  <c r="AI375" i="25"/>
  <c r="AK375" i="25" s="1"/>
  <c r="F351" i="25"/>
  <c r="A351" i="25" s="1"/>
  <c r="AJ343" i="25"/>
  <c r="AL343" i="25" s="1"/>
  <c r="AI343" i="25"/>
  <c r="AK343" i="25" s="1"/>
  <c r="AI311" i="32"/>
  <c r="AJ311" i="32"/>
  <c r="AL311" i="32" s="1"/>
  <c r="AI318" i="25"/>
  <c r="AK318" i="25" s="1"/>
  <c r="AJ318" i="25"/>
  <c r="AL318" i="25" s="1"/>
  <c r="AI210" i="32"/>
  <c r="AJ504" i="25"/>
  <c r="AL504" i="25" s="1"/>
  <c r="AI504" i="25"/>
  <c r="AK504" i="25" s="1"/>
  <c r="AJ496" i="32"/>
  <c r="AL496" i="32" s="1"/>
  <c r="AI496" i="32"/>
  <c r="AJ463" i="32"/>
  <c r="AL463" i="32" s="1"/>
  <c r="AI463" i="32"/>
  <c r="AJ470" i="32"/>
  <c r="AL470" i="32" s="1"/>
  <c r="AI470" i="32"/>
  <c r="AJ469" i="32"/>
  <c r="AL469" i="32" s="1"/>
  <c r="AI469" i="32"/>
  <c r="AI230" i="32"/>
  <c r="AJ216" i="32"/>
  <c r="AL216" i="32" s="1"/>
  <c r="AI253" i="32"/>
  <c r="AJ289" i="32"/>
  <c r="AL289" i="32" s="1"/>
  <c r="AI274" i="32"/>
  <c r="AJ293" i="32"/>
  <c r="AL293" i="32" s="1"/>
  <c r="AI226" i="32"/>
  <c r="AJ240" i="32"/>
  <c r="AL240" i="32" s="1"/>
  <c r="AI301" i="32"/>
  <c r="AJ201" i="32"/>
  <c r="AL201" i="32" s="1"/>
  <c r="AJ276" i="32"/>
  <c r="AL276" i="32" s="1"/>
  <c r="AI234" i="32"/>
  <c r="AJ251" i="32"/>
  <c r="AL251" i="32" s="1"/>
  <c r="AJ176" i="32"/>
  <c r="AL176" i="32" s="1"/>
  <c r="AI185" i="32"/>
  <c r="AN24" i="25"/>
  <c r="AP24" i="25"/>
  <c r="AO24" i="25"/>
  <c r="AC24" i="25"/>
  <c r="AN90" i="25"/>
  <c r="AP90" i="25"/>
  <c r="AO90" i="25"/>
  <c r="AC90" i="25"/>
  <c r="AO168" i="25"/>
  <c r="AC168" i="25"/>
  <c r="AP168" i="25"/>
  <c r="AN168" i="25"/>
  <c r="AG264" i="25"/>
  <c r="AG23" i="25"/>
  <c r="AC36" i="25"/>
  <c r="AO36" i="25"/>
  <c r="AN36" i="25"/>
  <c r="AP36" i="25"/>
  <c r="AP89" i="25"/>
  <c r="AN89" i="25"/>
  <c r="AC89" i="25"/>
  <c r="AO89" i="25"/>
  <c r="AG167" i="25"/>
  <c r="AN88" i="25"/>
  <c r="AP88" i="25"/>
  <c r="AC88" i="25"/>
  <c r="AO88" i="25"/>
  <c r="AP150" i="25"/>
  <c r="AN150" i="25"/>
  <c r="AC150" i="25"/>
  <c r="AO150" i="25"/>
  <c r="AC214" i="25"/>
  <c r="AO214" i="25"/>
  <c r="AP214" i="25"/>
  <c r="AN214" i="25"/>
  <c r="AG117" i="25"/>
  <c r="AG243" i="25"/>
  <c r="AC70" i="25"/>
  <c r="AO70" i="25"/>
  <c r="AP70" i="25"/>
  <c r="AN70" i="25"/>
  <c r="AN293" i="25"/>
  <c r="AC293" i="25"/>
  <c r="AO293" i="25"/>
  <c r="AP293" i="25"/>
  <c r="AC39" i="25"/>
  <c r="AO39" i="25"/>
  <c r="AN39" i="25"/>
  <c r="AP39" i="25"/>
  <c r="AN215" i="25"/>
  <c r="AC215" i="25"/>
  <c r="AO215" i="25"/>
  <c r="AP215" i="25"/>
  <c r="AG271" i="25"/>
  <c r="AC74" i="25"/>
  <c r="AO74" i="25"/>
  <c r="AP74" i="25"/>
  <c r="AN74" i="25"/>
  <c r="AN265" i="25"/>
  <c r="AC265" i="25"/>
  <c r="AO265" i="25"/>
  <c r="AP265" i="25"/>
  <c r="AJ228" i="32"/>
  <c r="AL228" i="32" s="1"/>
  <c r="AI207" i="32"/>
  <c r="AJ192" i="32"/>
  <c r="AL192" i="32" s="1"/>
  <c r="AI205" i="32"/>
  <c r="F420" i="25"/>
  <c r="A420" i="25" s="1"/>
  <c r="AI484" i="25"/>
  <c r="AK484" i="25" s="1"/>
  <c r="AJ484" i="25"/>
  <c r="AL484" i="25" s="1"/>
  <c r="AJ452" i="32"/>
  <c r="AL452" i="32" s="1"/>
  <c r="AI452" i="32"/>
  <c r="AK452" i="32" s="1"/>
  <c r="AB452" i="32" s="1"/>
  <c r="A389" i="25"/>
  <c r="F389" i="25"/>
  <c r="AI373" i="25"/>
  <c r="AK373" i="25" s="1"/>
  <c r="AJ373" i="25"/>
  <c r="AL373" i="25" s="1"/>
  <c r="A349" i="25"/>
  <c r="F349" i="25"/>
  <c r="AI341" i="25"/>
  <c r="AK341" i="25" s="1"/>
  <c r="AJ341" i="25"/>
  <c r="AL341" i="25" s="1"/>
  <c r="AI309" i="32"/>
  <c r="AK309" i="32" s="1"/>
  <c r="AB309" i="32" s="1"/>
  <c r="AJ309" i="32"/>
  <c r="AL309" i="32" s="1"/>
  <c r="F372" i="25"/>
  <c r="A372" i="25" s="1"/>
  <c r="AI364" i="25"/>
  <c r="AK364" i="25" s="1"/>
  <c r="AJ364" i="25"/>
  <c r="AL364" i="25" s="1"/>
  <c r="F340" i="25"/>
  <c r="A340" i="25" s="1"/>
  <c r="AI332" i="25"/>
  <c r="AK332" i="25" s="1"/>
  <c r="AJ332" i="25"/>
  <c r="AL332" i="25" s="1"/>
  <c r="F308" i="25"/>
  <c r="A308" i="25" s="1"/>
  <c r="AI419" i="25"/>
  <c r="AK419" i="25" s="1"/>
  <c r="AJ419" i="25"/>
  <c r="AL419" i="25" s="1"/>
  <c r="AJ387" i="32"/>
  <c r="AL387" i="32" s="1"/>
  <c r="AI387" i="32"/>
  <c r="AI355" i="32"/>
  <c r="AJ355" i="32"/>
  <c r="AL355" i="32" s="1"/>
  <c r="AI323" i="32"/>
  <c r="AJ323" i="32"/>
  <c r="AL323" i="32" s="1"/>
  <c r="F394" i="25"/>
  <c r="A394" i="25" s="1"/>
  <c r="AI378" i="25"/>
  <c r="AK378" i="25" s="1"/>
  <c r="AJ378" i="25"/>
  <c r="AL378" i="25" s="1"/>
  <c r="F354" i="25"/>
  <c r="A354" i="25" s="1"/>
  <c r="AI346" i="25"/>
  <c r="AK346" i="25" s="1"/>
  <c r="AJ346" i="25"/>
  <c r="AL346" i="25" s="1"/>
  <c r="AI248" i="32"/>
  <c r="AI157" i="32"/>
  <c r="AI140" i="32"/>
  <c r="AI109" i="32"/>
  <c r="AI78" i="32"/>
  <c r="AI148" i="32"/>
  <c r="AJ117" i="32"/>
  <c r="AL117" i="32" s="1"/>
  <c r="AJ86" i="32"/>
  <c r="AL86" i="32" s="1"/>
  <c r="AI50" i="32"/>
  <c r="AJ169" i="32"/>
  <c r="AL169" i="32" s="1"/>
  <c r="AI122" i="32"/>
  <c r="AI89" i="32"/>
  <c r="AI56" i="32"/>
  <c r="AJ131" i="32"/>
  <c r="AL131" i="32" s="1"/>
  <c r="AJ100" i="32"/>
  <c r="AL100" i="32" s="1"/>
  <c r="AJ65" i="32"/>
  <c r="AL65" i="32" s="1"/>
  <c r="AI285" i="32"/>
  <c r="AJ263" i="32"/>
  <c r="AL263" i="32" s="1"/>
  <c r="AJ287" i="32"/>
  <c r="AL287" i="32" s="1"/>
  <c r="AI197" i="32"/>
  <c r="AJ491" i="32"/>
  <c r="AL491" i="32" s="1"/>
  <c r="AI491" i="32"/>
  <c r="F482" i="25"/>
  <c r="A482" i="25" s="1"/>
  <c r="AJ466" i="25"/>
  <c r="AL466" i="25" s="1"/>
  <c r="AI466" i="25"/>
  <c r="AK466" i="25" s="1"/>
  <c r="AJ434" i="32"/>
  <c r="AL434" i="32" s="1"/>
  <c r="AI434" i="32"/>
  <c r="F441" i="25"/>
  <c r="A441" i="25" s="1"/>
  <c r="AJ410" i="25"/>
  <c r="AL410" i="25" s="1"/>
  <c r="AI410" i="25"/>
  <c r="AK410" i="25" s="1"/>
  <c r="AI156" i="32"/>
  <c r="AI107" i="32"/>
  <c r="AK36" i="32"/>
  <c r="AB36" i="32" s="1"/>
  <c r="AJ145" i="32"/>
  <c r="AL145" i="32" s="1"/>
  <c r="AJ91" i="32"/>
  <c r="AL91" i="32" s="1"/>
  <c r="AI146" i="32"/>
  <c r="AJ52" i="32"/>
  <c r="AL52" i="32" s="1"/>
  <c r="AJ154" i="32"/>
  <c r="AL154" i="32" s="1"/>
  <c r="AI51" i="32"/>
  <c r="AJ465" i="32"/>
  <c r="AL465" i="32" s="1"/>
  <c r="AI465" i="32"/>
  <c r="B16" i="39"/>
  <c r="B20" i="39"/>
  <c r="B24" i="39"/>
  <c r="AJ282" i="32"/>
  <c r="AL282" i="32" s="1"/>
  <c r="AI178" i="32"/>
  <c r="AJ218" i="32"/>
  <c r="AL218" i="32" s="1"/>
  <c r="AI480" i="32"/>
  <c r="AJ480" i="32"/>
  <c r="AL480" i="32" s="1"/>
  <c r="F417" i="25"/>
  <c r="A417" i="25" s="1"/>
  <c r="AJ401" i="25"/>
  <c r="AL401" i="25" s="1"/>
  <c r="AI401" i="25"/>
  <c r="AK401" i="25" s="1"/>
  <c r="AI369" i="32"/>
  <c r="AJ369" i="32"/>
  <c r="AL369" i="32" s="1"/>
  <c r="AI337" i="32"/>
  <c r="AJ337" i="32"/>
  <c r="AL337" i="32" s="1"/>
  <c r="AI360" i="32"/>
  <c r="AJ360" i="32"/>
  <c r="AL360" i="32" s="1"/>
  <c r="AI328" i="32"/>
  <c r="AJ328" i="32"/>
  <c r="AL328" i="32" s="1"/>
  <c r="F399" i="25"/>
  <c r="A399" i="25" s="1"/>
  <c r="AJ383" i="25"/>
  <c r="AL383" i="25" s="1"/>
  <c r="AI383" i="25"/>
  <c r="AK383" i="25" s="1"/>
  <c r="F359" i="25"/>
  <c r="A359" i="25" s="1"/>
  <c r="AJ351" i="25"/>
  <c r="AL351" i="25" s="1"/>
  <c r="AI351" i="25"/>
  <c r="AK351" i="25" s="1"/>
  <c r="F310" i="25"/>
  <c r="A310" i="25" s="1"/>
  <c r="F487" i="25"/>
  <c r="A487" i="25" s="1"/>
  <c r="AJ471" i="25"/>
  <c r="AL471" i="25" s="1"/>
  <c r="AI471" i="25"/>
  <c r="AK471" i="25" s="1"/>
  <c r="AJ439" i="32"/>
  <c r="AL439" i="32" s="1"/>
  <c r="AI439" i="32"/>
  <c r="AK439" i="32" s="1"/>
  <c r="AB439" i="32" s="1"/>
  <c r="AI494" i="25"/>
  <c r="AK494" i="25" s="1"/>
  <c r="AJ494" i="25"/>
  <c r="AL494" i="25" s="1"/>
  <c r="F462" i="25"/>
  <c r="A462" i="25" s="1"/>
  <c r="AI446" i="25"/>
  <c r="AK446" i="25" s="1"/>
  <c r="AJ446" i="25"/>
  <c r="AL446" i="25" s="1"/>
  <c r="F461" i="25"/>
  <c r="A461" i="25" s="1"/>
  <c r="AI445" i="25"/>
  <c r="AK445" i="25" s="1"/>
  <c r="AJ445" i="25"/>
  <c r="AL445" i="25" s="1"/>
  <c r="AJ404" i="32"/>
  <c r="AL404" i="32" s="1"/>
  <c r="AI404" i="32"/>
  <c r="AK15" i="32"/>
  <c r="AG15" i="32"/>
  <c r="AN15" i="32" s="1"/>
  <c r="AP47" i="25"/>
  <c r="AG268" i="25"/>
  <c r="AN107" i="25"/>
  <c r="AP107" i="25"/>
  <c r="AC107" i="25"/>
  <c r="AO107" i="25"/>
  <c r="AG123" i="25"/>
  <c r="AG187" i="25"/>
  <c r="AP26" i="25"/>
  <c r="AN26" i="25"/>
  <c r="AC26" i="25"/>
  <c r="AO26" i="25"/>
  <c r="AN92" i="25"/>
  <c r="AP92" i="25"/>
  <c r="AC92" i="25"/>
  <c r="AO92" i="25"/>
  <c r="AO154" i="25"/>
  <c r="AG125" i="25"/>
  <c r="AP278" i="25"/>
  <c r="AN278" i="25"/>
  <c r="AC278" i="25"/>
  <c r="AO278" i="25"/>
  <c r="AN301" i="25"/>
  <c r="AG113" i="25"/>
  <c r="AG217" i="25"/>
  <c r="AP242" i="25"/>
  <c r="AN242" i="25"/>
  <c r="AC242" i="25"/>
  <c r="AO242" i="25"/>
  <c r="AC306" i="25"/>
  <c r="AN241" i="25"/>
  <c r="AC241" i="25"/>
  <c r="AO241" i="25"/>
  <c r="AP241" i="25"/>
  <c r="AJ204" i="32"/>
  <c r="AL204" i="32" s="1"/>
  <c r="AI196" i="32"/>
  <c r="AI292" i="32"/>
  <c r="AJ181" i="32"/>
  <c r="AL181" i="32" s="1"/>
  <c r="F444" i="25"/>
  <c r="A444" i="25" s="1"/>
  <c r="AI428" i="25"/>
  <c r="AK428" i="25" s="1"/>
  <c r="AJ428" i="25"/>
  <c r="AL428" i="25" s="1"/>
  <c r="AI413" i="25"/>
  <c r="AK413" i="25" s="1"/>
  <c r="AJ413" i="25"/>
  <c r="AL413" i="25" s="1"/>
  <c r="AI317" i="32"/>
  <c r="AJ317" i="32"/>
  <c r="AL317" i="32" s="1"/>
  <c r="F411" i="25"/>
  <c r="A411" i="25" s="1"/>
  <c r="AI395" i="25"/>
  <c r="AK395" i="25" s="1"/>
  <c r="AJ395" i="25"/>
  <c r="AL395" i="25" s="1"/>
  <c r="F339" i="25"/>
  <c r="A339" i="25" s="1"/>
  <c r="AI331" i="25"/>
  <c r="AK331" i="25" s="1"/>
  <c r="AJ331" i="25"/>
  <c r="AL331" i="25" s="1"/>
  <c r="F362" i="25"/>
  <c r="A362" i="25" s="1"/>
  <c r="AI354" i="25"/>
  <c r="AK354" i="25" s="1"/>
  <c r="AJ354" i="25"/>
  <c r="AL354" i="25" s="1"/>
  <c r="F330" i="25"/>
  <c r="A330" i="25" s="1"/>
  <c r="AI322" i="25"/>
  <c r="AK322" i="25" s="1"/>
  <c r="AJ322" i="25"/>
  <c r="AL322" i="25" s="1"/>
  <c r="AJ304" i="32"/>
  <c r="AL304" i="32" s="1"/>
  <c r="AI160" i="32"/>
  <c r="AI115" i="32"/>
  <c r="AJ45" i="32"/>
  <c r="AL45" i="32" s="1"/>
  <c r="AJ164" i="32"/>
  <c r="AL164" i="32" s="1"/>
  <c r="AJ84" i="32"/>
  <c r="AL84" i="32" s="1"/>
  <c r="AJ168" i="32"/>
  <c r="AL168" i="32" s="1"/>
  <c r="AK35" i="32"/>
  <c r="AB35" i="32" s="1"/>
  <c r="AJ89" i="32"/>
  <c r="AL89" i="32" s="1"/>
  <c r="F481" i="25"/>
  <c r="A481" i="25" s="1"/>
  <c r="AI357" i="32"/>
  <c r="AJ357" i="32"/>
  <c r="AL357" i="32" s="1"/>
  <c r="F309" i="25"/>
  <c r="A309" i="25" s="1"/>
  <c r="AJ316" i="25"/>
  <c r="AL316" i="25" s="1"/>
  <c r="AI316" i="25"/>
  <c r="AK316" i="25" s="1"/>
  <c r="AI339" i="32"/>
  <c r="AJ339" i="32"/>
  <c r="AL339" i="32" s="1"/>
  <c r="F314" i="25"/>
  <c r="A314" i="25"/>
  <c r="AG34" i="32"/>
  <c r="AN34" i="32" s="1"/>
  <c r="AJ450" i="25"/>
  <c r="AL450" i="25" s="1"/>
  <c r="AI450" i="25"/>
  <c r="AK450" i="25" s="1"/>
  <c r="AI441" i="25"/>
  <c r="AK441" i="25" s="1"/>
  <c r="AJ441" i="25"/>
  <c r="AL441" i="25" s="1"/>
  <c r="AJ273" i="32"/>
  <c r="AL273" i="32" s="1"/>
  <c r="AI174" i="32"/>
  <c r="AI184" i="32"/>
  <c r="AJ488" i="32"/>
  <c r="AL488" i="32" s="1"/>
  <c r="AI488" i="32"/>
  <c r="AK488" i="32" s="1"/>
  <c r="AB488" i="32" s="1"/>
  <c r="F425" i="25"/>
  <c r="A425" i="25" s="1"/>
  <c r="AI409" i="25"/>
  <c r="AK409" i="25" s="1"/>
  <c r="AJ409" i="25"/>
  <c r="AL409" i="25" s="1"/>
  <c r="AI377" i="32"/>
  <c r="AJ377" i="32"/>
  <c r="AL377" i="32" s="1"/>
  <c r="AI313" i="32"/>
  <c r="AJ313" i="32"/>
  <c r="AL313" i="32" s="1"/>
  <c r="F312" i="25"/>
  <c r="A312" i="25"/>
  <c r="AI423" i="25"/>
  <c r="AK423" i="25" s="1"/>
  <c r="AJ423" i="25"/>
  <c r="AL423" i="25" s="1"/>
  <c r="AJ391" i="32"/>
  <c r="AL391" i="32" s="1"/>
  <c r="AI391" i="32"/>
  <c r="AK391" i="32" s="1"/>
  <c r="AB391" i="32" s="1"/>
  <c r="F311" i="25"/>
  <c r="A311" i="25" s="1"/>
  <c r="AJ398" i="25"/>
  <c r="AL398" i="25" s="1"/>
  <c r="AI398" i="25"/>
  <c r="AK398" i="25" s="1"/>
  <c r="F342" i="25"/>
  <c r="A342" i="25" s="1"/>
  <c r="AJ334" i="25"/>
  <c r="AL334" i="25" s="1"/>
  <c r="AI334" i="25"/>
  <c r="AK334" i="25" s="1"/>
  <c r="F496" i="25"/>
  <c r="A496" i="25" s="1"/>
  <c r="F431" i="25"/>
  <c r="A431" i="25" s="1"/>
  <c r="AJ486" i="25"/>
  <c r="AL486" i="25" s="1"/>
  <c r="AI486" i="25"/>
  <c r="AK486" i="25" s="1"/>
  <c r="AJ454" i="32"/>
  <c r="AL454" i="32" s="1"/>
  <c r="AI454" i="32"/>
  <c r="AK454" i="32" s="1"/>
  <c r="AB454" i="32" s="1"/>
  <c r="AJ485" i="32"/>
  <c r="AL485" i="32" s="1"/>
  <c r="AI485" i="32"/>
  <c r="AP144" i="25"/>
  <c r="AN144" i="25"/>
  <c r="AC144" i="25"/>
  <c r="AO144" i="25"/>
  <c r="AC208" i="25"/>
  <c r="AO208" i="25"/>
  <c r="AP208" i="25"/>
  <c r="AN208" i="25"/>
  <c r="AG240" i="25"/>
  <c r="AG304" i="25"/>
  <c r="AG55" i="25"/>
  <c r="AG143" i="25"/>
  <c r="AG207" i="25"/>
  <c r="AN45" i="25"/>
  <c r="AC110" i="25"/>
  <c r="AG165" i="25"/>
  <c r="AG267" i="25"/>
  <c r="AG91" i="25"/>
  <c r="AC121" i="25"/>
  <c r="AO121" i="25"/>
  <c r="AN121" i="25"/>
  <c r="AP121" i="25"/>
  <c r="AN219" i="25"/>
  <c r="AG279" i="25"/>
  <c r="F414" i="25"/>
  <c r="A414" i="25" s="1"/>
  <c r="AI325" i="32"/>
  <c r="AJ325" i="32"/>
  <c r="AL325" i="32" s="1"/>
  <c r="AJ380" i="25"/>
  <c r="AL380" i="25" s="1"/>
  <c r="AI380" i="25"/>
  <c r="AK380" i="25" s="1"/>
  <c r="F324" i="25"/>
  <c r="A324" i="25" s="1"/>
  <c r="AJ403" i="25"/>
  <c r="AL403" i="25" s="1"/>
  <c r="AI403" i="25"/>
  <c r="AK403" i="25" s="1"/>
  <c r="AI307" i="32"/>
  <c r="AJ307" i="32"/>
  <c r="AL307" i="32" s="1"/>
  <c r="AJ362" i="25"/>
  <c r="AL362" i="25" s="1"/>
  <c r="AI362" i="25"/>
  <c r="AK362" i="25" s="1"/>
  <c r="AK25" i="32"/>
  <c r="F491" i="25"/>
  <c r="A491" i="25" s="1"/>
  <c r="AJ296" i="32"/>
  <c r="AL296" i="32" s="1"/>
  <c r="AI500" i="25"/>
  <c r="AK500" i="25" s="1"/>
  <c r="AJ500" i="25"/>
  <c r="AL500" i="25" s="1"/>
  <c r="AI464" i="25"/>
  <c r="AK464" i="25" s="1"/>
  <c r="AJ464" i="25"/>
  <c r="AL464" i="25" s="1"/>
  <c r="AI376" i="25"/>
  <c r="AK376" i="25" s="1"/>
  <c r="AJ376" i="25"/>
  <c r="AL376" i="25" s="1"/>
  <c r="F320" i="25"/>
  <c r="A320" i="25" s="1"/>
  <c r="AJ399" i="32"/>
  <c r="AL399" i="32" s="1"/>
  <c r="AI399" i="32"/>
  <c r="F375" i="25"/>
  <c r="A375" i="25" s="1"/>
  <c r="AI335" i="32"/>
  <c r="AJ335" i="32"/>
  <c r="AL335" i="32" s="1"/>
  <c r="F350" i="25"/>
  <c r="A350" i="25" s="1"/>
  <c r="AI310" i="32"/>
  <c r="AJ310" i="32"/>
  <c r="AL310" i="32" s="1"/>
  <c r="AJ493" i="32"/>
  <c r="AL493" i="32" s="1"/>
  <c r="AI493" i="32"/>
  <c r="AK493" i="32" s="1"/>
  <c r="AB493" i="32" s="1"/>
  <c r="AI429" i="25"/>
  <c r="AK429" i="25" s="1"/>
  <c r="AJ429" i="25"/>
  <c r="AL429" i="25" s="1"/>
  <c r="AC103" i="25"/>
  <c r="AO103" i="25"/>
  <c r="AP103" i="25"/>
  <c r="AN103" i="25"/>
  <c r="AP254" i="25"/>
  <c r="AN254" i="25"/>
  <c r="AC254" i="25"/>
  <c r="AO254" i="25"/>
  <c r="F428" i="25"/>
  <c r="A428" i="25" s="1"/>
  <c r="F373" i="25"/>
  <c r="A373" i="25" s="1"/>
  <c r="AJ388" i="32"/>
  <c r="AL388" i="32" s="1"/>
  <c r="AI388" i="32"/>
  <c r="AI347" i="25"/>
  <c r="AK347" i="25" s="1"/>
  <c r="AJ347" i="25"/>
  <c r="AL347" i="25" s="1"/>
  <c r="AJ420" i="25"/>
  <c r="AL420" i="25" s="1"/>
  <c r="AI420" i="25"/>
  <c r="AK420" i="25" s="1"/>
  <c r="AI296" i="32"/>
  <c r="AJ425" i="25"/>
  <c r="AL425" i="25" s="1"/>
  <c r="AI425" i="25"/>
  <c r="AK425" i="25" s="1"/>
  <c r="AJ361" i="25"/>
  <c r="AL361" i="25" s="1"/>
  <c r="AI361" i="25"/>
  <c r="AK361" i="25" s="1"/>
  <c r="AI384" i="32"/>
  <c r="AK384" i="32" s="1"/>
  <c r="AB384" i="32" s="1"/>
  <c r="AJ384" i="32"/>
  <c r="AL384" i="32" s="1"/>
  <c r="AI320" i="32"/>
  <c r="AJ320" i="32"/>
  <c r="AL320" i="32" s="1"/>
  <c r="F327" i="25"/>
  <c r="A327" i="25" s="1"/>
  <c r="AI350" i="32"/>
  <c r="AJ350" i="32"/>
  <c r="AL350" i="32" s="1"/>
  <c r="F486" i="25"/>
  <c r="A486" i="25" s="1"/>
  <c r="AJ437" i="32"/>
  <c r="AL437" i="32" s="1"/>
  <c r="AI437" i="32"/>
  <c r="AK437" i="32" s="1"/>
  <c r="AB437" i="32" s="1"/>
  <c r="AJ303" i="32"/>
  <c r="AL303" i="32" s="1"/>
  <c r="AI266" i="32"/>
  <c r="AJ195" i="32"/>
  <c r="AL195" i="32" s="1"/>
  <c r="AJ189" i="32"/>
  <c r="AL189" i="32" s="1"/>
  <c r="AP22" i="25"/>
  <c r="AN22" i="25"/>
  <c r="AC22" i="25"/>
  <c r="AO22" i="25"/>
  <c r="AN166" i="25"/>
  <c r="F502" i="25"/>
  <c r="A502" i="25" s="1"/>
  <c r="AJ414" i="32"/>
  <c r="AL414" i="32" s="1"/>
  <c r="AI414" i="32"/>
  <c r="F403" i="25"/>
  <c r="A403" i="25" s="1"/>
  <c r="AI323" i="25"/>
  <c r="AK323" i="25" s="1"/>
  <c r="AJ323" i="25"/>
  <c r="AL323" i="25" s="1"/>
  <c r="AI314" i="32"/>
  <c r="AJ314" i="32"/>
  <c r="AL314" i="32" s="1"/>
  <c r="AJ147" i="32"/>
  <c r="AL147" i="32" s="1"/>
  <c r="AJ165" i="32"/>
  <c r="AL165" i="32" s="1"/>
  <c r="AK21" i="32"/>
  <c r="AH21" i="32" s="1"/>
  <c r="AO21" i="32" s="1"/>
  <c r="AJ141" i="32"/>
  <c r="AL141" i="32" s="1"/>
  <c r="AI295" i="32"/>
  <c r="AJ178" i="32"/>
  <c r="AL178" i="32" s="1"/>
  <c r="AJ498" i="32"/>
  <c r="AL498" i="32" s="1"/>
  <c r="AI498" i="32"/>
  <c r="AJ434" i="25"/>
  <c r="AL434" i="25" s="1"/>
  <c r="AI434" i="25"/>
  <c r="AK434" i="25" s="1"/>
  <c r="AI123" i="32"/>
  <c r="AJ73" i="32"/>
  <c r="AL73" i="32" s="1"/>
  <c r="AJ465" i="25"/>
  <c r="AL465" i="25" s="1"/>
  <c r="AI465" i="25"/>
  <c r="AK465" i="25" s="1"/>
  <c r="AI412" i="25"/>
  <c r="AK412" i="25" s="1"/>
  <c r="AJ412" i="25"/>
  <c r="AL412" i="25" s="1"/>
  <c r="AJ464" i="32"/>
  <c r="AL464" i="32" s="1"/>
  <c r="AI464" i="32"/>
  <c r="AK464" i="32" s="1"/>
  <c r="AB464" i="32" s="1"/>
  <c r="F361" i="25"/>
  <c r="A361" i="25" s="1"/>
  <c r="F329" i="25"/>
  <c r="A329" i="25" s="1"/>
  <c r="AI312" i="32"/>
  <c r="AJ312" i="32"/>
  <c r="AL312" i="32" s="1"/>
  <c r="F390" i="25"/>
  <c r="A390" i="25" s="1"/>
  <c r="F446" i="25"/>
  <c r="A446" i="25" s="1"/>
  <c r="AI461" i="25"/>
  <c r="AK461" i="25" s="1"/>
  <c r="AJ461" i="25"/>
  <c r="AL461" i="25" s="1"/>
  <c r="AP114" i="25"/>
  <c r="AN114" i="25"/>
  <c r="AC114" i="25"/>
  <c r="AO114" i="25"/>
  <c r="AP238" i="25"/>
  <c r="AN238" i="25"/>
  <c r="AC238" i="25"/>
  <c r="AO238" i="25"/>
  <c r="AC104" i="25"/>
  <c r="AO104" i="25"/>
  <c r="AN104" i="25"/>
  <c r="AP104" i="25"/>
  <c r="AJ295" i="32"/>
  <c r="AL295" i="32" s="1"/>
  <c r="AI195" i="32"/>
  <c r="AI502" i="25"/>
  <c r="AK502" i="25" s="1"/>
  <c r="AJ502" i="25"/>
  <c r="AL502" i="25" s="1"/>
  <c r="AI444" i="25"/>
  <c r="AK444" i="25" s="1"/>
  <c r="AJ444" i="25"/>
  <c r="AL444" i="25" s="1"/>
  <c r="AJ400" i="32"/>
  <c r="AL400" i="32" s="1"/>
  <c r="AI400" i="32"/>
  <c r="AK400" i="32" s="1"/>
  <c r="AB400" i="32" s="1"/>
  <c r="AI58" i="32"/>
  <c r="AI158" i="32"/>
  <c r="AJ103" i="32"/>
  <c r="AL103" i="32" s="1"/>
  <c r="AI131" i="32"/>
  <c r="AJ118" i="32"/>
  <c r="AL118" i="32" s="1"/>
  <c r="AG37" i="32"/>
  <c r="AN37" i="32" s="1"/>
  <c r="AK37" i="32"/>
  <c r="AH37" i="32"/>
  <c r="AO37" i="32" s="1"/>
  <c r="AI238" i="32"/>
  <c r="AJ268" i="32"/>
  <c r="AL268" i="32" s="1"/>
  <c r="AJ187" i="32"/>
  <c r="AL187" i="32" s="1"/>
  <c r="AM500" i="25"/>
  <c r="AJ412" i="32"/>
  <c r="AL412" i="32" s="1"/>
  <c r="AI412" i="32"/>
  <c r="AK412" i="32" s="1"/>
  <c r="AB412" i="32" s="1"/>
  <c r="AM464" i="25"/>
  <c r="F408" i="25"/>
  <c r="A408" i="25" s="1"/>
  <c r="AI385" i="32"/>
  <c r="AJ385" i="32"/>
  <c r="AL385" i="32" s="1"/>
  <c r="AI353" i="32"/>
  <c r="AJ353" i="32"/>
  <c r="AL353" i="32" s="1"/>
  <c r="AI321" i="32"/>
  <c r="AJ321" i="32"/>
  <c r="AL321" i="32" s="1"/>
  <c r="F383" i="25"/>
  <c r="A383" i="25" s="1"/>
  <c r="F319" i="25"/>
  <c r="A319" i="25" s="1"/>
  <c r="AI406" i="25"/>
  <c r="AK406" i="25" s="1"/>
  <c r="AJ406" i="25"/>
  <c r="AL406" i="25" s="1"/>
  <c r="AI374" i="32"/>
  <c r="AJ374" i="32"/>
  <c r="AL374" i="32" s="1"/>
  <c r="AJ487" i="25"/>
  <c r="AL487" i="25" s="1"/>
  <c r="AI487" i="25"/>
  <c r="AK487" i="25" s="1"/>
  <c r="AJ455" i="32"/>
  <c r="AL455" i="32" s="1"/>
  <c r="AI455" i="32"/>
  <c r="F478" i="25"/>
  <c r="A478" i="25" s="1"/>
  <c r="AI462" i="25"/>
  <c r="AK462" i="25" s="1"/>
  <c r="AJ462" i="25"/>
  <c r="AL462" i="25" s="1"/>
  <c r="AJ430" i="32"/>
  <c r="AL430" i="32" s="1"/>
  <c r="AI430" i="32"/>
  <c r="AK430" i="32" s="1"/>
  <c r="AB430" i="32" s="1"/>
  <c r="AJ493" i="25"/>
  <c r="AL493" i="25" s="1"/>
  <c r="AI493" i="25"/>
  <c r="AK493" i="25" s="1"/>
  <c r="AJ461" i="32"/>
  <c r="AL461" i="32" s="1"/>
  <c r="AI461" i="32"/>
  <c r="AK461" i="32" s="1"/>
  <c r="AB461" i="32" s="1"/>
  <c r="AM429" i="25"/>
  <c r="AG69" i="25"/>
  <c r="AG132" i="25"/>
  <c r="AG196" i="25"/>
  <c r="AG228" i="25"/>
  <c r="AG292" i="25"/>
  <c r="AG115" i="25"/>
  <c r="AG195" i="25"/>
  <c r="AG35" i="25"/>
  <c r="AG101" i="25"/>
  <c r="AG162" i="25"/>
  <c r="AG141" i="25"/>
  <c r="AG286" i="25"/>
  <c r="AG62" i="25"/>
  <c r="AG34" i="25"/>
  <c r="AG213" i="25"/>
  <c r="AP234" i="25"/>
  <c r="AN234" i="25"/>
  <c r="AC234" i="25"/>
  <c r="AO234" i="25"/>
  <c r="AC298" i="25"/>
  <c r="AG87" i="25"/>
  <c r="AI262" i="32"/>
  <c r="AI225" i="32"/>
  <c r="AJ272" i="32"/>
  <c r="AL272" i="32" s="1"/>
  <c r="AI257" i="32"/>
  <c r="F492" i="25"/>
  <c r="A492" i="25" s="1"/>
  <c r="AI476" i="25"/>
  <c r="AK476" i="25" s="1"/>
  <c r="AJ476" i="25"/>
  <c r="AL476" i="25" s="1"/>
  <c r="AJ444" i="32"/>
  <c r="AL444" i="32" s="1"/>
  <c r="AI444" i="32"/>
  <c r="AK444" i="32" s="1"/>
  <c r="AB444" i="32" s="1"/>
  <c r="AM400" i="25"/>
  <c r="F381" i="25"/>
  <c r="A381" i="25" s="1"/>
  <c r="AM333" i="25"/>
  <c r="AI411" i="32"/>
  <c r="AJ411" i="32"/>
  <c r="AL411" i="32" s="1"/>
  <c r="AM347" i="25"/>
  <c r="AI315" i="25"/>
  <c r="AK315" i="25" s="1"/>
  <c r="AJ315" i="25"/>
  <c r="AL315" i="25" s="1"/>
  <c r="AM402" i="25"/>
  <c r="F322" i="25"/>
  <c r="A322" i="25" s="1"/>
  <c r="AG19" i="25"/>
  <c r="B14" i="39"/>
  <c r="B13" i="39"/>
  <c r="B12" i="39"/>
  <c r="B11" i="39"/>
  <c r="B10" i="39"/>
  <c r="B9" i="39"/>
  <c r="B8" i="39"/>
  <c r="B7" i="39"/>
  <c r="B6" i="39"/>
  <c r="AU3" i="39"/>
  <c r="J19" i="39" s="1"/>
  <c r="AI170" i="32"/>
  <c r="AI154" i="32"/>
  <c r="AI135" i="32"/>
  <c r="AI103" i="32"/>
  <c r="AJ69" i="32"/>
  <c r="AL69" i="32" s="1"/>
  <c r="AK32" i="32"/>
  <c r="AH32" i="32" s="1"/>
  <c r="AO32" i="32" s="1"/>
  <c r="AJ166" i="32"/>
  <c r="AL166" i="32" s="1"/>
  <c r="AJ127" i="32"/>
  <c r="AL127" i="32" s="1"/>
  <c r="AJ95" i="32"/>
  <c r="AL95" i="32" s="1"/>
  <c r="AI61" i="32"/>
  <c r="AJ170" i="32"/>
  <c r="AL170" i="32" s="1"/>
  <c r="AI124" i="32"/>
  <c r="AI92" i="32"/>
  <c r="AJ59" i="32"/>
  <c r="AL59" i="32" s="1"/>
  <c r="AK24" i="32"/>
  <c r="AB24" i="32" s="1"/>
  <c r="AJ143" i="32"/>
  <c r="AL143" i="32" s="1"/>
  <c r="AJ110" i="32"/>
  <c r="AL110" i="32" s="1"/>
  <c r="AJ77" i="32"/>
  <c r="AL77" i="32" s="1"/>
  <c r="AK39" i="32"/>
  <c r="AJ64" i="32"/>
  <c r="AL64" i="32" s="1"/>
  <c r="AJ305" i="32"/>
  <c r="AL305" i="32" s="1"/>
  <c r="AJ182" i="32"/>
  <c r="AL182" i="32" s="1"/>
  <c r="AI254" i="32"/>
  <c r="A498" i="25"/>
  <c r="F498" i="25"/>
  <c r="F435" i="25"/>
  <c r="A435" i="25" s="1"/>
  <c r="AI490" i="25"/>
  <c r="AK490" i="25" s="1"/>
  <c r="AJ490" i="25"/>
  <c r="AL490" i="25" s="1"/>
  <c r="AJ458" i="32"/>
  <c r="AL458" i="32" s="1"/>
  <c r="AI458" i="32"/>
  <c r="AK458" i="32" s="1"/>
  <c r="AB458" i="32" s="1"/>
  <c r="AM426" i="25"/>
  <c r="F465" i="25"/>
  <c r="A465" i="25" s="1"/>
  <c r="AJ449" i="25"/>
  <c r="AL449" i="25" s="1"/>
  <c r="AI449" i="25"/>
  <c r="AK449" i="25" s="1"/>
  <c r="AJ396" i="32"/>
  <c r="AL396" i="32" s="1"/>
  <c r="AI396" i="32"/>
  <c r="AK396" i="32" s="1"/>
  <c r="AB396" i="32" s="1"/>
  <c r="AJ57" i="32"/>
  <c r="AL57" i="32" s="1"/>
  <c r="AJ71" i="32"/>
  <c r="AL71" i="32" s="1"/>
  <c r="AJ81" i="32"/>
  <c r="AL81" i="32" s="1"/>
  <c r="AI474" i="25"/>
  <c r="AK474" i="25" s="1"/>
  <c r="AJ474" i="25"/>
  <c r="AL474" i="25" s="1"/>
  <c r="AJ433" i="32"/>
  <c r="AL433" i="32" s="1"/>
  <c r="AI433" i="32"/>
  <c r="AK433" i="32" s="1"/>
  <c r="AB433" i="32" s="1"/>
  <c r="AM420" i="25"/>
  <c r="AI371" i="32"/>
  <c r="AJ371" i="32"/>
  <c r="AL371" i="32" s="1"/>
  <c r="AK19" i="32"/>
  <c r="AH19" i="32" s="1"/>
  <c r="AO19" i="32" s="1"/>
  <c r="AK29" i="32"/>
  <c r="AJ475" i="25"/>
  <c r="AL475" i="25" s="1"/>
  <c r="AI475" i="25"/>
  <c r="AK475" i="25" s="1"/>
  <c r="AM416" i="25"/>
  <c r="AJ243" i="32"/>
  <c r="AL243" i="32" s="1"/>
  <c r="AJ223" i="32"/>
  <c r="AL223" i="32" s="1"/>
  <c r="AJ246" i="32"/>
  <c r="AL246" i="32" s="1"/>
  <c r="F488" i="25"/>
  <c r="A488" i="25" s="1"/>
  <c r="AI472" i="25"/>
  <c r="AK472" i="25" s="1"/>
  <c r="AJ472" i="25"/>
  <c r="AL472" i="25" s="1"/>
  <c r="AJ440" i="32"/>
  <c r="AL440" i="32" s="1"/>
  <c r="AI440" i="32"/>
  <c r="AK440" i="32" s="1"/>
  <c r="AB440" i="32" s="1"/>
  <c r="AM425" i="25"/>
  <c r="F377" i="25"/>
  <c r="A377" i="25" s="1"/>
  <c r="AM361" i="25"/>
  <c r="F423" i="25"/>
  <c r="A423" i="25" s="1"/>
  <c r="AJ407" i="25"/>
  <c r="AL407" i="25" s="1"/>
  <c r="AI407" i="25"/>
  <c r="AK407" i="25" s="1"/>
  <c r="AI375" i="32"/>
  <c r="AJ375" i="32"/>
  <c r="AL375" i="32" s="1"/>
  <c r="AI343" i="32"/>
  <c r="AJ343" i="32"/>
  <c r="AL343" i="32" s="1"/>
  <c r="AI318" i="32"/>
  <c r="AJ318" i="32"/>
  <c r="AL318" i="32" s="1"/>
  <c r="AJ239" i="32"/>
  <c r="AL239" i="32" s="1"/>
  <c r="AK18" i="32"/>
  <c r="AH18" i="32"/>
  <c r="AO18" i="32" s="1"/>
  <c r="AG18" i="32"/>
  <c r="AN18" i="32" s="1"/>
  <c r="AI495" i="25"/>
  <c r="AK495" i="25" s="1"/>
  <c r="AJ495" i="25"/>
  <c r="AL495" i="25" s="1"/>
  <c r="F494" i="25"/>
  <c r="A494" i="25" s="1"/>
  <c r="AM470" i="25"/>
  <c r="F424" i="25"/>
  <c r="A424" i="25" s="1"/>
  <c r="AM469" i="25"/>
  <c r="F418" i="25"/>
  <c r="A418" i="25" s="1"/>
  <c r="AJ292" i="32"/>
  <c r="AL292" i="32" s="1"/>
  <c r="AI199" i="32"/>
  <c r="AJ196" i="32"/>
  <c r="AL196" i="32" s="1"/>
  <c r="AI235" i="32"/>
  <c r="AJ274" i="32"/>
  <c r="AL274" i="32" s="1"/>
  <c r="AJ281" i="32"/>
  <c r="AL281" i="32" s="1"/>
  <c r="AI291" i="32"/>
  <c r="AJ193" i="32"/>
  <c r="AL193" i="32" s="1"/>
  <c r="AI219" i="32"/>
  <c r="AI260" i="32"/>
  <c r="AI288" i="32"/>
  <c r="AJ290" i="32"/>
  <c r="AL290" i="32" s="1"/>
  <c r="AI202" i="32"/>
  <c r="AI223" i="32"/>
  <c r="AJ283" i="32"/>
  <c r="AL283" i="32" s="1"/>
  <c r="AI302" i="32"/>
  <c r="AG73" i="25"/>
  <c r="AP152" i="25"/>
  <c r="AG216" i="25"/>
  <c r="AG248" i="25"/>
  <c r="AG151" i="25"/>
  <c r="AG71" i="25"/>
  <c r="AG134" i="25"/>
  <c r="AG198" i="25"/>
  <c r="AG25" i="25"/>
  <c r="AG227" i="25"/>
  <c r="AG291" i="25"/>
  <c r="AN261" i="25"/>
  <c r="AC261" i="25"/>
  <c r="AO261" i="25"/>
  <c r="AP261" i="25"/>
  <c r="AG201" i="25"/>
  <c r="AG255" i="25"/>
  <c r="AG48" i="25"/>
  <c r="AN233" i="25"/>
  <c r="AC233" i="25"/>
  <c r="AO233" i="25"/>
  <c r="AP233" i="25"/>
  <c r="AJ297" i="32"/>
  <c r="AL297" i="32" s="1"/>
  <c r="AI289" i="32"/>
  <c r="AI180" i="32"/>
  <c r="AJ224" i="32"/>
  <c r="AL224" i="32" s="1"/>
  <c r="AJ484" i="32"/>
  <c r="AL484" i="32" s="1"/>
  <c r="AI484" i="32"/>
  <c r="AK484" i="32" s="1"/>
  <c r="AB484" i="32" s="1"/>
  <c r="AM452" i="25"/>
  <c r="F421" i="25"/>
  <c r="A421" i="25" s="1"/>
  <c r="AI405" i="25"/>
  <c r="AK405" i="25" s="1"/>
  <c r="AJ405" i="25"/>
  <c r="AL405" i="25" s="1"/>
  <c r="AI373" i="32"/>
  <c r="AJ373" i="32"/>
  <c r="AL373" i="32" s="1"/>
  <c r="AI341" i="32"/>
  <c r="AJ341" i="32"/>
  <c r="AL341" i="32" s="1"/>
  <c r="AI364" i="32"/>
  <c r="AJ364" i="32"/>
  <c r="AL364" i="32" s="1"/>
  <c r="AI332" i="32"/>
  <c r="AJ332" i="32"/>
  <c r="AL332" i="32" s="1"/>
  <c r="AJ419" i="32"/>
  <c r="AL419" i="32" s="1"/>
  <c r="AI419" i="32"/>
  <c r="AM387" i="25"/>
  <c r="AM355" i="25"/>
  <c r="AI378" i="32"/>
  <c r="AJ378" i="32"/>
  <c r="AL378" i="32" s="1"/>
  <c r="AI346" i="32"/>
  <c r="AJ346" i="32"/>
  <c r="AL346" i="32" s="1"/>
  <c r="C38" i="25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F8" i="4"/>
  <c r="AI169" i="32"/>
  <c r="AI153" i="32"/>
  <c r="AI133" i="32"/>
  <c r="AI101" i="32"/>
  <c r="AI66" i="32"/>
  <c r="AG31" i="32"/>
  <c r="AN31" i="32" s="1"/>
  <c r="AK31" i="32"/>
  <c r="AH31" i="32" s="1"/>
  <c r="AO31" i="32" s="1"/>
  <c r="AJ140" i="32"/>
  <c r="AL140" i="32" s="1"/>
  <c r="AJ109" i="32"/>
  <c r="AL109" i="32" s="1"/>
  <c r="AJ78" i="32"/>
  <c r="AL78" i="32" s="1"/>
  <c r="AI42" i="32"/>
  <c r="AJ148" i="32"/>
  <c r="AL148" i="32" s="1"/>
  <c r="AI114" i="32"/>
  <c r="AI81" i="32"/>
  <c r="AJ46" i="32"/>
  <c r="AL46" i="32" s="1"/>
  <c r="AJ155" i="32"/>
  <c r="AL155" i="32" s="1"/>
  <c r="AJ124" i="32"/>
  <c r="AL124" i="32" s="1"/>
  <c r="AJ92" i="32"/>
  <c r="AL92" i="32" s="1"/>
  <c r="AI53" i="32"/>
  <c r="AJ242" i="32"/>
  <c r="AL242" i="32" s="1"/>
  <c r="AJ225" i="32"/>
  <c r="AL225" i="32" s="1"/>
  <c r="AJ237" i="32"/>
  <c r="AL237" i="32" s="1"/>
  <c r="AI269" i="32"/>
  <c r="F443" i="25"/>
  <c r="A443" i="25" s="1"/>
  <c r="AI427" i="25"/>
  <c r="AK427" i="25" s="1"/>
  <c r="AJ427" i="25"/>
  <c r="AL427" i="25" s="1"/>
  <c r="AJ466" i="32"/>
  <c r="AL466" i="32" s="1"/>
  <c r="AI466" i="32"/>
  <c r="AK466" i="32" s="1"/>
  <c r="AB466" i="32" s="1"/>
  <c r="AM434" i="25"/>
  <c r="F473" i="25"/>
  <c r="A473" i="25" s="1"/>
  <c r="AI457" i="25"/>
  <c r="AK457" i="25" s="1"/>
  <c r="AJ457" i="25"/>
  <c r="AL457" i="25" s="1"/>
  <c r="AI410" i="32"/>
  <c r="AJ410" i="32"/>
  <c r="AL410" i="32" s="1"/>
  <c r="AJ159" i="32"/>
  <c r="AL159" i="32" s="1"/>
  <c r="AI91" i="32"/>
  <c r="AJ132" i="32"/>
  <c r="AL132" i="32" s="1"/>
  <c r="AJ76" i="32"/>
  <c r="AL76" i="32" s="1"/>
  <c r="AI120" i="32"/>
  <c r="AJ129" i="32"/>
  <c r="AL129" i="32" s="1"/>
  <c r="F483" i="25"/>
  <c r="A483" i="25" s="1"/>
  <c r="AM465" i="25"/>
  <c r="B17" i="39"/>
  <c r="B21" i="39"/>
  <c r="AI251" i="32"/>
  <c r="AJ253" i="32"/>
  <c r="AL253" i="32" s="1"/>
  <c r="AJ197" i="32"/>
  <c r="AL197" i="32" s="1"/>
  <c r="F500" i="25"/>
  <c r="A500" i="25" s="1"/>
  <c r="AM480" i="25"/>
  <c r="F432" i="25"/>
  <c r="A432" i="25" s="1"/>
  <c r="AI408" i="25"/>
  <c r="AK408" i="25" s="1"/>
  <c r="AJ408" i="25"/>
  <c r="AL408" i="25" s="1"/>
  <c r="AJ401" i="32"/>
  <c r="AL401" i="32" s="1"/>
  <c r="AI401" i="32"/>
  <c r="AM369" i="25"/>
  <c r="AM337" i="25"/>
  <c r="F376" i="25"/>
  <c r="A376" i="25" s="1"/>
  <c r="AJ415" i="25"/>
  <c r="AL415" i="25" s="1"/>
  <c r="AI415" i="25"/>
  <c r="AK415" i="25" s="1"/>
  <c r="AI383" i="32"/>
  <c r="AJ383" i="32"/>
  <c r="AL383" i="32" s="1"/>
  <c r="AI351" i="32"/>
  <c r="AJ351" i="32"/>
  <c r="AL351" i="32" s="1"/>
  <c r="F406" i="25"/>
  <c r="A406" i="25" s="1"/>
  <c r="AI390" i="25"/>
  <c r="AK390" i="25" s="1"/>
  <c r="AJ390" i="25"/>
  <c r="AL390" i="25" s="1"/>
  <c r="F366" i="25"/>
  <c r="A366" i="25" s="1"/>
  <c r="AI358" i="25"/>
  <c r="AK358" i="25" s="1"/>
  <c r="AJ358" i="25"/>
  <c r="AL358" i="25" s="1"/>
  <c r="F334" i="25"/>
  <c r="A334" i="25" s="1"/>
  <c r="AI326" i="25"/>
  <c r="AK326" i="25" s="1"/>
  <c r="AJ326" i="25"/>
  <c r="AL326" i="25" s="1"/>
  <c r="AI471" i="32"/>
  <c r="AJ471" i="32"/>
  <c r="AL471" i="32" s="1"/>
  <c r="AJ494" i="32"/>
  <c r="AL494" i="32" s="1"/>
  <c r="AI494" i="32"/>
  <c r="AI478" i="25"/>
  <c r="AK478" i="25" s="1"/>
  <c r="AJ478" i="25"/>
  <c r="AL478" i="25" s="1"/>
  <c r="AJ446" i="32"/>
  <c r="AL446" i="32" s="1"/>
  <c r="AI446" i="32"/>
  <c r="F493" i="25"/>
  <c r="A493" i="25" s="1"/>
  <c r="AI477" i="25"/>
  <c r="AK477" i="25" s="1"/>
  <c r="AJ477" i="25"/>
  <c r="AL477" i="25" s="1"/>
  <c r="AJ445" i="32"/>
  <c r="AL445" i="32" s="1"/>
  <c r="AI445" i="32"/>
  <c r="AK445" i="32" s="1"/>
  <c r="AB445" i="32" s="1"/>
  <c r="AM404" i="25"/>
  <c r="AG28" i="25"/>
  <c r="AG94" i="25"/>
  <c r="AG156" i="25"/>
  <c r="AG220" i="25"/>
  <c r="AG252" i="25"/>
  <c r="AG27" i="25"/>
  <c r="AC155" i="25"/>
  <c r="AP155" i="25"/>
  <c r="AN155" i="25"/>
  <c r="AO155" i="25"/>
  <c r="AG171" i="25"/>
  <c r="AG75" i="25"/>
  <c r="AG138" i="25"/>
  <c r="AG202" i="25"/>
  <c r="AP262" i="25"/>
  <c r="AG209" i="25"/>
  <c r="AG290" i="25"/>
  <c r="AJ294" i="32"/>
  <c r="AL294" i="32" s="1"/>
  <c r="AJ278" i="32"/>
  <c r="AL278" i="32" s="1"/>
  <c r="AI176" i="32"/>
  <c r="AJ220" i="32"/>
  <c r="AL220" i="32" s="1"/>
  <c r="F476" i="25"/>
  <c r="A476" i="25" s="1"/>
  <c r="AI460" i="25"/>
  <c r="AK460" i="25" s="1"/>
  <c r="AJ460" i="25"/>
  <c r="AL460" i="25" s="1"/>
  <c r="AJ428" i="32"/>
  <c r="AL428" i="32" s="1"/>
  <c r="AI428" i="32"/>
  <c r="AJ413" i="32"/>
  <c r="AL413" i="32" s="1"/>
  <c r="AI413" i="32"/>
  <c r="AK413" i="32" s="1"/>
  <c r="AB413" i="32" s="1"/>
  <c r="F357" i="25"/>
  <c r="A357" i="25" s="1"/>
  <c r="AI349" i="25"/>
  <c r="AK349" i="25" s="1"/>
  <c r="AJ349" i="25"/>
  <c r="AL349" i="25" s="1"/>
  <c r="AM317" i="25"/>
  <c r="A348" i="25"/>
  <c r="F348" i="25"/>
  <c r="AI340" i="25"/>
  <c r="AK340" i="25" s="1"/>
  <c r="AJ340" i="25"/>
  <c r="AL340" i="25" s="1"/>
  <c r="F316" i="25"/>
  <c r="A316" i="25" s="1"/>
  <c r="AI308" i="25"/>
  <c r="AK308" i="25" s="1"/>
  <c r="AJ308" i="25"/>
  <c r="AL308" i="25" s="1"/>
  <c r="AJ395" i="32"/>
  <c r="AL395" i="32" s="1"/>
  <c r="AI395" i="32"/>
  <c r="F371" i="25"/>
  <c r="A371" i="25" s="1"/>
  <c r="AJ363" i="25"/>
  <c r="AL363" i="25" s="1"/>
  <c r="AI363" i="25"/>
  <c r="AK363" i="25" s="1"/>
  <c r="AI331" i="32"/>
  <c r="AJ331" i="32"/>
  <c r="AL331" i="32" s="1"/>
  <c r="F402" i="25"/>
  <c r="A402" i="25" s="1"/>
  <c r="AI386" i="25"/>
  <c r="AK386" i="25" s="1"/>
  <c r="AJ386" i="25"/>
  <c r="AL386" i="25" s="1"/>
  <c r="AI354" i="32"/>
  <c r="AJ354" i="32"/>
  <c r="AL354" i="32" s="1"/>
  <c r="AI322" i="32"/>
  <c r="AJ322" i="32"/>
  <c r="AL322" i="32" s="1"/>
  <c r="AG58" i="25"/>
  <c r="AI172" i="32"/>
  <c r="AI152" i="32"/>
  <c r="AI99" i="32"/>
  <c r="AJ138" i="32"/>
  <c r="AL138" i="32" s="1"/>
  <c r="AJ66" i="32"/>
  <c r="AL66" i="32" s="1"/>
  <c r="AI128" i="32"/>
  <c r="AJ158" i="32"/>
  <c r="AL158" i="32" s="1"/>
  <c r="AI62" i="32"/>
  <c r="AI499" i="25"/>
  <c r="AK499" i="25" s="1"/>
  <c r="AJ499" i="25"/>
  <c r="AL499" i="25" s="1"/>
  <c r="AI467" i="25"/>
  <c r="AK467" i="25" s="1"/>
  <c r="AJ467" i="25"/>
  <c r="AL467" i="25" s="1"/>
  <c r="F490" i="25"/>
  <c r="A490" i="25" s="1"/>
  <c r="AI497" i="25"/>
  <c r="AK497" i="25" s="1"/>
  <c r="AJ497" i="25"/>
  <c r="AL497" i="25" s="1"/>
  <c r="F452" i="25"/>
  <c r="A452" i="25" s="1"/>
  <c r="AI316" i="32"/>
  <c r="AJ316" i="32"/>
  <c r="AL316" i="32" s="1"/>
  <c r="AM339" i="25"/>
  <c r="F378" i="25"/>
  <c r="A378" i="25" s="1"/>
  <c r="AJ330" i="25"/>
  <c r="AL330" i="25" s="1"/>
  <c r="AI330" i="25"/>
  <c r="AK330" i="25" s="1"/>
  <c r="AJ450" i="32"/>
  <c r="AL450" i="32" s="1"/>
  <c r="AI450" i="32"/>
  <c r="AK450" i="32" s="1"/>
  <c r="AB450" i="32" s="1"/>
  <c r="AJ441" i="32"/>
  <c r="AL441" i="32" s="1"/>
  <c r="AI441" i="32"/>
  <c r="AI244" i="32"/>
  <c r="AJ260" i="32"/>
  <c r="AL260" i="32" s="1"/>
  <c r="AJ191" i="32"/>
  <c r="AL191" i="32" s="1"/>
  <c r="AM488" i="25"/>
  <c r="F440" i="25"/>
  <c r="A440" i="25" s="1"/>
  <c r="AJ422" i="25"/>
  <c r="AL422" i="25" s="1"/>
  <c r="AI422" i="25"/>
  <c r="AK422" i="25" s="1"/>
  <c r="AJ409" i="32"/>
  <c r="AL409" i="32" s="1"/>
  <c r="AI409" i="32"/>
  <c r="AM377" i="25"/>
  <c r="AM313" i="25"/>
  <c r="F344" i="25"/>
  <c r="A344" i="25" s="1"/>
  <c r="AJ336" i="25"/>
  <c r="AL336" i="25" s="1"/>
  <c r="AI336" i="25"/>
  <c r="AK336" i="25" s="1"/>
  <c r="AJ423" i="32"/>
  <c r="AL423" i="32" s="1"/>
  <c r="AI423" i="32"/>
  <c r="AK423" i="32" s="1"/>
  <c r="AB423" i="32" s="1"/>
  <c r="AM391" i="25"/>
  <c r="F335" i="25"/>
  <c r="A335" i="25" s="1"/>
  <c r="AI327" i="25"/>
  <c r="AK327" i="25" s="1"/>
  <c r="AJ327" i="25"/>
  <c r="AL327" i="25" s="1"/>
  <c r="AJ398" i="32"/>
  <c r="AL398" i="32" s="1"/>
  <c r="AI398" i="32"/>
  <c r="AK398" i="32" s="1"/>
  <c r="AB398" i="32" s="1"/>
  <c r="F374" i="25"/>
  <c r="A374" i="25" s="1"/>
  <c r="AJ366" i="25"/>
  <c r="AL366" i="25" s="1"/>
  <c r="AI366" i="25"/>
  <c r="AK366" i="25" s="1"/>
  <c r="AI334" i="32"/>
  <c r="AJ334" i="32"/>
  <c r="AL334" i="32" s="1"/>
  <c r="AI261" i="32"/>
  <c r="F463" i="25"/>
  <c r="A463" i="25" s="1"/>
  <c r="AI447" i="25"/>
  <c r="AK447" i="25" s="1"/>
  <c r="AJ447" i="25"/>
  <c r="AL447" i="25" s="1"/>
  <c r="AJ486" i="32"/>
  <c r="AL486" i="32" s="1"/>
  <c r="AI486" i="32"/>
  <c r="AK486" i="32" s="1"/>
  <c r="AB486" i="32" s="1"/>
  <c r="AM454" i="25"/>
  <c r="AM485" i="25"/>
  <c r="F437" i="25"/>
  <c r="A437" i="25" s="1"/>
  <c r="AJ418" i="25"/>
  <c r="AL418" i="25" s="1"/>
  <c r="AI418" i="25"/>
  <c r="AK418" i="25" s="1"/>
  <c r="AJ54" i="32"/>
  <c r="AL54" i="32" s="1"/>
  <c r="AG65" i="25"/>
  <c r="AG128" i="25"/>
  <c r="AG192" i="25"/>
  <c r="AG224" i="25"/>
  <c r="AG288" i="25"/>
  <c r="AG42" i="25"/>
  <c r="AG127" i="25"/>
  <c r="AG191" i="25"/>
  <c r="AG30" i="25"/>
  <c r="AG96" i="25"/>
  <c r="AG158" i="25"/>
  <c r="AG222" i="25"/>
  <c r="AG133" i="25"/>
  <c r="AG251" i="25"/>
  <c r="AG44" i="25"/>
  <c r="AG21" i="25"/>
  <c r="AG211" i="25"/>
  <c r="AG263" i="25"/>
  <c r="AG79" i="25"/>
  <c r="AN281" i="25"/>
  <c r="AC281" i="25"/>
  <c r="AO281" i="25"/>
  <c r="AP281" i="25"/>
  <c r="AJ436" i="25"/>
  <c r="AL436" i="25" s="1"/>
  <c r="AI436" i="25"/>
  <c r="AK436" i="25" s="1"/>
  <c r="AJ421" i="25"/>
  <c r="AL421" i="25" s="1"/>
  <c r="AI421" i="25"/>
  <c r="AK421" i="25" s="1"/>
  <c r="AM325" i="25"/>
  <c r="AI380" i="32"/>
  <c r="AJ380" i="32"/>
  <c r="AL380" i="32" s="1"/>
  <c r="AJ348" i="25"/>
  <c r="AL348" i="25" s="1"/>
  <c r="AI348" i="25"/>
  <c r="AK348" i="25" s="1"/>
  <c r="AJ403" i="32"/>
  <c r="AL403" i="32" s="1"/>
  <c r="AI403" i="32"/>
  <c r="AK403" i="32" s="1"/>
  <c r="AB403" i="32" s="1"/>
  <c r="AI362" i="32"/>
  <c r="AJ362" i="32"/>
  <c r="AL362" i="32" s="1"/>
  <c r="F457" i="25"/>
  <c r="A457" i="25" s="1"/>
  <c r="F480" i="25"/>
  <c r="A480" i="25" s="1"/>
  <c r="AJ432" i="32"/>
  <c r="AL432" i="32" s="1"/>
  <c r="AI432" i="32"/>
  <c r="AJ417" i="32"/>
  <c r="AL417" i="32" s="1"/>
  <c r="AI417" i="32"/>
  <c r="F392" i="25"/>
  <c r="A392" i="25" s="1"/>
  <c r="F352" i="25"/>
  <c r="A352" i="25" s="1"/>
  <c r="AI312" i="25"/>
  <c r="AK312" i="25" s="1"/>
  <c r="AJ312" i="25"/>
  <c r="AL312" i="25" s="1"/>
  <c r="AJ367" i="25"/>
  <c r="AL367" i="25" s="1"/>
  <c r="AI367" i="25"/>
  <c r="AK367" i="25" s="1"/>
  <c r="AI342" i="25"/>
  <c r="AK342" i="25" s="1"/>
  <c r="AJ342" i="25"/>
  <c r="AL342" i="25" s="1"/>
  <c r="F439" i="25"/>
  <c r="A439" i="25" s="1"/>
  <c r="A445" i="25"/>
  <c r="F445" i="25"/>
  <c r="AC98" i="25"/>
  <c r="AO98" i="25"/>
  <c r="AN98" i="25"/>
  <c r="AP98" i="25"/>
  <c r="AP130" i="25"/>
  <c r="AC17" i="25"/>
  <c r="AO17" i="25"/>
  <c r="AN17" i="25"/>
  <c r="AP17" i="25"/>
  <c r="AO161" i="25"/>
  <c r="AJ501" i="32"/>
  <c r="AL501" i="32" s="1"/>
  <c r="AI501" i="32"/>
  <c r="AJ397" i="32"/>
  <c r="AL397" i="32" s="1"/>
  <c r="AI397" i="32"/>
  <c r="AI365" i="25"/>
  <c r="AK365" i="25" s="1"/>
  <c r="AJ365" i="25"/>
  <c r="AL365" i="25" s="1"/>
  <c r="AI379" i="25"/>
  <c r="AK379" i="25" s="1"/>
  <c r="AJ379" i="25"/>
  <c r="AL379" i="25" s="1"/>
  <c r="AK141" i="32"/>
  <c r="AG141" i="32" s="1"/>
  <c r="AN141" i="32" s="1"/>
  <c r="F499" i="25"/>
  <c r="A499" i="25" s="1"/>
  <c r="AI442" i="25"/>
  <c r="AK442" i="25" s="1"/>
  <c r="AJ442" i="25"/>
  <c r="AL442" i="25" s="1"/>
  <c r="F396" i="25"/>
  <c r="A396" i="25" s="1"/>
  <c r="A356" i="25"/>
  <c r="F356" i="25"/>
  <c r="F347" i="25"/>
  <c r="A347" i="25" s="1"/>
  <c r="AJ284" i="32"/>
  <c r="AL284" i="32" s="1"/>
  <c r="AK284" i="32" s="1"/>
  <c r="AB284" i="32" s="1"/>
  <c r="AI236" i="32"/>
  <c r="AJ221" i="32"/>
  <c r="AL221" i="32" s="1"/>
  <c r="AI256" i="32"/>
  <c r="AI220" i="32"/>
  <c r="AI181" i="32"/>
  <c r="AJ255" i="32"/>
  <c r="AL255" i="32" s="1"/>
  <c r="AJ286" i="32"/>
  <c r="AL286" i="32" s="1"/>
  <c r="AI188" i="32"/>
  <c r="AI229" i="32"/>
  <c r="AI167" i="32"/>
  <c r="AI150" i="32"/>
  <c r="AI113" i="32"/>
  <c r="AI90" i="32"/>
  <c r="AJ51" i="32"/>
  <c r="AL51" i="32" s="1"/>
  <c r="AJ167" i="32"/>
  <c r="AL167" i="32" s="1"/>
  <c r="AJ130" i="32"/>
  <c r="AL130" i="32" s="1"/>
  <c r="AJ97" i="32"/>
  <c r="AL97" i="32" s="1"/>
  <c r="AJ55" i="32"/>
  <c r="AL55" i="32" s="1"/>
  <c r="AJ152" i="32"/>
  <c r="AL152" i="32" s="1"/>
  <c r="AI126" i="32"/>
  <c r="AI102" i="32"/>
  <c r="AI77" i="32"/>
  <c r="AJ50" i="32"/>
  <c r="AL50" i="32" s="1"/>
  <c r="AJ157" i="32"/>
  <c r="AL157" i="32" s="1"/>
  <c r="AJ137" i="32"/>
  <c r="AL137" i="32" s="1"/>
  <c r="AJ96" i="32"/>
  <c r="AL96" i="32" s="1"/>
  <c r="AI69" i="32"/>
  <c r="AJ299" i="32"/>
  <c r="AL299" i="32" s="1"/>
  <c r="AJ194" i="32"/>
  <c r="AL194" i="32" s="1"/>
  <c r="AJ214" i="32"/>
  <c r="AL214" i="32" s="1"/>
  <c r="AJ229" i="32"/>
  <c r="AL229" i="32" s="1"/>
  <c r="AI177" i="32"/>
  <c r="AI303" i="32"/>
  <c r="AI200" i="32"/>
  <c r="AJ271" i="32"/>
  <c r="AL271" i="32" s="1"/>
  <c r="AJ174" i="32"/>
  <c r="AL174" i="32" s="1"/>
  <c r="AI294" i="32"/>
  <c r="AI215" i="32"/>
  <c r="AJ280" i="32"/>
  <c r="AL280" i="32" s="1"/>
  <c r="AJ236" i="32"/>
  <c r="AL236" i="32" s="1"/>
  <c r="AI240" i="32"/>
  <c r="AJ291" i="32"/>
  <c r="AL291" i="32" s="1"/>
  <c r="AI276" i="32"/>
  <c r="AJ212" i="32"/>
  <c r="AL212" i="32" s="1"/>
  <c r="AJ258" i="32"/>
  <c r="AL258" i="32" s="1"/>
  <c r="AI278" i="32"/>
  <c r="AJ190" i="32"/>
  <c r="AL190" i="32" s="1"/>
  <c r="AJ233" i="32"/>
  <c r="AL233" i="32" s="1"/>
  <c r="AI191" i="32"/>
  <c r="AJ248" i="32"/>
  <c r="AL248" i="32" s="1"/>
  <c r="AJ247" i="32"/>
  <c r="AL247" i="32" s="1"/>
  <c r="AI163" i="32"/>
  <c r="AI155" i="32"/>
  <c r="AI144" i="32"/>
  <c r="AI130" i="32"/>
  <c r="AI105" i="32"/>
  <c r="AI82" i="32"/>
  <c r="AJ60" i="32"/>
  <c r="AL60" i="32" s="1"/>
  <c r="AJ163" i="32"/>
  <c r="AL163" i="32" s="1"/>
  <c r="AJ136" i="32"/>
  <c r="AL136" i="32" s="1"/>
  <c r="AJ113" i="32"/>
  <c r="AL113" i="32" s="1"/>
  <c r="AJ90" i="32"/>
  <c r="AL90" i="32" s="1"/>
  <c r="AJ74" i="32"/>
  <c r="AL74" i="32" s="1"/>
  <c r="AI46" i="32"/>
  <c r="AI143" i="32"/>
  <c r="AI110" i="32"/>
  <c r="AI94" i="32"/>
  <c r="AJ70" i="32"/>
  <c r="AL70" i="32" s="1"/>
  <c r="AJ42" i="32"/>
  <c r="AL42" i="32" s="1"/>
  <c r="AJ146" i="32"/>
  <c r="AL146" i="32" s="1"/>
  <c r="AJ120" i="32"/>
  <c r="AL120" i="32" s="1"/>
  <c r="AJ104" i="32"/>
  <c r="AL104" i="32" s="1"/>
  <c r="AJ87" i="32"/>
  <c r="AL87" i="32" s="1"/>
  <c r="AI49" i="32"/>
  <c r="AI232" i="32"/>
  <c r="AJ244" i="32"/>
  <c r="AL244" i="32" s="1"/>
  <c r="AI293" i="32"/>
  <c r="AI280" i="32"/>
  <c r="AI187" i="32"/>
  <c r="AI249" i="32"/>
  <c r="AJ302" i="32"/>
  <c r="AL302" i="32" s="1"/>
  <c r="AJ200" i="32"/>
  <c r="AL200" i="32" s="1"/>
  <c r="AI216" i="32"/>
  <c r="AJ264" i="32"/>
  <c r="AL264" i="32" s="1"/>
  <c r="AI245" i="32"/>
  <c r="AJ177" i="32"/>
  <c r="AL177" i="32" s="1"/>
  <c r="AI247" i="32"/>
  <c r="AI171" i="32"/>
  <c r="AI159" i="32"/>
  <c r="AJ162" i="32"/>
  <c r="AL162" i="32" s="1"/>
  <c r="AI136" i="32"/>
  <c r="AI121" i="32"/>
  <c r="AI97" i="32"/>
  <c r="AI74" i="32"/>
  <c r="AJ43" i="32"/>
  <c r="AL43" i="32" s="1"/>
  <c r="AJ144" i="32"/>
  <c r="AL144" i="32" s="1"/>
  <c r="AJ121" i="32"/>
  <c r="AL121" i="32" s="1"/>
  <c r="AJ105" i="32"/>
  <c r="AL105" i="32" s="1"/>
  <c r="AJ82" i="32"/>
  <c r="AL82" i="32" s="1"/>
  <c r="AI63" i="32"/>
  <c r="AJ171" i="32"/>
  <c r="AL171" i="32" s="1"/>
  <c r="AI134" i="32"/>
  <c r="AI118" i="32"/>
  <c r="AI85" i="32"/>
  <c r="AJ61" i="32"/>
  <c r="AL61" i="32" s="1"/>
  <c r="AJ153" i="32"/>
  <c r="AL153" i="32" s="1"/>
  <c r="AJ128" i="32"/>
  <c r="AL128" i="32" s="1"/>
  <c r="AJ112" i="32"/>
  <c r="AL112" i="32" s="1"/>
  <c r="AJ79" i="32"/>
  <c r="AL79" i="32" s="1"/>
  <c r="AI60" i="32"/>
  <c r="AJ300" i="32"/>
  <c r="AL300" i="32" s="1"/>
  <c r="AJ266" i="32"/>
  <c r="AL266" i="32" s="1"/>
  <c r="AI286" i="32"/>
  <c r="AJ186" i="32"/>
  <c r="AL186" i="32" s="1"/>
  <c r="AK186" i="32" s="1"/>
  <c r="AI264" i="32"/>
  <c r="AJ184" i="32"/>
  <c r="AL184" i="32" s="1"/>
  <c r="AI212" i="32"/>
  <c r="AI175" i="32"/>
  <c r="AJ393" i="32"/>
  <c r="AL393" i="32" s="1"/>
  <c r="AI393" i="32"/>
  <c r="AJ329" i="25"/>
  <c r="AL329" i="25" s="1"/>
  <c r="AI329" i="25"/>
  <c r="AK329" i="25" s="1"/>
  <c r="AI382" i="32"/>
  <c r="AJ382" i="32"/>
  <c r="AL382" i="32" s="1"/>
  <c r="AI496" i="25"/>
  <c r="AK496" i="25" s="1"/>
  <c r="AJ496" i="25"/>
  <c r="AL496" i="25" s="1"/>
  <c r="AJ431" i="32"/>
  <c r="AL431" i="32" s="1"/>
  <c r="AI431" i="32"/>
  <c r="F485" i="25"/>
  <c r="A485" i="25" s="1"/>
  <c r="AJ259" i="32"/>
  <c r="AL259" i="32" s="1"/>
  <c r="AJ267" i="32"/>
  <c r="AL267" i="32" s="1"/>
  <c r="AI227" i="32"/>
  <c r="AJ188" i="32"/>
  <c r="AL188" i="32" s="1"/>
  <c r="AP280" i="25"/>
  <c r="AN280" i="25"/>
  <c r="AC280" i="25"/>
  <c r="AO280" i="25"/>
  <c r="AN102" i="25"/>
  <c r="AO223" i="25"/>
  <c r="AI270" i="32"/>
  <c r="AI237" i="32"/>
  <c r="AI309" i="25"/>
  <c r="AK309" i="25" s="1"/>
  <c r="AJ309" i="25"/>
  <c r="AL309" i="25" s="1"/>
  <c r="F363" i="25"/>
  <c r="A363" i="25" s="1"/>
  <c r="AI117" i="32"/>
  <c r="AJ125" i="32"/>
  <c r="AL125" i="32" s="1"/>
  <c r="AI129" i="32"/>
  <c r="AH27" i="32"/>
  <c r="AO27" i="32" s="1"/>
  <c r="AK27" i="32"/>
  <c r="AB27" i="32" s="1"/>
  <c r="AG27" i="32"/>
  <c r="AN27" i="32" s="1"/>
  <c r="AJ75" i="32"/>
  <c r="AL75" i="32" s="1"/>
  <c r="AK75" i="32" s="1"/>
  <c r="AB75" i="32" s="1"/>
  <c r="AJ459" i="32"/>
  <c r="AL459" i="32" s="1"/>
  <c r="AI459" i="32"/>
  <c r="AJ107" i="32"/>
  <c r="AL107" i="32" s="1"/>
  <c r="AI259" i="32"/>
  <c r="AJ500" i="32"/>
  <c r="AL500" i="32" s="1"/>
  <c r="AI500" i="32"/>
  <c r="AJ385" i="25"/>
  <c r="AL385" i="25" s="1"/>
  <c r="AI385" i="25"/>
  <c r="AK385" i="25" s="1"/>
  <c r="AJ353" i="25"/>
  <c r="AL353" i="25" s="1"/>
  <c r="AI353" i="25"/>
  <c r="AK353" i="25" s="1"/>
  <c r="AI376" i="32"/>
  <c r="AJ376" i="32"/>
  <c r="AL376" i="32" s="1"/>
  <c r="AI367" i="32"/>
  <c r="AK367" i="32" s="1"/>
  <c r="AB367" i="32" s="1"/>
  <c r="AJ367" i="32"/>
  <c r="AL367" i="32" s="1"/>
  <c r="AJ455" i="25"/>
  <c r="AL455" i="25" s="1"/>
  <c r="AI455" i="25"/>
  <c r="AK455" i="25" s="1"/>
  <c r="AI430" i="25"/>
  <c r="AK430" i="25" s="1"/>
  <c r="AJ430" i="25"/>
  <c r="AL430" i="25" s="1"/>
  <c r="F477" i="25"/>
  <c r="A477" i="25" s="1"/>
  <c r="AJ429" i="32"/>
  <c r="AL429" i="32" s="1"/>
  <c r="AI429" i="32"/>
  <c r="AP148" i="25"/>
  <c r="AN148" i="25"/>
  <c r="AC148" i="25"/>
  <c r="AO148" i="25"/>
  <c r="AC212" i="25"/>
  <c r="AO212" i="25"/>
  <c r="AP212" i="25"/>
  <c r="AN212" i="25"/>
  <c r="AG131" i="25"/>
  <c r="AN49" i="25"/>
  <c r="AP49" i="25"/>
  <c r="AO49" i="25"/>
  <c r="AC49" i="25"/>
  <c r="AN178" i="25"/>
  <c r="AC178" i="25"/>
  <c r="AO178" i="25"/>
  <c r="AP178" i="25"/>
  <c r="AP250" i="25"/>
  <c r="AN250" i="25"/>
  <c r="AC250" i="25"/>
  <c r="AO250" i="25"/>
  <c r="AG225" i="25"/>
  <c r="AJ252" i="32"/>
  <c r="AL252" i="32" s="1"/>
  <c r="AJ249" i="32"/>
  <c r="AL249" i="32" s="1"/>
  <c r="F460" i="25"/>
  <c r="A460" i="25" s="1"/>
  <c r="AI365" i="32"/>
  <c r="AJ365" i="32"/>
  <c r="AL365" i="32" s="1"/>
  <c r="AI333" i="32"/>
  <c r="AJ333" i="32"/>
  <c r="AL333" i="32" s="1"/>
  <c r="AI411" i="25"/>
  <c r="AK411" i="25" s="1"/>
  <c r="AJ411" i="25"/>
  <c r="AL411" i="25" s="1"/>
  <c r="AJ402" i="32"/>
  <c r="AL402" i="32" s="1"/>
  <c r="AI402" i="32"/>
  <c r="AI290" i="32"/>
  <c r="AI111" i="32"/>
  <c r="AI80" i="32"/>
  <c r="AJ135" i="32"/>
  <c r="AL135" i="32" s="1"/>
  <c r="AJ151" i="32"/>
  <c r="AL151" i="32" s="1"/>
  <c r="AJ230" i="32"/>
  <c r="AL230" i="32" s="1"/>
  <c r="AI214" i="32"/>
  <c r="AJ227" i="32"/>
  <c r="AL227" i="32" s="1"/>
  <c r="AI265" i="32"/>
  <c r="AM412" i="25"/>
  <c r="F448" i="25"/>
  <c r="A448" i="25" s="1"/>
  <c r="AI432" i="25"/>
  <c r="AK432" i="25" s="1"/>
  <c r="AJ432" i="25"/>
  <c r="AL432" i="25" s="1"/>
  <c r="AJ417" i="25"/>
  <c r="AL417" i="25" s="1"/>
  <c r="AI417" i="25"/>
  <c r="AK417" i="25" s="1"/>
  <c r="AM385" i="25"/>
  <c r="AM353" i="25"/>
  <c r="AM321" i="25"/>
  <c r="AM376" i="25"/>
  <c r="AM344" i="25"/>
  <c r="F415" i="25"/>
  <c r="A415" i="25" s="1"/>
  <c r="AJ399" i="25"/>
  <c r="AL399" i="25" s="1"/>
  <c r="AI399" i="25"/>
  <c r="AK399" i="25" s="1"/>
  <c r="F343" i="25"/>
  <c r="A343" i="25" s="1"/>
  <c r="AJ335" i="25"/>
  <c r="AL335" i="25" s="1"/>
  <c r="AI335" i="25"/>
  <c r="AK335" i="25" s="1"/>
  <c r="AJ406" i="32"/>
  <c r="AL406" i="32" s="1"/>
  <c r="AI406" i="32"/>
  <c r="AM342" i="25"/>
  <c r="F326" i="25"/>
  <c r="A326" i="25" s="1"/>
  <c r="AI310" i="25"/>
  <c r="AK310" i="25" s="1"/>
  <c r="AJ310" i="25"/>
  <c r="AL310" i="25" s="1"/>
  <c r="AJ213" i="32"/>
  <c r="AL213" i="32" s="1"/>
  <c r="AJ487" i="32"/>
  <c r="AL487" i="32" s="1"/>
  <c r="AI487" i="32"/>
  <c r="AJ462" i="32"/>
  <c r="AL462" i="32" s="1"/>
  <c r="AI462" i="32"/>
  <c r="AK462" i="32" s="1"/>
  <c r="AB462" i="32" s="1"/>
  <c r="AM430" i="25"/>
  <c r="AM461" i="25"/>
  <c r="F404" i="25"/>
  <c r="A404" i="25" s="1"/>
  <c r="AG116" i="25"/>
  <c r="AG180" i="25"/>
  <c r="AP276" i="25"/>
  <c r="AN276" i="25"/>
  <c r="AC276" i="25"/>
  <c r="AO276" i="25"/>
  <c r="AG46" i="25"/>
  <c r="AC179" i="25"/>
  <c r="AO179" i="25"/>
  <c r="AP179" i="25"/>
  <c r="AN179" i="25"/>
  <c r="AG18" i="25"/>
  <c r="AG84" i="25"/>
  <c r="AG146" i="25"/>
  <c r="AG210" i="25"/>
  <c r="AO109" i="25"/>
  <c r="AG270" i="25"/>
  <c r="AG253" i="25"/>
  <c r="AG193" i="25"/>
  <c r="AG282" i="25"/>
  <c r="AG66" i="25"/>
  <c r="AG257" i="25"/>
  <c r="AJ501" i="25"/>
  <c r="AL501" i="25" s="1"/>
  <c r="AI501" i="25"/>
  <c r="AK501" i="25" s="1"/>
  <c r="AJ232" i="32"/>
  <c r="AL232" i="32" s="1"/>
  <c r="AI211" i="32"/>
  <c r="AJ203" i="32"/>
  <c r="AL203" i="32" s="1"/>
  <c r="AJ208" i="32"/>
  <c r="AL208" i="32" s="1"/>
  <c r="AM502" i="25"/>
  <c r="AI476" i="32"/>
  <c r="AK476" i="32" s="1"/>
  <c r="AB476" i="32" s="1"/>
  <c r="AJ476" i="32"/>
  <c r="AL476" i="32" s="1"/>
  <c r="AM444" i="25"/>
  <c r="F413" i="25"/>
  <c r="A413" i="25" s="1"/>
  <c r="AI397" i="25"/>
  <c r="AK397" i="25" s="1"/>
  <c r="AJ397" i="25"/>
  <c r="AL397" i="25" s="1"/>
  <c r="F317" i="25"/>
  <c r="A317" i="25" s="1"/>
  <c r="AI388" i="25"/>
  <c r="AK388" i="25" s="1"/>
  <c r="AJ388" i="25"/>
  <c r="AL388" i="25" s="1"/>
  <c r="F364" i="25"/>
  <c r="A364" i="25" s="1"/>
  <c r="AI356" i="25"/>
  <c r="AK356" i="25" s="1"/>
  <c r="AJ356" i="25"/>
  <c r="AL356" i="25" s="1"/>
  <c r="F332" i="25"/>
  <c r="A332" i="25" s="1"/>
  <c r="AI324" i="25"/>
  <c r="AK324" i="25" s="1"/>
  <c r="AJ324" i="25"/>
  <c r="AL324" i="25" s="1"/>
  <c r="AI315" i="32"/>
  <c r="AJ315" i="32"/>
  <c r="AL315" i="32" s="1"/>
  <c r="F386" i="25"/>
  <c r="A386" i="25" s="1"/>
  <c r="AI370" i="25"/>
  <c r="AK370" i="25" s="1"/>
  <c r="AJ370" i="25"/>
  <c r="AL370" i="25" s="1"/>
  <c r="F346" i="25"/>
  <c r="A346" i="25" s="1"/>
  <c r="AI338" i="25"/>
  <c r="AK338" i="25" s="1"/>
  <c r="AJ338" i="25"/>
  <c r="AL338" i="25" s="1"/>
  <c r="AJ58" i="32"/>
  <c r="AL58" i="32" s="1"/>
  <c r="AI173" i="32"/>
  <c r="AI166" i="32"/>
  <c r="AJ161" i="32"/>
  <c r="AL161" i="32" s="1"/>
  <c r="AI127" i="32"/>
  <c r="AI95" i="32"/>
  <c r="AI57" i="32"/>
  <c r="AJ150" i="32"/>
  <c r="AL150" i="32" s="1"/>
  <c r="AJ119" i="32"/>
  <c r="AL119" i="32" s="1"/>
  <c r="AJ88" i="32"/>
  <c r="AL88" i="32" s="1"/>
  <c r="AI52" i="32"/>
  <c r="AI151" i="32"/>
  <c r="AI116" i="32"/>
  <c r="AI83" i="32"/>
  <c r="AJ48" i="32"/>
  <c r="AL48" i="32" s="1"/>
  <c r="AK22" i="32"/>
  <c r="AH22" i="32"/>
  <c r="AO22" i="32" s="1"/>
  <c r="AJ134" i="32"/>
  <c r="AL134" i="32" s="1"/>
  <c r="AJ102" i="32"/>
  <c r="AL102" i="32" s="1"/>
  <c r="AJ67" i="32"/>
  <c r="AL67" i="32" s="1"/>
  <c r="AG29" i="25"/>
  <c r="AJ301" i="32"/>
  <c r="AL301" i="32" s="1"/>
  <c r="AI252" i="32"/>
  <c r="AJ279" i="32"/>
  <c r="AL279" i="32" s="1"/>
  <c r="AJ245" i="32"/>
  <c r="AL245" i="32" s="1"/>
  <c r="AM483" i="25"/>
  <c r="F467" i="25"/>
  <c r="A467" i="25" s="1"/>
  <c r="AI451" i="25"/>
  <c r="AK451" i="25" s="1"/>
  <c r="AJ451" i="25"/>
  <c r="AL451" i="25" s="1"/>
  <c r="AJ490" i="32"/>
  <c r="AL490" i="32" s="1"/>
  <c r="AI490" i="32"/>
  <c r="AM458" i="25"/>
  <c r="F497" i="25"/>
  <c r="A497" i="25" s="1"/>
  <c r="AJ481" i="25"/>
  <c r="AL481" i="25" s="1"/>
  <c r="AI481" i="25"/>
  <c r="AK481" i="25" s="1"/>
  <c r="AJ449" i="32"/>
  <c r="AL449" i="32" s="1"/>
  <c r="AI449" i="32"/>
  <c r="AM396" i="25"/>
  <c r="AI137" i="32"/>
  <c r="AJ44" i="32"/>
  <c r="AL44" i="32" s="1"/>
  <c r="AK44" i="32" s="1"/>
  <c r="AI147" i="32"/>
  <c r="AI43" i="32"/>
  <c r="AI474" i="32"/>
  <c r="AJ474" i="32"/>
  <c r="AL474" i="32" s="1"/>
  <c r="F426" i="25"/>
  <c r="A426" i="25" s="1"/>
  <c r="AM433" i="25"/>
  <c r="F484" i="25"/>
  <c r="A484" i="25" s="1"/>
  <c r="AM371" i="25"/>
  <c r="F370" i="25"/>
  <c r="A370" i="25" s="1"/>
  <c r="AI475" i="32"/>
  <c r="AJ475" i="32"/>
  <c r="AL475" i="32" s="1"/>
  <c r="AM443" i="25"/>
  <c r="F427" i="25"/>
  <c r="A427" i="25" s="1"/>
  <c r="F489" i="25"/>
  <c r="A489" i="25" s="1"/>
  <c r="AJ68" i="32"/>
  <c r="AL68" i="32" s="1"/>
  <c r="AJ226" i="32"/>
  <c r="AL226" i="32" s="1"/>
  <c r="AJ209" i="32"/>
  <c r="AL209" i="32" s="1"/>
  <c r="AI201" i="32"/>
  <c r="AI213" i="32"/>
  <c r="AM503" i="25"/>
  <c r="AI472" i="32"/>
  <c r="AJ472" i="32"/>
  <c r="AL472" i="32" s="1"/>
  <c r="AM440" i="25"/>
  <c r="F409" i="25"/>
  <c r="A409" i="25" s="1"/>
  <c r="AJ393" i="25"/>
  <c r="AL393" i="25" s="1"/>
  <c r="AI393" i="25"/>
  <c r="AK393" i="25" s="1"/>
  <c r="F313" i="25"/>
  <c r="A313" i="25" s="1"/>
  <c r="AI384" i="25"/>
  <c r="AK384" i="25" s="1"/>
  <c r="AJ384" i="25"/>
  <c r="AL384" i="25" s="1"/>
  <c r="F360" i="25"/>
  <c r="A360" i="25" s="1"/>
  <c r="AI352" i="25"/>
  <c r="AK352" i="25" s="1"/>
  <c r="AJ352" i="25"/>
  <c r="AL352" i="25" s="1"/>
  <c r="F328" i="25"/>
  <c r="A328" i="25" s="1"/>
  <c r="AI320" i="25"/>
  <c r="AK320" i="25" s="1"/>
  <c r="AJ320" i="25"/>
  <c r="AL320" i="25" s="1"/>
  <c r="AJ407" i="32"/>
  <c r="AL407" i="32" s="1"/>
  <c r="AI407" i="32"/>
  <c r="AK407" i="32" s="1"/>
  <c r="AB407" i="32" s="1"/>
  <c r="AM375" i="25"/>
  <c r="AM343" i="25"/>
  <c r="AM311" i="25"/>
  <c r="F398" i="25"/>
  <c r="A398" i="25" s="1"/>
  <c r="AI382" i="25"/>
  <c r="AK382" i="25" s="1"/>
  <c r="AJ382" i="25"/>
  <c r="AL382" i="25" s="1"/>
  <c r="F358" i="25"/>
  <c r="A358" i="25" s="1"/>
  <c r="AI350" i="25"/>
  <c r="AK350" i="25" s="1"/>
  <c r="AJ350" i="25"/>
  <c r="AL350" i="25" s="1"/>
  <c r="AM318" i="25"/>
  <c r="AM504" i="25"/>
  <c r="AJ495" i="32"/>
  <c r="AL495" i="32" s="1"/>
  <c r="AI495" i="32"/>
  <c r="AK495" i="32" s="1"/>
  <c r="AB495" i="32" s="1"/>
  <c r="AM463" i="25"/>
  <c r="F447" i="25"/>
  <c r="A447" i="25" s="1"/>
  <c r="AJ431" i="25"/>
  <c r="AL431" i="25" s="1"/>
  <c r="AI431" i="25"/>
  <c r="AK431" i="25" s="1"/>
  <c r="F454" i="25"/>
  <c r="A454" i="25" s="1"/>
  <c r="AI438" i="25"/>
  <c r="AK438" i="25" s="1"/>
  <c r="AJ438" i="25"/>
  <c r="AL438" i="25" s="1"/>
  <c r="F453" i="25"/>
  <c r="A453" i="25" s="1"/>
  <c r="AI437" i="25"/>
  <c r="AK437" i="25" s="1"/>
  <c r="AJ437" i="25"/>
  <c r="AL437" i="25" s="1"/>
  <c r="AI299" i="32"/>
  <c r="AJ275" i="32"/>
  <c r="AL275" i="32" s="1"/>
  <c r="AJ180" i="32"/>
  <c r="AL180" i="32" s="1"/>
  <c r="AI222" i="32"/>
  <c r="AJ298" i="32"/>
  <c r="AL298" i="32" s="1"/>
  <c r="AI258" i="32"/>
  <c r="AJ262" i="32"/>
  <c r="AL262" i="32" s="1"/>
  <c r="AI282" i="32"/>
  <c r="AJ207" i="32"/>
  <c r="AL207" i="32" s="1"/>
  <c r="AI246" i="32"/>
  <c r="AI218" i="32"/>
  <c r="AI255" i="32"/>
  <c r="AI300" i="32"/>
  <c r="AJ211" i="32"/>
  <c r="AL211" i="32" s="1"/>
  <c r="AI268" i="32"/>
  <c r="AJ241" i="32"/>
  <c r="AL241" i="32" s="1"/>
  <c r="AG57" i="25"/>
  <c r="AG136" i="25"/>
  <c r="AG200" i="25"/>
  <c r="AG232" i="25"/>
  <c r="AG296" i="25"/>
  <c r="AG135" i="25"/>
  <c r="AG199" i="25"/>
  <c r="AG118" i="25"/>
  <c r="AG182" i="25"/>
  <c r="AG181" i="25"/>
  <c r="AG275" i="25"/>
  <c r="AG229" i="25"/>
  <c r="AG169" i="25"/>
  <c r="AG239" i="25"/>
  <c r="AG303" i="25"/>
  <c r="AJ277" i="32"/>
  <c r="AL277" i="32" s="1"/>
  <c r="AI263" i="32"/>
  <c r="AI287" i="32"/>
  <c r="AI189" i="32"/>
  <c r="AI239" i="32"/>
  <c r="AM484" i="25"/>
  <c r="F436" i="25"/>
  <c r="A436" i="25" s="1"/>
  <c r="AI414" i="25"/>
  <c r="AK414" i="25" s="1"/>
  <c r="AJ414" i="25"/>
  <c r="AL414" i="25" s="1"/>
  <c r="AJ405" i="32"/>
  <c r="AL405" i="32" s="1"/>
  <c r="AI405" i="32"/>
  <c r="AM341" i="25"/>
  <c r="F380" i="25"/>
  <c r="A380" i="25" s="1"/>
  <c r="AM323" i="25"/>
  <c r="F307" i="25"/>
  <c r="A307" i="25" s="1"/>
  <c r="AM378" i="25"/>
  <c r="AI314" i="25"/>
  <c r="AK314" i="25" s="1"/>
  <c r="AJ314" i="25"/>
  <c r="AL314" i="25" s="1"/>
  <c r="AI306" i="32"/>
  <c r="AI165" i="32"/>
  <c r="AJ160" i="32"/>
  <c r="AL160" i="32" s="1"/>
  <c r="AI125" i="32"/>
  <c r="AI93" i="32"/>
  <c r="AI55" i="32"/>
  <c r="AJ133" i="32"/>
  <c r="AL133" i="32" s="1"/>
  <c r="AJ101" i="32"/>
  <c r="AL101" i="32" s="1"/>
  <c r="AI70" i="32"/>
  <c r="AI139" i="32"/>
  <c r="AI106" i="32"/>
  <c r="AI73" i="32"/>
  <c r="AI149" i="32"/>
  <c r="AJ116" i="32"/>
  <c r="AL116" i="32" s="1"/>
  <c r="AJ83" i="32"/>
  <c r="AL83" i="32" s="1"/>
  <c r="AI45" i="32"/>
  <c r="AG64" i="25"/>
  <c r="AI204" i="32"/>
  <c r="AJ198" i="32"/>
  <c r="AL198" i="32" s="1"/>
  <c r="AI192" i="32"/>
  <c r="AJ205" i="32"/>
  <c r="AL205" i="32" s="1"/>
  <c r="AJ498" i="25"/>
  <c r="AL498" i="25" s="1"/>
  <c r="AI498" i="25"/>
  <c r="AK498" i="25" s="1"/>
  <c r="AM491" i="25"/>
  <c r="F475" i="25"/>
  <c r="A475" i="25" s="1"/>
  <c r="AI459" i="25"/>
  <c r="AK459" i="25" s="1"/>
  <c r="AJ459" i="25"/>
  <c r="AL459" i="25" s="1"/>
  <c r="AJ427" i="32"/>
  <c r="AL427" i="32" s="1"/>
  <c r="AI427" i="32"/>
  <c r="AK427" i="32" s="1"/>
  <c r="AB427" i="32" s="1"/>
  <c r="AM466" i="25"/>
  <c r="F416" i="25"/>
  <c r="A416" i="25" s="1"/>
  <c r="AJ489" i="25"/>
  <c r="AL489" i="25" s="1"/>
  <c r="AI489" i="25"/>
  <c r="AK489" i="25" s="1"/>
  <c r="AJ457" i="32"/>
  <c r="AL457" i="32" s="1"/>
  <c r="AI457" i="32"/>
  <c r="AK457" i="32" s="1"/>
  <c r="AB457" i="32" s="1"/>
  <c r="AM410" i="25"/>
  <c r="AI138" i="32"/>
  <c r="AI76" i="32"/>
  <c r="AJ115" i="32"/>
  <c r="AL115" i="32" s="1"/>
  <c r="AI48" i="32"/>
  <c r="AI104" i="32"/>
  <c r="AJ106" i="32"/>
  <c r="AL106" i="32" s="1"/>
  <c r="F449" i="25"/>
  <c r="A449" i="25" s="1"/>
  <c r="AG72" i="25"/>
  <c r="B18" i="39"/>
  <c r="B22" i="39"/>
  <c r="AG68" i="25"/>
  <c r="AJ219" i="32"/>
  <c r="AL219" i="32" s="1"/>
  <c r="AJ235" i="32"/>
  <c r="AL235" i="32" s="1"/>
  <c r="F464" i="25"/>
  <c r="A464" i="25" s="1"/>
  <c r="AI448" i="25"/>
  <c r="AK448" i="25" s="1"/>
  <c r="AJ448" i="25"/>
  <c r="AL448" i="25" s="1"/>
  <c r="AJ408" i="32"/>
  <c r="AL408" i="32" s="1"/>
  <c r="AI408" i="32"/>
  <c r="AM401" i="25"/>
  <c r="F321" i="25"/>
  <c r="A321" i="25" s="1"/>
  <c r="AI392" i="25"/>
  <c r="AK392" i="25" s="1"/>
  <c r="AJ392" i="25"/>
  <c r="AL392" i="25" s="1"/>
  <c r="AM360" i="25"/>
  <c r="AM328" i="25"/>
  <c r="AJ415" i="32"/>
  <c r="AL415" i="32" s="1"/>
  <c r="AI415" i="32"/>
  <c r="AM383" i="25"/>
  <c r="AM351" i="25"/>
  <c r="AJ319" i="25"/>
  <c r="AL319" i="25" s="1"/>
  <c r="AI319" i="25"/>
  <c r="AK319" i="25" s="1"/>
  <c r="AJ390" i="32"/>
  <c r="AL390" i="32" s="1"/>
  <c r="AI390" i="32"/>
  <c r="AK390" i="32" s="1"/>
  <c r="AB390" i="32" s="1"/>
  <c r="AI358" i="32"/>
  <c r="AK358" i="32" s="1"/>
  <c r="AB358" i="32" s="1"/>
  <c r="AJ358" i="32"/>
  <c r="AL358" i="32" s="1"/>
  <c r="AI326" i="32"/>
  <c r="AJ326" i="32"/>
  <c r="AL326" i="32" s="1"/>
  <c r="AJ257" i="32"/>
  <c r="AL257" i="32" s="1"/>
  <c r="AM439" i="25"/>
  <c r="AM494" i="25"/>
  <c r="AI478" i="32"/>
  <c r="AJ478" i="32"/>
  <c r="AL478" i="32" s="1"/>
  <c r="AM446" i="25"/>
  <c r="AI477" i="32"/>
  <c r="AJ477" i="32"/>
  <c r="AL477" i="32" s="1"/>
  <c r="AM445" i="25"/>
  <c r="AG78" i="25"/>
  <c r="AG140" i="25"/>
  <c r="AG204" i="25"/>
  <c r="AP236" i="25"/>
  <c r="AN236" i="25"/>
  <c r="AC236" i="25"/>
  <c r="AO236" i="25"/>
  <c r="AP300" i="25"/>
  <c r="AC300" i="25"/>
  <c r="AC77" i="25"/>
  <c r="AO77" i="25"/>
  <c r="AP77" i="25"/>
  <c r="AN77" i="25"/>
  <c r="AG93" i="25"/>
  <c r="AG59" i="25"/>
  <c r="AG186" i="25"/>
  <c r="AG189" i="25"/>
  <c r="AG246" i="25"/>
  <c r="AG237" i="25"/>
  <c r="AG177" i="25"/>
  <c r="AG274" i="25"/>
  <c r="AG305" i="25"/>
  <c r="AJ285" i="32"/>
  <c r="AL285" i="32" s="1"/>
  <c r="AI271" i="32"/>
  <c r="AJ256" i="32"/>
  <c r="AL256" i="32" s="1"/>
  <c r="AJ492" i="25"/>
  <c r="AL492" i="25" s="1"/>
  <c r="AI492" i="25"/>
  <c r="AK492" i="25" s="1"/>
  <c r="AJ460" i="32"/>
  <c r="AL460" i="32" s="1"/>
  <c r="AI460" i="32"/>
  <c r="AM428" i="25"/>
  <c r="AM413" i="25"/>
  <c r="F397" i="25"/>
  <c r="A397" i="25" s="1"/>
  <c r="AI381" i="25"/>
  <c r="AK381" i="25" s="1"/>
  <c r="AJ381" i="25"/>
  <c r="AL381" i="25" s="1"/>
  <c r="AI349" i="32"/>
  <c r="AJ349" i="32"/>
  <c r="AL349" i="32" s="1"/>
  <c r="F388" i="25"/>
  <c r="A388" i="25" s="1"/>
  <c r="AI372" i="25"/>
  <c r="AK372" i="25" s="1"/>
  <c r="AJ372" i="25"/>
  <c r="AL372" i="25" s="1"/>
  <c r="AI340" i="32"/>
  <c r="AJ340" i="32"/>
  <c r="AL340" i="32" s="1"/>
  <c r="AI308" i="32"/>
  <c r="AJ308" i="32"/>
  <c r="AL308" i="32" s="1"/>
  <c r="AM395" i="25"/>
  <c r="AI363" i="32"/>
  <c r="AJ363" i="32"/>
  <c r="AL363" i="32" s="1"/>
  <c r="AM331" i="25"/>
  <c r="AI386" i="32"/>
  <c r="AJ386" i="32"/>
  <c r="AL386" i="32" s="1"/>
  <c r="AM354" i="25"/>
  <c r="AM322" i="25"/>
  <c r="AI168" i="32"/>
  <c r="AI145" i="32"/>
  <c r="AI84" i="32"/>
  <c r="AJ123" i="32"/>
  <c r="AL123" i="32" s="1"/>
  <c r="AK40" i="32"/>
  <c r="AI96" i="32"/>
  <c r="AJ139" i="32"/>
  <c r="AL139" i="32" s="1"/>
  <c r="AJ499" i="32"/>
  <c r="AL499" i="32" s="1"/>
  <c r="AI499" i="32"/>
  <c r="AJ467" i="32"/>
  <c r="AL467" i="32" s="1"/>
  <c r="AI467" i="32"/>
  <c r="AK467" i="32" s="1"/>
  <c r="AB467" i="32" s="1"/>
  <c r="AJ435" i="25"/>
  <c r="AL435" i="25" s="1"/>
  <c r="AI435" i="25"/>
  <c r="AK435" i="25" s="1"/>
  <c r="AJ497" i="32"/>
  <c r="AL497" i="32" s="1"/>
  <c r="AI497" i="32"/>
  <c r="AK497" i="32" s="1"/>
  <c r="AB497" i="32" s="1"/>
  <c r="A501" i="25"/>
  <c r="F501" i="25"/>
  <c r="AJ468" i="25"/>
  <c r="AL468" i="25" s="1"/>
  <c r="AI468" i="25"/>
  <c r="AK468" i="25" s="1"/>
  <c r="AJ389" i="25"/>
  <c r="AL389" i="25" s="1"/>
  <c r="AI389" i="25"/>
  <c r="AK389" i="25" s="1"/>
  <c r="AM357" i="25"/>
  <c r="F333" i="25"/>
  <c r="A333" i="25" s="1"/>
  <c r="AM316" i="25"/>
  <c r="F323" i="25"/>
  <c r="A323" i="25" s="1"/>
  <c r="AJ394" i="25"/>
  <c r="AL394" i="25" s="1"/>
  <c r="AI394" i="25"/>
  <c r="AK394" i="25" s="1"/>
  <c r="AI330" i="32"/>
  <c r="AJ330" i="32"/>
  <c r="AL330" i="32" s="1"/>
  <c r="F459" i="25"/>
  <c r="A459" i="25" s="1"/>
  <c r="AJ482" i="25"/>
  <c r="AL482" i="25" s="1"/>
  <c r="AI482" i="25"/>
  <c r="AK482" i="25" s="1"/>
  <c r="AM450" i="25"/>
  <c r="AM441" i="25"/>
  <c r="AJ234" i="32"/>
  <c r="AL234" i="32" s="1"/>
  <c r="AJ217" i="32"/>
  <c r="AL217" i="32" s="1"/>
  <c r="AJ231" i="32"/>
  <c r="AL231" i="32" s="1"/>
  <c r="AJ261" i="32"/>
  <c r="AL261" i="32" s="1"/>
  <c r="F472" i="25"/>
  <c r="A472" i="25" s="1"/>
  <c r="AJ456" i="25"/>
  <c r="AL456" i="25" s="1"/>
  <c r="AI456" i="25"/>
  <c r="AK456" i="25" s="1"/>
  <c r="AJ422" i="32"/>
  <c r="AL422" i="32" s="1"/>
  <c r="AI422" i="32"/>
  <c r="AK422" i="32" s="1"/>
  <c r="AB422" i="32" s="1"/>
  <c r="AM409" i="25"/>
  <c r="F353" i="25"/>
  <c r="A353" i="25" s="1"/>
  <c r="AI345" i="25"/>
  <c r="AK345" i="25" s="1"/>
  <c r="AJ345" i="25"/>
  <c r="AL345" i="25" s="1"/>
  <c r="F384" i="25"/>
  <c r="A384" i="25" s="1"/>
  <c r="AJ368" i="25"/>
  <c r="AL368" i="25" s="1"/>
  <c r="AI368" i="25"/>
  <c r="AK368" i="25" s="1"/>
  <c r="AI336" i="32"/>
  <c r="AJ336" i="32"/>
  <c r="AL336" i="32" s="1"/>
  <c r="F367" i="25"/>
  <c r="A367" i="25" s="1"/>
  <c r="AI359" i="25"/>
  <c r="AK359" i="25" s="1"/>
  <c r="AJ359" i="25"/>
  <c r="AL359" i="25" s="1"/>
  <c r="AI327" i="32"/>
  <c r="AJ327" i="32"/>
  <c r="AL327" i="32" s="1"/>
  <c r="AM398" i="25"/>
  <c r="AI366" i="32"/>
  <c r="AJ366" i="32"/>
  <c r="AL366" i="32" s="1"/>
  <c r="AJ179" i="32"/>
  <c r="AL179" i="32" s="1"/>
  <c r="AK179" i="32" s="1"/>
  <c r="AB179" i="32" s="1"/>
  <c r="F495" i="25"/>
  <c r="A495" i="25" s="1"/>
  <c r="AI479" i="25"/>
  <c r="AK479" i="25" s="1"/>
  <c r="AJ479" i="25"/>
  <c r="AL479" i="25" s="1"/>
  <c r="AJ447" i="32"/>
  <c r="AL447" i="32" s="1"/>
  <c r="AI447" i="32"/>
  <c r="AK447" i="32" s="1"/>
  <c r="AB447" i="32" s="1"/>
  <c r="AM486" i="25"/>
  <c r="A438" i="25"/>
  <c r="F438" i="25"/>
  <c r="AJ424" i="25"/>
  <c r="AL424" i="25" s="1"/>
  <c r="AI424" i="25"/>
  <c r="AK424" i="25" s="1"/>
  <c r="A469" i="25"/>
  <c r="F469" i="25"/>
  <c r="AJ453" i="25"/>
  <c r="AL453" i="25" s="1"/>
  <c r="AI453" i="25"/>
  <c r="AK453" i="25" s="1"/>
  <c r="AJ418" i="32"/>
  <c r="AL418" i="32" s="1"/>
  <c r="AI418" i="32"/>
  <c r="AI54" i="32"/>
  <c r="AG52" i="25"/>
  <c r="AG112" i="25"/>
  <c r="AG176" i="25"/>
  <c r="AP272" i="25"/>
  <c r="AN272" i="25"/>
  <c r="AC272" i="25"/>
  <c r="AO272" i="25"/>
  <c r="AC31" i="25"/>
  <c r="AO31" i="25"/>
  <c r="AP31" i="25"/>
  <c r="AN31" i="25"/>
  <c r="AN111" i="25"/>
  <c r="AP111" i="25"/>
  <c r="AC111" i="25"/>
  <c r="AO111" i="25"/>
  <c r="AC175" i="25"/>
  <c r="AO175" i="25"/>
  <c r="AP175" i="25"/>
  <c r="AN175" i="25"/>
  <c r="AG80" i="25"/>
  <c r="AG142" i="25"/>
  <c r="AG206" i="25"/>
  <c r="AN235" i="25"/>
  <c r="AC235" i="25"/>
  <c r="AO235" i="25"/>
  <c r="AP235" i="25"/>
  <c r="AN299" i="25"/>
  <c r="AC299" i="25"/>
  <c r="AO299" i="25"/>
  <c r="AP299" i="25"/>
  <c r="AG245" i="25"/>
  <c r="AC185" i="25"/>
  <c r="AO185" i="25"/>
  <c r="AP185" i="25"/>
  <c r="AN185" i="25"/>
  <c r="AG247" i="25"/>
  <c r="AG53" i="25"/>
  <c r="AG249" i="25"/>
  <c r="AJ436" i="32"/>
  <c r="AL436" i="32" s="1"/>
  <c r="AI436" i="32"/>
  <c r="AK436" i="32" s="1"/>
  <c r="AB436" i="32" s="1"/>
  <c r="AJ421" i="32"/>
  <c r="AL421" i="32" s="1"/>
  <c r="AI421" i="32"/>
  <c r="AI348" i="32"/>
  <c r="AJ348" i="32"/>
  <c r="AL348" i="32" s="1"/>
  <c r="AM307" i="25"/>
  <c r="AM362" i="25"/>
  <c r="F466" i="25"/>
  <c r="A466" i="25" s="1"/>
  <c r="AI473" i="25"/>
  <c r="AK473" i="25" s="1"/>
  <c r="AJ473" i="25"/>
  <c r="AL473" i="25" s="1"/>
  <c r="AP14" i="25" l="1"/>
  <c r="AG38" i="32"/>
  <c r="AN38" i="32" s="1"/>
  <c r="AH38" i="32"/>
  <c r="AO38" i="32" s="1"/>
  <c r="AB41" i="32"/>
  <c r="AH41" i="32"/>
  <c r="AO41" i="32" s="1"/>
  <c r="AG41" i="32"/>
  <c r="AN41" i="32" s="1"/>
  <c r="AH20" i="32"/>
  <c r="AO20" i="32" s="1"/>
  <c r="AF20" i="32"/>
  <c r="AG20" i="32"/>
  <c r="AN20" i="32" s="1"/>
  <c r="AK336" i="32"/>
  <c r="AB336" i="32" s="1"/>
  <c r="AK363" i="32"/>
  <c r="AB363" i="32" s="1"/>
  <c r="AK477" i="32"/>
  <c r="AB477" i="32" s="1"/>
  <c r="AK474" i="32"/>
  <c r="AB474" i="32" s="1"/>
  <c r="AK333" i="32"/>
  <c r="AB333" i="32" s="1"/>
  <c r="AK382" i="32"/>
  <c r="AB382" i="32" s="1"/>
  <c r="AK354" i="32"/>
  <c r="AB354" i="32" s="1"/>
  <c r="AK318" i="32"/>
  <c r="AB318" i="32" s="1"/>
  <c r="AK375" i="32"/>
  <c r="AB375" i="32" s="1"/>
  <c r="AG19" i="32"/>
  <c r="AN19" i="32" s="1"/>
  <c r="AK371" i="32"/>
  <c r="AB371" i="32" s="1"/>
  <c r="AK374" i="32"/>
  <c r="AB374" i="32" s="1"/>
  <c r="C23" i="39"/>
  <c r="P23" i="39"/>
  <c r="J23" i="39"/>
  <c r="AK480" i="32"/>
  <c r="AB480" i="32" s="1"/>
  <c r="AK387" i="32"/>
  <c r="AB387" i="32" s="1"/>
  <c r="AK469" i="32"/>
  <c r="AB469" i="32" s="1"/>
  <c r="AK463" i="32"/>
  <c r="AB463" i="32" s="1"/>
  <c r="AK443" i="32"/>
  <c r="AB443" i="32" s="1"/>
  <c r="AK342" i="32"/>
  <c r="AB342" i="32" s="1"/>
  <c r="AK344" i="32"/>
  <c r="AB344" i="32" s="1"/>
  <c r="AK479" i="32"/>
  <c r="AB479" i="32" s="1"/>
  <c r="AK456" i="32"/>
  <c r="AB456" i="32" s="1"/>
  <c r="AK468" i="32"/>
  <c r="AB468" i="32" s="1"/>
  <c r="AN137" i="25"/>
  <c r="AC67" i="25"/>
  <c r="AP164" i="25"/>
  <c r="AB3" i="32"/>
  <c r="AF3" i="32"/>
  <c r="AN5" i="25"/>
  <c r="AO5" i="25"/>
  <c r="AP5" i="25"/>
  <c r="AC5" i="25"/>
  <c r="AH33" i="32"/>
  <c r="AO33" i="32" s="1"/>
  <c r="AK33" i="32"/>
  <c r="AG33" i="32" s="1"/>
  <c r="AN33" i="32" s="1"/>
  <c r="AF11" i="32"/>
  <c r="AB7" i="32"/>
  <c r="AF7" i="32"/>
  <c r="AK386" i="32"/>
  <c r="AB386" i="32" s="1"/>
  <c r="AK340" i="32"/>
  <c r="AB340" i="32" s="1"/>
  <c r="AK460" i="32"/>
  <c r="AB460" i="32" s="1"/>
  <c r="AK408" i="32"/>
  <c r="AB408" i="32" s="1"/>
  <c r="AK490" i="32"/>
  <c r="AB490" i="32" s="1"/>
  <c r="AK429" i="32"/>
  <c r="AB429" i="32" s="1"/>
  <c r="AK501" i="32"/>
  <c r="AB501" i="32" s="1"/>
  <c r="AK417" i="32"/>
  <c r="AB417" i="32" s="1"/>
  <c r="AK409" i="32"/>
  <c r="AB409" i="32" s="1"/>
  <c r="AK351" i="32"/>
  <c r="AB351" i="32" s="1"/>
  <c r="AK401" i="32"/>
  <c r="AB401" i="32" s="1"/>
  <c r="AK378" i="32"/>
  <c r="AB378" i="32" s="1"/>
  <c r="AK364" i="32"/>
  <c r="AB364" i="32" s="1"/>
  <c r="AK373" i="32"/>
  <c r="AB373" i="32" s="1"/>
  <c r="G23" i="39"/>
  <c r="T23" i="39"/>
  <c r="N23" i="39"/>
  <c r="AK404" i="32"/>
  <c r="AB404" i="32" s="1"/>
  <c r="AK434" i="32"/>
  <c r="AB434" i="32" s="1"/>
  <c r="AK483" i="32"/>
  <c r="AB483" i="32" s="1"/>
  <c r="AK379" i="32"/>
  <c r="AB379" i="32" s="1"/>
  <c r="AK489" i="32"/>
  <c r="AB489" i="32" s="1"/>
  <c r="AP137" i="25"/>
  <c r="AN67" i="25"/>
  <c r="AF6" i="32"/>
  <c r="AB5" i="32"/>
  <c r="AF10" i="32"/>
  <c r="AF5" i="32"/>
  <c r="AB12" i="32"/>
  <c r="AH12" i="32"/>
  <c r="AO12" i="32" s="1"/>
  <c r="AP10" i="25"/>
  <c r="AN10" i="25"/>
  <c r="AO10" i="25"/>
  <c r="AC10" i="25"/>
  <c r="AK13" i="32"/>
  <c r="AH14" i="32"/>
  <c r="AO14" i="32" s="1"/>
  <c r="AG14" i="32"/>
  <c r="AN14" i="32" s="1"/>
  <c r="AK14" i="32"/>
  <c r="AB6" i="32"/>
  <c r="AB2" i="32"/>
  <c r="AF2" i="32"/>
  <c r="AF8" i="32"/>
  <c r="AB4" i="32"/>
  <c r="AF9" i="32"/>
  <c r="AN8" i="25"/>
  <c r="AC8" i="25"/>
  <c r="AP8" i="25"/>
  <c r="AO8" i="25"/>
  <c r="AH5" i="32"/>
  <c r="AO5" i="32" s="1"/>
  <c r="AH6" i="32"/>
  <c r="AO6" i="32" s="1"/>
  <c r="AK9" i="32"/>
  <c r="AB22" i="32" s="1"/>
  <c r="AB10" i="32"/>
  <c r="S23" i="39"/>
  <c r="M23" i="39"/>
  <c r="AP13" i="25"/>
  <c r="AC13" i="25"/>
  <c r="AO13" i="25"/>
  <c r="AN13" i="25"/>
  <c r="AG8" i="32"/>
  <c r="AN8" i="32" s="1"/>
  <c r="AB8" i="32"/>
  <c r="AO4" i="25"/>
  <c r="AP4" i="25"/>
  <c r="AN4" i="25"/>
  <c r="AC4" i="25"/>
  <c r="AK478" i="32"/>
  <c r="AB478" i="32" s="1"/>
  <c r="AK362" i="32"/>
  <c r="AB362" i="32" s="1"/>
  <c r="AK334" i="32"/>
  <c r="AB334" i="32" s="1"/>
  <c r="AK316" i="32"/>
  <c r="AB316" i="32" s="1"/>
  <c r="AK411" i="32"/>
  <c r="AB411" i="32" s="1"/>
  <c r="AK321" i="32"/>
  <c r="AB321" i="32" s="1"/>
  <c r="AK385" i="32"/>
  <c r="AB385" i="32" s="1"/>
  <c r="D23" i="39"/>
  <c r="Q23" i="39"/>
  <c r="AK355" i="32"/>
  <c r="AB355" i="32" s="1"/>
  <c r="AK368" i="32"/>
  <c r="AB368" i="32" s="1"/>
  <c r="AK345" i="32"/>
  <c r="AB345" i="32" s="1"/>
  <c r="AK448" i="32"/>
  <c r="AB448" i="32" s="1"/>
  <c r="AO67" i="25"/>
  <c r="AO164" i="25"/>
  <c r="AG23" i="32"/>
  <c r="AN23" i="32" s="1"/>
  <c r="AG3" i="32"/>
  <c r="AN3" i="32" s="1"/>
  <c r="AN11" i="25"/>
  <c r="AC11" i="25"/>
  <c r="AP11" i="25"/>
  <c r="AO11" i="25"/>
  <c r="AH26" i="32"/>
  <c r="AO26" i="32" s="1"/>
  <c r="AK26" i="32"/>
  <c r="AB26" i="32" s="1"/>
  <c r="AG26" i="32"/>
  <c r="AN26" i="32" s="1"/>
  <c r="AK16" i="32"/>
  <c r="AH16" i="32"/>
  <c r="AO16" i="32" s="1"/>
  <c r="AK17" i="32"/>
  <c r="AH17" i="32"/>
  <c r="AO17" i="32" s="1"/>
  <c r="AG2" i="32"/>
  <c r="AN2" i="32" s="1"/>
  <c r="AH11" i="32"/>
  <c r="AO11" i="32" s="1"/>
  <c r="AH8" i="32"/>
  <c r="AO8" i="32" s="1"/>
  <c r="AH7" i="32"/>
  <c r="AO7" i="32" s="1"/>
  <c r="AG10" i="32"/>
  <c r="AN10" i="32" s="1"/>
  <c r="AP7" i="25"/>
  <c r="AN7" i="25"/>
  <c r="AO7" i="25"/>
  <c r="AC7" i="25"/>
  <c r="AG369" i="25"/>
  <c r="AG491" i="25"/>
  <c r="AN300" i="25"/>
  <c r="AC109" i="25"/>
  <c r="AC223" i="25"/>
  <c r="AO102" i="25"/>
  <c r="AN161" i="25"/>
  <c r="AN130" i="25"/>
  <c r="AO262" i="25"/>
  <c r="AN298" i="25"/>
  <c r="AP166" i="25"/>
  <c r="AP219" i="25"/>
  <c r="AO45" i="25"/>
  <c r="AN306" i="25"/>
  <c r="AP301" i="25"/>
  <c r="AC154" i="25"/>
  <c r="AO47" i="25"/>
  <c r="AN297" i="25"/>
  <c r="AC147" i="25"/>
  <c r="AO260" i="25"/>
  <c r="AN231" i="25"/>
  <c r="AC159" i="25"/>
  <c r="AC102" i="25"/>
  <c r="AP161" i="25"/>
  <c r="AO130" i="25"/>
  <c r="AC262" i="25"/>
  <c r="AP298" i="25"/>
  <c r="AC166" i="25"/>
  <c r="AO219" i="25"/>
  <c r="AC45" i="25"/>
  <c r="AP306" i="25"/>
  <c r="AO301" i="25"/>
  <c r="AN154" i="25"/>
  <c r="AC47" i="25"/>
  <c r="AP297" i="25"/>
  <c r="AP147" i="25"/>
  <c r="AC260" i="25"/>
  <c r="AP231" i="25"/>
  <c r="AO159" i="25"/>
  <c r="AP109" i="25"/>
  <c r="AN223" i="25"/>
  <c r="AG366" i="25"/>
  <c r="AN366" i="25" s="1"/>
  <c r="AG334" i="25"/>
  <c r="AN289" i="25"/>
  <c r="AO194" i="25"/>
  <c r="AO149" i="25"/>
  <c r="AN266" i="25"/>
  <c r="AP197" i="25"/>
  <c r="AC287" i="25"/>
  <c r="AN119" i="25"/>
  <c r="AP85" i="25"/>
  <c r="AC16" i="25"/>
  <c r="AO43" i="25"/>
  <c r="AP269" i="25"/>
  <c r="AN100" i="25"/>
  <c r="AN218" i="25"/>
  <c r="AC108" i="25"/>
  <c r="AC20" i="25"/>
  <c r="AG337" i="25"/>
  <c r="AP337" i="25" s="1"/>
  <c r="AO269" i="25"/>
  <c r="AP289" i="25"/>
  <c r="AO119" i="25"/>
  <c r="AC194" i="25"/>
  <c r="AO85" i="25"/>
  <c r="AO100" i="25"/>
  <c r="AN110" i="25"/>
  <c r="AO16" i="25"/>
  <c r="AP218" i="25"/>
  <c r="AN108" i="25"/>
  <c r="AC149" i="25"/>
  <c r="AC43" i="25"/>
  <c r="AP266" i="25"/>
  <c r="AP20" i="25"/>
  <c r="AC295" i="25"/>
  <c r="AO197" i="25"/>
  <c r="AG360" i="25"/>
  <c r="AP360" i="25" s="1"/>
  <c r="AN287" i="25"/>
  <c r="AC269" i="25"/>
  <c r="AG477" i="25"/>
  <c r="AP477" i="25" s="1"/>
  <c r="AO289" i="25"/>
  <c r="AC119" i="25"/>
  <c r="AN194" i="25"/>
  <c r="AC85" i="25"/>
  <c r="AC100" i="25"/>
  <c r="AP110" i="25"/>
  <c r="AP16" i="25"/>
  <c r="AO218" i="25"/>
  <c r="AP108" i="25"/>
  <c r="AP149" i="25"/>
  <c r="AN43" i="25"/>
  <c r="AO266" i="25"/>
  <c r="AN20" i="25"/>
  <c r="AN295" i="25"/>
  <c r="AC197" i="25"/>
  <c r="AP287" i="25"/>
  <c r="AC37" i="25"/>
  <c r="AP82" i="25"/>
  <c r="AC83" i="25"/>
  <c r="AG412" i="25"/>
  <c r="AP412" i="25" s="1"/>
  <c r="AG462" i="25"/>
  <c r="AN462" i="25" s="1"/>
  <c r="AG487" i="25"/>
  <c r="AG461" i="25"/>
  <c r="AP461" i="25" s="1"/>
  <c r="AG361" i="25"/>
  <c r="AC361" i="25" s="1"/>
  <c r="AC172" i="25"/>
  <c r="AG396" i="25"/>
  <c r="AP396" i="25" s="1"/>
  <c r="AG321" i="25"/>
  <c r="AP321" i="25" s="1"/>
  <c r="AP277" i="25"/>
  <c r="AG497" i="25"/>
  <c r="AO497" i="25" s="1"/>
  <c r="AG358" i="25"/>
  <c r="AG427" i="25"/>
  <c r="AP427" i="25" s="1"/>
  <c r="AC285" i="25"/>
  <c r="AP174" i="25"/>
  <c r="AG359" i="25"/>
  <c r="AG368" i="25"/>
  <c r="AO368" i="25" s="1"/>
  <c r="AG482" i="25"/>
  <c r="AO482" i="25" s="1"/>
  <c r="AG381" i="25"/>
  <c r="AP381" i="25" s="1"/>
  <c r="AG350" i="25"/>
  <c r="AG388" i="25"/>
  <c r="AO388" i="25" s="1"/>
  <c r="AG449" i="25"/>
  <c r="AC449" i="25" s="1"/>
  <c r="AN283" i="25"/>
  <c r="AG391" i="25"/>
  <c r="AG339" i="25"/>
  <c r="AP339" i="25" s="1"/>
  <c r="AG357" i="25"/>
  <c r="AO357" i="25" s="1"/>
  <c r="AO277" i="25"/>
  <c r="AO152" i="25"/>
  <c r="AN285" i="25"/>
  <c r="AC174" i="25"/>
  <c r="AN82" i="25"/>
  <c r="AP83" i="25"/>
  <c r="AN172" i="25"/>
  <c r="AN37" i="25"/>
  <c r="AP283" i="25"/>
  <c r="AO256" i="25"/>
  <c r="AC277" i="25"/>
  <c r="AC152" i="25"/>
  <c r="AP285" i="25"/>
  <c r="AO174" i="25"/>
  <c r="AO82" i="25"/>
  <c r="AN83" i="25"/>
  <c r="AP172" i="25"/>
  <c r="AP37" i="25"/>
  <c r="AO283" i="25"/>
  <c r="AC256" i="25"/>
  <c r="AG442" i="25"/>
  <c r="AO442" i="25" s="1"/>
  <c r="AG403" i="25"/>
  <c r="AG419" i="25"/>
  <c r="AO419" i="25" s="1"/>
  <c r="AG332" i="25"/>
  <c r="AP332" i="25" s="1"/>
  <c r="AG481" i="25"/>
  <c r="AC481" i="25" s="1"/>
  <c r="AG490" i="25"/>
  <c r="AG401" i="25"/>
  <c r="AP401" i="25" s="1"/>
  <c r="AG457" i="25"/>
  <c r="AN457" i="25" s="1"/>
  <c r="AG476" i="25"/>
  <c r="AP476" i="25" s="1"/>
  <c r="AG362" i="25"/>
  <c r="AG433" i="25"/>
  <c r="AP433" i="25" s="1"/>
  <c r="AG470" i="25"/>
  <c r="AO470" i="25" s="1"/>
  <c r="AG325" i="25"/>
  <c r="AC325" i="25" s="1"/>
  <c r="AG480" i="25"/>
  <c r="AG416" i="25"/>
  <c r="AN416" i="25" s="1"/>
  <c r="AG448" i="25"/>
  <c r="AN448" i="25" s="1"/>
  <c r="AG314" i="25"/>
  <c r="AC314" i="25" s="1"/>
  <c r="AG384" i="25"/>
  <c r="AN384" i="25" s="1"/>
  <c r="AG451" i="25"/>
  <c r="AC451" i="25" s="1"/>
  <c r="AG356" i="25"/>
  <c r="AN356" i="25" s="1"/>
  <c r="AG310" i="25"/>
  <c r="AO310" i="25" s="1"/>
  <c r="AG342" i="25"/>
  <c r="AG312" i="25"/>
  <c r="AO312" i="25" s="1"/>
  <c r="AG467" i="25"/>
  <c r="AP467" i="25" s="1"/>
  <c r="AG390" i="25"/>
  <c r="AP390" i="25" s="1"/>
  <c r="AG472" i="25"/>
  <c r="AG323" i="25"/>
  <c r="AN323" i="25" s="1"/>
  <c r="AG398" i="25"/>
  <c r="AC398" i="25" s="1"/>
  <c r="AG413" i="25"/>
  <c r="AN413" i="25" s="1"/>
  <c r="AG504" i="25"/>
  <c r="AG318" i="25"/>
  <c r="AO318" i="25" s="1"/>
  <c r="AG463" i="25"/>
  <c r="AN463" i="25" s="1"/>
  <c r="AG453" i="25"/>
  <c r="AN453" i="25" s="1"/>
  <c r="AG424" i="25"/>
  <c r="AG479" i="25"/>
  <c r="AC479" i="25" s="1"/>
  <c r="AG468" i="25"/>
  <c r="AN468" i="25" s="1"/>
  <c r="AG459" i="25"/>
  <c r="AN459" i="25" s="1"/>
  <c r="AG438" i="25"/>
  <c r="AG352" i="25"/>
  <c r="AP352" i="25" s="1"/>
  <c r="AG324" i="25"/>
  <c r="AN324" i="25" s="1"/>
  <c r="AG335" i="25"/>
  <c r="AP335" i="25" s="1"/>
  <c r="AG399" i="25"/>
  <c r="AG379" i="25"/>
  <c r="AN379" i="25" s="1"/>
  <c r="AG367" i="25"/>
  <c r="AN367" i="25" s="1"/>
  <c r="AG471" i="25"/>
  <c r="AP471" i="25" s="1"/>
  <c r="AG383" i="25"/>
  <c r="AG484" i="25"/>
  <c r="AO484" i="25" s="1"/>
  <c r="AG328" i="25"/>
  <c r="AN328" i="25" s="1"/>
  <c r="AG443" i="25"/>
  <c r="AP443" i="25" s="1"/>
  <c r="AG392" i="25"/>
  <c r="AO392" i="25" s="1"/>
  <c r="AG437" i="25"/>
  <c r="AN437" i="25" s="1"/>
  <c r="AG382" i="25"/>
  <c r="AN382" i="25" s="1"/>
  <c r="AG320" i="25"/>
  <c r="AO320" i="25" s="1"/>
  <c r="AG397" i="25"/>
  <c r="AG385" i="25"/>
  <c r="AN385" i="25" s="1"/>
  <c r="AG329" i="25"/>
  <c r="AN329" i="25" s="1"/>
  <c r="AG421" i="25"/>
  <c r="AO421" i="25" s="1"/>
  <c r="AG447" i="25"/>
  <c r="AG327" i="25"/>
  <c r="AP327" i="25" s="1"/>
  <c r="AG326" i="25"/>
  <c r="AC326" i="25" s="1"/>
  <c r="AG408" i="25"/>
  <c r="AC408" i="25" s="1"/>
  <c r="AG407" i="25"/>
  <c r="AN407" i="25" s="1"/>
  <c r="AG465" i="25"/>
  <c r="AP465" i="25" s="1"/>
  <c r="AG434" i="25"/>
  <c r="AC434" i="25" s="1"/>
  <c r="AG380" i="25"/>
  <c r="AO380" i="25" s="1"/>
  <c r="AG316" i="25"/>
  <c r="AG351" i="25"/>
  <c r="AC351" i="25" s="1"/>
  <c r="AG410" i="25"/>
  <c r="AC410" i="25" s="1"/>
  <c r="AG364" i="25"/>
  <c r="AP364" i="25" s="1"/>
  <c r="AG317" i="25"/>
  <c r="D10" i="4"/>
  <c r="F21" i="4"/>
  <c r="D23" i="4"/>
  <c r="F10" i="4"/>
  <c r="D12" i="4"/>
  <c r="F12" i="4"/>
  <c r="E23" i="4"/>
  <c r="E22" i="4"/>
  <c r="D11" i="4"/>
  <c r="F22" i="4"/>
  <c r="E21" i="4"/>
  <c r="E12" i="4"/>
  <c r="D21" i="4"/>
  <c r="D22" i="4"/>
  <c r="E11" i="4"/>
  <c r="F23" i="4"/>
  <c r="E10" i="4"/>
  <c r="F11" i="4"/>
  <c r="AB29" i="32"/>
  <c r="AF33" i="32"/>
  <c r="AF29" i="32"/>
  <c r="AF44" i="32"/>
  <c r="AG474" i="25"/>
  <c r="AK254" i="32"/>
  <c r="AB254" i="32" s="1"/>
  <c r="AG254" i="32"/>
  <c r="AN254" i="32" s="1"/>
  <c r="AH254" i="32"/>
  <c r="AO254" i="32" s="1"/>
  <c r="AB39" i="32"/>
  <c r="AH24" i="32"/>
  <c r="AO24" i="32" s="1"/>
  <c r="AK170" i="32"/>
  <c r="AB170" i="32" s="1"/>
  <c r="T8" i="39"/>
  <c r="P8" i="39"/>
  <c r="L8" i="39"/>
  <c r="H8" i="39"/>
  <c r="D8" i="39"/>
  <c r="V8" i="39"/>
  <c r="R8" i="39"/>
  <c r="N8" i="39"/>
  <c r="J8" i="39"/>
  <c r="F8" i="39"/>
  <c r="U8" i="39"/>
  <c r="M8" i="39"/>
  <c r="E8" i="39"/>
  <c r="S8" i="39"/>
  <c r="K8" i="39"/>
  <c r="C8" i="39"/>
  <c r="Q8" i="39"/>
  <c r="I8" i="39"/>
  <c r="O8" i="39"/>
  <c r="G8" i="39"/>
  <c r="T12" i="39"/>
  <c r="P12" i="39"/>
  <c r="L12" i="39"/>
  <c r="H12" i="39"/>
  <c r="D12" i="39"/>
  <c r="S12" i="39"/>
  <c r="O12" i="39"/>
  <c r="K12" i="39"/>
  <c r="G12" i="39"/>
  <c r="C12" i="39"/>
  <c r="V12" i="39"/>
  <c r="R12" i="39"/>
  <c r="N12" i="39"/>
  <c r="J12" i="39"/>
  <c r="F12" i="39"/>
  <c r="M12" i="39"/>
  <c r="I12" i="39"/>
  <c r="U12" i="39"/>
  <c r="E12" i="39"/>
  <c r="Q12" i="39"/>
  <c r="AG315" i="25"/>
  <c r="AK225" i="32"/>
  <c r="AB225" i="32" s="1"/>
  <c r="AC34" i="25"/>
  <c r="AO34" i="25"/>
  <c r="AP34" i="25"/>
  <c r="AN34" i="25"/>
  <c r="AC162" i="25"/>
  <c r="AO162" i="25"/>
  <c r="AP162" i="25"/>
  <c r="AN162" i="25"/>
  <c r="AN115" i="25"/>
  <c r="AP115" i="25"/>
  <c r="AC115" i="25"/>
  <c r="AO115" i="25"/>
  <c r="AC132" i="25"/>
  <c r="AO132" i="25"/>
  <c r="AN132" i="25"/>
  <c r="AP132" i="25"/>
  <c r="AK238" i="32"/>
  <c r="AG238" i="32" s="1"/>
  <c r="AN238" i="32" s="1"/>
  <c r="AK58" i="32"/>
  <c r="AB58" i="32" s="1"/>
  <c r="AG444" i="25"/>
  <c r="AK295" i="32"/>
  <c r="AB295" i="32" s="1"/>
  <c r="AB21" i="32"/>
  <c r="AF21" i="32"/>
  <c r="AF39" i="32"/>
  <c r="AK314" i="32"/>
  <c r="AB314" i="32" s="1"/>
  <c r="AK296" i="32"/>
  <c r="AB296" i="32" s="1"/>
  <c r="AK272" i="32"/>
  <c r="AB272" i="32" s="1"/>
  <c r="AG44" i="32"/>
  <c r="AN44" i="32" s="1"/>
  <c r="AG464" i="25"/>
  <c r="AH284" i="32"/>
  <c r="AO284" i="32" s="1"/>
  <c r="AN165" i="25"/>
  <c r="AO165" i="25"/>
  <c r="AC165" i="25"/>
  <c r="AP165" i="25"/>
  <c r="AP304" i="25"/>
  <c r="AN304" i="25"/>
  <c r="AC304" i="25"/>
  <c r="AO304" i="25"/>
  <c r="AG423" i="25"/>
  <c r="AK313" i="32"/>
  <c r="AB313" i="32" s="1"/>
  <c r="AG409" i="25"/>
  <c r="AK339" i="32"/>
  <c r="AB339" i="32" s="1"/>
  <c r="AG35" i="32"/>
  <c r="AN35" i="32" s="1"/>
  <c r="AN217" i="25"/>
  <c r="AC217" i="25"/>
  <c r="AO217" i="25"/>
  <c r="AP217" i="25"/>
  <c r="AP123" i="25"/>
  <c r="AN123" i="25"/>
  <c r="AC123" i="25"/>
  <c r="AO123" i="25"/>
  <c r="AB15" i="32"/>
  <c r="AF15" i="32"/>
  <c r="AF25" i="32"/>
  <c r="AF24" i="32"/>
  <c r="AF28" i="32"/>
  <c r="AF34" i="32"/>
  <c r="AF26" i="32"/>
  <c r="AF32" i="32"/>
  <c r="AF41" i="32"/>
  <c r="AF16" i="32"/>
  <c r="AF35" i="32"/>
  <c r="AG445" i="25"/>
  <c r="AG446" i="25"/>
  <c r="AG494" i="25"/>
  <c r="AK328" i="32"/>
  <c r="AB328" i="32" s="1"/>
  <c r="AK337" i="32"/>
  <c r="AB337" i="32" s="1"/>
  <c r="V24" i="39"/>
  <c r="R24" i="39"/>
  <c r="N24" i="39"/>
  <c r="J24" i="39"/>
  <c r="F24" i="39"/>
  <c r="U24" i="39"/>
  <c r="Q24" i="39"/>
  <c r="M24" i="39"/>
  <c r="I24" i="39"/>
  <c r="E24" i="39"/>
  <c r="T24" i="39"/>
  <c r="P24" i="39"/>
  <c r="L24" i="39"/>
  <c r="H24" i="39"/>
  <c r="D24" i="39"/>
  <c r="S24" i="39"/>
  <c r="O24" i="39"/>
  <c r="K24" i="39"/>
  <c r="G24" i="39"/>
  <c r="C24" i="39"/>
  <c r="AK146" i="32"/>
  <c r="AH146" i="32" s="1"/>
  <c r="AO146" i="32" s="1"/>
  <c r="AK197" i="32"/>
  <c r="AB197" i="32" s="1"/>
  <c r="AK89" i="32"/>
  <c r="AH89" i="32" s="1"/>
  <c r="AO89" i="32" s="1"/>
  <c r="AK109" i="32"/>
  <c r="AG109" i="32" s="1"/>
  <c r="AN109" i="32" s="1"/>
  <c r="AK207" i="32"/>
  <c r="AB207" i="32" s="1"/>
  <c r="AN117" i="25"/>
  <c r="AP117" i="25"/>
  <c r="AC117" i="25"/>
  <c r="AO117" i="25"/>
  <c r="AP264" i="25"/>
  <c r="AN264" i="25"/>
  <c r="AC264" i="25"/>
  <c r="AO264" i="25"/>
  <c r="AK301" i="32"/>
  <c r="AB301" i="32" s="1"/>
  <c r="AK274" i="32"/>
  <c r="AB274" i="32" s="1"/>
  <c r="AK230" i="32"/>
  <c r="AB230" i="32" s="1"/>
  <c r="AH230" i="32"/>
  <c r="AO230" i="32" s="1"/>
  <c r="AK267" i="32"/>
  <c r="AB267" i="32" s="1"/>
  <c r="AK87" i="32"/>
  <c r="AB87" i="32" s="1"/>
  <c r="AN396" i="25"/>
  <c r="AC396" i="25"/>
  <c r="AO396" i="25"/>
  <c r="AK208" i="32"/>
  <c r="AB208" i="32" s="1"/>
  <c r="AH208" i="32"/>
  <c r="AO208" i="32" s="1"/>
  <c r="AG64" i="32"/>
  <c r="AN64" i="32" s="1"/>
  <c r="AK64" i="32"/>
  <c r="AB64" i="32" s="1"/>
  <c r="AK100" i="32"/>
  <c r="AH100" i="32" s="1"/>
  <c r="AO100" i="32" s="1"/>
  <c r="AK279" i="32"/>
  <c r="AB279" i="32" s="1"/>
  <c r="AK86" i="32"/>
  <c r="AH86" i="32" s="1"/>
  <c r="AO86" i="32" s="1"/>
  <c r="AK281" i="32"/>
  <c r="AB281" i="32" s="1"/>
  <c r="AK182" i="32"/>
  <c r="AB182" i="32" s="1"/>
  <c r="AG75" i="32"/>
  <c r="AN75" i="32" s="1"/>
  <c r="AK193" i="32"/>
  <c r="AB193" i="32" s="1"/>
  <c r="AC15" i="25"/>
  <c r="AO15" i="25"/>
  <c r="AP15" i="25"/>
  <c r="AN15" i="25"/>
  <c r="AK242" i="32"/>
  <c r="AK217" i="32"/>
  <c r="AH217" i="32"/>
  <c r="AO217" i="32" s="1"/>
  <c r="AL139" i="25"/>
  <c r="AO337" i="25"/>
  <c r="AN369" i="25"/>
  <c r="AO369" i="25"/>
  <c r="AC369" i="25"/>
  <c r="AP369" i="25"/>
  <c r="AK198" i="32"/>
  <c r="AB198" i="32" s="1"/>
  <c r="AH198" i="32"/>
  <c r="AO198" i="32" s="1"/>
  <c r="P19" i="39"/>
  <c r="C19" i="39"/>
  <c r="S19" i="39"/>
  <c r="Q19" i="39"/>
  <c r="N19" i="39"/>
  <c r="AK161" i="32"/>
  <c r="AB161" i="32" s="1"/>
  <c r="AH161" i="32"/>
  <c r="AO161" i="32" s="1"/>
  <c r="AK105" i="25"/>
  <c r="AK243" i="32"/>
  <c r="AB243" i="32" s="1"/>
  <c r="AH243" i="32"/>
  <c r="AO243" i="32" s="1"/>
  <c r="AK338" i="32"/>
  <c r="AB338" i="32" s="1"/>
  <c r="AG402" i="25"/>
  <c r="AK324" i="32"/>
  <c r="AB324" i="32" s="1"/>
  <c r="AG400" i="25"/>
  <c r="AH179" i="32"/>
  <c r="AO179" i="32" s="1"/>
  <c r="AK194" i="32"/>
  <c r="AH34" i="32"/>
  <c r="AO34" i="32" s="1"/>
  <c r="AB38" i="32"/>
  <c r="AN52" i="25"/>
  <c r="AP52" i="25"/>
  <c r="AC52" i="25"/>
  <c r="AO52" i="25"/>
  <c r="AN305" i="25"/>
  <c r="AC305" i="25"/>
  <c r="AO305" i="25"/>
  <c r="AP305" i="25"/>
  <c r="AN392" i="25"/>
  <c r="AC392" i="25"/>
  <c r="AK48" i="32"/>
  <c r="AB48" i="32" s="1"/>
  <c r="AH48" i="32"/>
  <c r="AO48" i="32" s="1"/>
  <c r="AK204" i="32"/>
  <c r="AB204" i="32" s="1"/>
  <c r="AK165" i="32"/>
  <c r="AB165" i="32" s="1"/>
  <c r="AK287" i="32"/>
  <c r="AB287" i="32" s="1"/>
  <c r="AC181" i="25"/>
  <c r="AO181" i="25"/>
  <c r="AP181" i="25"/>
  <c r="AN181" i="25"/>
  <c r="AN200" i="25"/>
  <c r="AC200" i="25"/>
  <c r="AO200" i="25"/>
  <c r="AP200" i="25"/>
  <c r="AO384" i="25"/>
  <c r="AC384" i="25"/>
  <c r="AP384" i="25"/>
  <c r="AK259" i="32"/>
  <c r="AB259" i="32" s="1"/>
  <c r="AK264" i="32"/>
  <c r="AB264" i="32" s="1"/>
  <c r="AK118" i="32"/>
  <c r="AB118" i="32" s="1"/>
  <c r="AK136" i="32"/>
  <c r="AH136" i="32" s="1"/>
  <c r="AO136" i="32" s="1"/>
  <c r="AK232" i="32"/>
  <c r="AB232" i="32" s="1"/>
  <c r="AK256" i="32"/>
  <c r="AB256" i="32" s="1"/>
  <c r="AC44" i="25"/>
  <c r="AO44" i="25"/>
  <c r="AP44" i="25"/>
  <c r="AN44" i="25"/>
  <c r="AC158" i="25"/>
  <c r="AO158" i="25"/>
  <c r="AP158" i="25"/>
  <c r="AN158" i="25"/>
  <c r="AC191" i="25"/>
  <c r="AO191" i="25"/>
  <c r="AP191" i="25"/>
  <c r="AN191" i="25"/>
  <c r="AP288" i="25"/>
  <c r="AN288" i="25"/>
  <c r="AC288" i="25"/>
  <c r="AO288" i="25"/>
  <c r="AP65" i="25"/>
  <c r="AN65" i="25"/>
  <c r="AC65" i="25"/>
  <c r="AO65" i="25"/>
  <c r="AK251" i="32"/>
  <c r="AB251" i="32" s="1"/>
  <c r="AH251" i="32"/>
  <c r="AO251" i="32" s="1"/>
  <c r="AG114" i="32"/>
  <c r="AN114" i="32" s="1"/>
  <c r="AK114" i="32"/>
  <c r="AH114" i="32" s="1"/>
  <c r="AO114" i="32" s="1"/>
  <c r="AK153" i="32"/>
  <c r="AG153" i="32" s="1"/>
  <c r="AN153" i="32" s="1"/>
  <c r="AG180" i="32"/>
  <c r="AN180" i="32" s="1"/>
  <c r="AK180" i="32"/>
  <c r="AB180" i="32" s="1"/>
  <c r="AN255" i="25"/>
  <c r="AC255" i="25"/>
  <c r="AO255" i="25"/>
  <c r="AP255" i="25"/>
  <c r="AC25" i="25"/>
  <c r="AO25" i="25"/>
  <c r="AN25" i="25"/>
  <c r="AP25" i="25"/>
  <c r="AN151" i="25"/>
  <c r="AP151" i="25"/>
  <c r="AC151" i="25"/>
  <c r="AO151" i="25"/>
  <c r="AP73" i="25"/>
  <c r="AN73" i="25"/>
  <c r="AC73" i="25"/>
  <c r="AO73" i="25"/>
  <c r="AN245" i="25"/>
  <c r="AC245" i="25"/>
  <c r="AO245" i="25"/>
  <c r="AP245" i="25"/>
  <c r="AP80" i="25"/>
  <c r="AN80" i="25"/>
  <c r="AC80" i="25"/>
  <c r="AO80" i="25"/>
  <c r="AG40" i="32"/>
  <c r="AN40" i="32" s="1"/>
  <c r="AP274" i="25"/>
  <c r="AN274" i="25"/>
  <c r="AC274" i="25"/>
  <c r="AO274" i="25"/>
  <c r="AC189" i="25"/>
  <c r="AO189" i="25"/>
  <c r="AP189" i="25"/>
  <c r="AN189" i="25"/>
  <c r="AN78" i="25"/>
  <c r="AP78" i="25"/>
  <c r="AC78" i="25"/>
  <c r="AO78" i="25"/>
  <c r="V22" i="39"/>
  <c r="R22" i="39"/>
  <c r="N22" i="39"/>
  <c r="J22" i="39"/>
  <c r="F22" i="39"/>
  <c r="U22" i="39"/>
  <c r="Q22" i="39"/>
  <c r="M22" i="39"/>
  <c r="I22" i="39"/>
  <c r="E22" i="39"/>
  <c r="T22" i="39"/>
  <c r="P22" i="39"/>
  <c r="L22" i="39"/>
  <c r="H22" i="39"/>
  <c r="D22" i="39"/>
  <c r="S22" i="39"/>
  <c r="O22" i="39"/>
  <c r="K22" i="39"/>
  <c r="G22" i="39"/>
  <c r="C22" i="39"/>
  <c r="AC64" i="25"/>
  <c r="AO64" i="25"/>
  <c r="AN64" i="25"/>
  <c r="AP64" i="25"/>
  <c r="AK149" i="32"/>
  <c r="AH149" i="32" s="1"/>
  <c r="AO149" i="32" s="1"/>
  <c r="AK70" i="32"/>
  <c r="AH70" i="32" s="1"/>
  <c r="AO70" i="32" s="1"/>
  <c r="AK93" i="32"/>
  <c r="AB93" i="32" s="1"/>
  <c r="AK306" i="32"/>
  <c r="AB306" i="32" s="1"/>
  <c r="AK263" i="32"/>
  <c r="AB263" i="32" s="1"/>
  <c r="AH263" i="32"/>
  <c r="AO263" i="32" s="1"/>
  <c r="AN169" i="25"/>
  <c r="AC169" i="25"/>
  <c r="AO169" i="25"/>
  <c r="AP169" i="25"/>
  <c r="AN182" i="25"/>
  <c r="AC182" i="25"/>
  <c r="AO182" i="25"/>
  <c r="AP182" i="25"/>
  <c r="AC135" i="25"/>
  <c r="AO135" i="25"/>
  <c r="AP135" i="25"/>
  <c r="AN135" i="25"/>
  <c r="AC136" i="25"/>
  <c r="AO136" i="25"/>
  <c r="AN136" i="25"/>
  <c r="AP136" i="25"/>
  <c r="AK246" i="32"/>
  <c r="AB246" i="32" s="1"/>
  <c r="AK258" i="32"/>
  <c r="AB258" i="32" s="1"/>
  <c r="AK472" i="32"/>
  <c r="AB472" i="32" s="1"/>
  <c r="AK43" i="32"/>
  <c r="AK83" i="32"/>
  <c r="AB83" i="32" s="1"/>
  <c r="AK57" i="32"/>
  <c r="AB57" i="32" s="1"/>
  <c r="AH57" i="32"/>
  <c r="AO57" i="32" s="1"/>
  <c r="AK166" i="32"/>
  <c r="AB166" i="32" s="1"/>
  <c r="AG338" i="25"/>
  <c r="AG370" i="25"/>
  <c r="AK315" i="32"/>
  <c r="AB315" i="32" s="1"/>
  <c r="AC66" i="25"/>
  <c r="AO66" i="25"/>
  <c r="AP66" i="25"/>
  <c r="AN66" i="25"/>
  <c r="AP270" i="25"/>
  <c r="AN270" i="25"/>
  <c r="AC270" i="25"/>
  <c r="AO270" i="25"/>
  <c r="AP84" i="25"/>
  <c r="AN84" i="25"/>
  <c r="AC84" i="25"/>
  <c r="AO84" i="25"/>
  <c r="AN180" i="25"/>
  <c r="AC180" i="25"/>
  <c r="AO180" i="25"/>
  <c r="AP180" i="25"/>
  <c r="AN335" i="25"/>
  <c r="AN399" i="25"/>
  <c r="AC399" i="25"/>
  <c r="AO399" i="25"/>
  <c r="AP399" i="25"/>
  <c r="AG432" i="25"/>
  <c r="AK265" i="32"/>
  <c r="AB265" i="32" s="1"/>
  <c r="AH265" i="32"/>
  <c r="AO265" i="32" s="1"/>
  <c r="AK290" i="32"/>
  <c r="AB290" i="32" s="1"/>
  <c r="AH290" i="32"/>
  <c r="AO290" i="32" s="1"/>
  <c r="AG411" i="25"/>
  <c r="AK365" i="32"/>
  <c r="AB365" i="32" s="1"/>
  <c r="AK376" i="32"/>
  <c r="AB376" i="32" s="1"/>
  <c r="AK175" i="32"/>
  <c r="AB175" i="32" s="1"/>
  <c r="AG60" i="32"/>
  <c r="AN60" i="32" s="1"/>
  <c r="AH60" i="32"/>
  <c r="AO60" i="32" s="1"/>
  <c r="AK60" i="32"/>
  <c r="AK134" i="32"/>
  <c r="AH134" i="32" s="1"/>
  <c r="AO134" i="32" s="1"/>
  <c r="AK74" i="32"/>
  <c r="AH74" i="32" s="1"/>
  <c r="AO74" i="32" s="1"/>
  <c r="AG280" i="32"/>
  <c r="AN280" i="32" s="1"/>
  <c r="AK280" i="32"/>
  <c r="AB280" i="32" s="1"/>
  <c r="AK49" i="32"/>
  <c r="AG49" i="32" s="1"/>
  <c r="AN49" i="32" s="1"/>
  <c r="AG110" i="32"/>
  <c r="AN110" i="32" s="1"/>
  <c r="AK110" i="32"/>
  <c r="AB110" i="32" s="1"/>
  <c r="AH110" i="32"/>
  <c r="AO110" i="32" s="1"/>
  <c r="AK144" i="32"/>
  <c r="AB144" i="32" s="1"/>
  <c r="AK278" i="32"/>
  <c r="AB278" i="32" s="1"/>
  <c r="AK215" i="32"/>
  <c r="AB215" i="32" s="1"/>
  <c r="AG215" i="32"/>
  <c r="AN215" i="32" s="1"/>
  <c r="AK200" i="32"/>
  <c r="AG200" i="32" s="1"/>
  <c r="AN200" i="32" s="1"/>
  <c r="AK77" i="32"/>
  <c r="AB77" i="32" s="1"/>
  <c r="AK167" i="32"/>
  <c r="AB167" i="32" s="1"/>
  <c r="AH167" i="32"/>
  <c r="AO167" i="32" s="1"/>
  <c r="AK112" i="32"/>
  <c r="AG365" i="25"/>
  <c r="AB33" i="32"/>
  <c r="AN263" i="25"/>
  <c r="AC263" i="25"/>
  <c r="AO263" i="25"/>
  <c r="AP263" i="25"/>
  <c r="AN251" i="25"/>
  <c r="AC251" i="25"/>
  <c r="AO251" i="25"/>
  <c r="AP251" i="25"/>
  <c r="AL126" i="25"/>
  <c r="AC127" i="25"/>
  <c r="AO127" i="25"/>
  <c r="AP127" i="25"/>
  <c r="AN127" i="25"/>
  <c r="AC224" i="25"/>
  <c r="AO224" i="25"/>
  <c r="AP224" i="25"/>
  <c r="AN224" i="25"/>
  <c r="AF22" i="32"/>
  <c r="AG22" i="32" s="1"/>
  <c r="AP366" i="25"/>
  <c r="AK244" i="32"/>
  <c r="AB244" i="32" s="1"/>
  <c r="AH244" i="32"/>
  <c r="AO244" i="32" s="1"/>
  <c r="AK128" i="32"/>
  <c r="AH128" i="32" s="1"/>
  <c r="AO128" i="32" s="1"/>
  <c r="AK152" i="32"/>
  <c r="AB152" i="32" s="1"/>
  <c r="AH152" i="32"/>
  <c r="AO152" i="32" s="1"/>
  <c r="AK322" i="32"/>
  <c r="AB322" i="32" s="1"/>
  <c r="AG386" i="25"/>
  <c r="AK331" i="32"/>
  <c r="AB331" i="32" s="1"/>
  <c r="AG308" i="25"/>
  <c r="AG340" i="25"/>
  <c r="AP290" i="25"/>
  <c r="AN290" i="25"/>
  <c r="AC290" i="25"/>
  <c r="AO290" i="25"/>
  <c r="AN202" i="25"/>
  <c r="AC202" i="25"/>
  <c r="AO202" i="25"/>
  <c r="AP202" i="25"/>
  <c r="AC27" i="25"/>
  <c r="AO27" i="25"/>
  <c r="AP27" i="25"/>
  <c r="AN27" i="25"/>
  <c r="AN94" i="25"/>
  <c r="AP94" i="25"/>
  <c r="AO94" i="25"/>
  <c r="AC94" i="25"/>
  <c r="AG478" i="25"/>
  <c r="AK471" i="32"/>
  <c r="AB471" i="32" s="1"/>
  <c r="V21" i="39"/>
  <c r="R21" i="39"/>
  <c r="N21" i="39"/>
  <c r="J21" i="39"/>
  <c r="F21" i="39"/>
  <c r="U21" i="39"/>
  <c r="Q21" i="39"/>
  <c r="M21" i="39"/>
  <c r="I21" i="39"/>
  <c r="E21" i="39"/>
  <c r="T21" i="39"/>
  <c r="P21" i="39"/>
  <c r="L21" i="39"/>
  <c r="H21" i="39"/>
  <c r="D21" i="39"/>
  <c r="S21" i="39"/>
  <c r="O21" i="39"/>
  <c r="K21" i="39"/>
  <c r="G21" i="39"/>
  <c r="C21" i="39"/>
  <c r="AG66" i="32"/>
  <c r="AN66" i="32" s="1"/>
  <c r="AK66" i="32"/>
  <c r="AH66" i="32" s="1"/>
  <c r="AO66" i="32" s="1"/>
  <c r="AK169" i="32"/>
  <c r="AB169" i="32" s="1"/>
  <c r="AK346" i="32"/>
  <c r="AB346" i="32" s="1"/>
  <c r="AK332" i="32"/>
  <c r="AB332" i="32" s="1"/>
  <c r="AK341" i="32"/>
  <c r="AB341" i="32" s="1"/>
  <c r="AG405" i="25"/>
  <c r="AK289" i="32"/>
  <c r="AB289" i="32" s="1"/>
  <c r="AC201" i="25"/>
  <c r="AO201" i="25"/>
  <c r="AP201" i="25"/>
  <c r="AN201" i="25"/>
  <c r="AN198" i="25"/>
  <c r="AC198" i="25"/>
  <c r="AO198" i="25"/>
  <c r="AP198" i="25"/>
  <c r="AK50" i="25"/>
  <c r="AK302" i="32"/>
  <c r="AB302" i="32" s="1"/>
  <c r="AH302" i="32"/>
  <c r="AO302" i="32" s="1"/>
  <c r="AK235" i="32"/>
  <c r="AB235" i="32" s="1"/>
  <c r="AH235" i="32"/>
  <c r="AO235" i="32" s="1"/>
  <c r="AB18" i="32"/>
  <c r="AF18" i="32"/>
  <c r="AK343" i="32"/>
  <c r="AB343" i="32" s="1"/>
  <c r="AG29" i="32"/>
  <c r="AN29" i="32" s="1"/>
  <c r="AB19" i="32"/>
  <c r="AF40" i="32"/>
  <c r="AF23" i="32"/>
  <c r="AF19" i="32"/>
  <c r="AH39" i="32"/>
  <c r="AO39" i="32" s="1"/>
  <c r="AG61" i="32"/>
  <c r="AN61" i="32" s="1"/>
  <c r="AK61" i="32"/>
  <c r="AB61" i="32" s="1"/>
  <c r="AH61" i="32"/>
  <c r="AO61" i="32" s="1"/>
  <c r="AG32" i="32"/>
  <c r="AG103" i="32"/>
  <c r="AN103" i="32" s="1"/>
  <c r="AK103" i="32"/>
  <c r="AB103" i="32" s="1"/>
  <c r="AH103" i="32"/>
  <c r="AO103" i="32" s="1"/>
  <c r="T9" i="39"/>
  <c r="P9" i="39"/>
  <c r="L9" i="39"/>
  <c r="H9" i="39"/>
  <c r="D9" i="39"/>
  <c r="V9" i="39"/>
  <c r="R9" i="39"/>
  <c r="N9" i="39"/>
  <c r="J9" i="39"/>
  <c r="F9" i="39"/>
  <c r="Q9" i="39"/>
  <c r="I9" i="39"/>
  <c r="O9" i="39"/>
  <c r="G9" i="39"/>
  <c r="U9" i="39"/>
  <c r="M9" i="39"/>
  <c r="E9" i="39"/>
  <c r="S9" i="39"/>
  <c r="K9" i="39"/>
  <c r="C9" i="39"/>
  <c r="S13" i="39"/>
  <c r="O13" i="39"/>
  <c r="K13" i="39"/>
  <c r="G13" i="39"/>
  <c r="C13" i="39"/>
  <c r="V13" i="39"/>
  <c r="R13" i="39"/>
  <c r="N13" i="39"/>
  <c r="J13" i="39"/>
  <c r="F13" i="39"/>
  <c r="U13" i="39"/>
  <c r="Q13" i="39"/>
  <c r="M13" i="39"/>
  <c r="I13" i="39"/>
  <c r="E13" i="39"/>
  <c r="H13" i="39"/>
  <c r="T13" i="39"/>
  <c r="D13" i="39"/>
  <c r="P13" i="39"/>
  <c r="L13" i="39"/>
  <c r="AK262" i="32"/>
  <c r="AG262" i="32" s="1"/>
  <c r="AN262" i="32" s="1"/>
  <c r="AC62" i="25"/>
  <c r="AO62" i="25"/>
  <c r="AP62" i="25"/>
  <c r="AN62" i="25"/>
  <c r="AC101" i="25"/>
  <c r="AO101" i="25"/>
  <c r="AP101" i="25"/>
  <c r="AN101" i="25"/>
  <c r="AP292" i="25"/>
  <c r="AN292" i="25"/>
  <c r="AC292" i="25"/>
  <c r="AO292" i="25"/>
  <c r="AP69" i="25"/>
  <c r="AN69" i="25"/>
  <c r="AC69" i="25"/>
  <c r="AO69" i="25"/>
  <c r="AG493" i="25"/>
  <c r="AK455" i="32"/>
  <c r="AB455" i="32" s="1"/>
  <c r="AG406" i="25"/>
  <c r="AK353" i="32"/>
  <c r="AB353" i="32" s="1"/>
  <c r="AK131" i="32"/>
  <c r="AB131" i="32" s="1"/>
  <c r="AK56" i="25"/>
  <c r="K23" i="39"/>
  <c r="H23" i="39"/>
  <c r="E23" i="39"/>
  <c r="U23" i="39"/>
  <c r="R23" i="39"/>
  <c r="AK498" i="32"/>
  <c r="AB498" i="32" s="1"/>
  <c r="AK414" i="32"/>
  <c r="AB414" i="32" s="1"/>
  <c r="AK350" i="32"/>
  <c r="AB350" i="32" s="1"/>
  <c r="AK320" i="32"/>
  <c r="AB320" i="32" s="1"/>
  <c r="AG420" i="25"/>
  <c r="AG272" i="32"/>
  <c r="AN272" i="32" s="1"/>
  <c r="AG347" i="25"/>
  <c r="AK399" i="32"/>
  <c r="AB399" i="32" s="1"/>
  <c r="AG284" i="32"/>
  <c r="AN284" i="32" s="1"/>
  <c r="AN279" i="25"/>
  <c r="AC279" i="25"/>
  <c r="AO279" i="25"/>
  <c r="AP279" i="25"/>
  <c r="AN207" i="25"/>
  <c r="AC207" i="25"/>
  <c r="AO207" i="25"/>
  <c r="AP207" i="25"/>
  <c r="AP240" i="25"/>
  <c r="AN240" i="25"/>
  <c r="AC240" i="25"/>
  <c r="AO240" i="25"/>
  <c r="AC334" i="25"/>
  <c r="AO334" i="25"/>
  <c r="AN334" i="25"/>
  <c r="AP334" i="25"/>
  <c r="AK184" i="32"/>
  <c r="AB184" i="32" s="1"/>
  <c r="AG441" i="25"/>
  <c r="AN316" i="25"/>
  <c r="AC316" i="25"/>
  <c r="AO316" i="25"/>
  <c r="AP316" i="25"/>
  <c r="AK115" i="32"/>
  <c r="AH115" i="32" s="1"/>
  <c r="AO115" i="32" s="1"/>
  <c r="AG322" i="25"/>
  <c r="AG354" i="25"/>
  <c r="AG331" i="25"/>
  <c r="AG395" i="25"/>
  <c r="AK317" i="32"/>
  <c r="AB317" i="32" s="1"/>
  <c r="AG428" i="25"/>
  <c r="AK292" i="32"/>
  <c r="AB292" i="32" s="1"/>
  <c r="AN113" i="25"/>
  <c r="AP113" i="25"/>
  <c r="AC113" i="25"/>
  <c r="AO113" i="25"/>
  <c r="AP268" i="25"/>
  <c r="AN268" i="25"/>
  <c r="AC268" i="25"/>
  <c r="AO268" i="25"/>
  <c r="V20" i="39"/>
  <c r="R20" i="39"/>
  <c r="N20" i="39"/>
  <c r="J20" i="39"/>
  <c r="F20" i="39"/>
  <c r="U20" i="39"/>
  <c r="Q20" i="39"/>
  <c r="M20" i="39"/>
  <c r="I20" i="39"/>
  <c r="E20" i="39"/>
  <c r="T20" i="39"/>
  <c r="P20" i="39"/>
  <c r="L20" i="39"/>
  <c r="H20" i="39"/>
  <c r="D20" i="39"/>
  <c r="S20" i="39"/>
  <c r="O20" i="39"/>
  <c r="K20" i="39"/>
  <c r="G20" i="39"/>
  <c r="C20" i="39"/>
  <c r="AH51" i="32"/>
  <c r="AO51" i="32" s="1"/>
  <c r="AK51" i="32"/>
  <c r="AB51" i="32" s="1"/>
  <c r="AG36" i="32"/>
  <c r="AN36" i="32" s="1"/>
  <c r="AK122" i="32"/>
  <c r="AH122" i="32" s="1"/>
  <c r="AO122" i="32" s="1"/>
  <c r="AG140" i="32"/>
  <c r="AN140" i="32" s="1"/>
  <c r="AK140" i="32"/>
  <c r="AB140" i="32" s="1"/>
  <c r="AH140" i="32"/>
  <c r="AO140" i="32" s="1"/>
  <c r="AG346" i="25"/>
  <c r="AG378" i="25"/>
  <c r="AK323" i="32"/>
  <c r="AB323" i="32" s="1"/>
  <c r="AG341" i="25"/>
  <c r="AG373" i="25"/>
  <c r="AN167" i="25"/>
  <c r="AO167" i="25"/>
  <c r="AC167" i="25"/>
  <c r="AP167" i="25"/>
  <c r="AL120" i="25"/>
  <c r="AK234" i="32"/>
  <c r="AB234" i="32" s="1"/>
  <c r="AN504" i="25"/>
  <c r="AC504" i="25"/>
  <c r="AO504" i="25"/>
  <c r="AP504" i="25"/>
  <c r="AK210" i="32"/>
  <c r="AB210" i="32" s="1"/>
  <c r="AK311" i="32"/>
  <c r="AB311" i="32" s="1"/>
  <c r="AK361" i="32"/>
  <c r="AB361" i="32" s="1"/>
  <c r="AG440" i="25"/>
  <c r="AG503" i="25"/>
  <c r="AK68" i="32"/>
  <c r="AB68" i="32" s="1"/>
  <c r="P312" i="25"/>
  <c r="Y311" i="25"/>
  <c r="AK203" i="32"/>
  <c r="AG203" i="32" s="1"/>
  <c r="AN203" i="32" s="1"/>
  <c r="AB30" i="32"/>
  <c r="AF30" i="32"/>
  <c r="AK71" i="32"/>
  <c r="AH71" i="32" s="1"/>
  <c r="AO71" i="32" s="1"/>
  <c r="AK347" i="32"/>
  <c r="AB347" i="32" s="1"/>
  <c r="AN221" i="25"/>
  <c r="AC221" i="25"/>
  <c r="AO221" i="25"/>
  <c r="AP221" i="25"/>
  <c r="AK297" i="32"/>
  <c r="AB297" i="32" s="1"/>
  <c r="AG297" i="32"/>
  <c r="AN297" i="32" s="1"/>
  <c r="AK224" i="32"/>
  <c r="AB224" i="32" s="1"/>
  <c r="AG387" i="25"/>
  <c r="AK273" i="32"/>
  <c r="AB273" i="32" s="1"/>
  <c r="AK72" i="32"/>
  <c r="AB72" i="32" s="1"/>
  <c r="AG483" i="25"/>
  <c r="AK277" i="32"/>
  <c r="AH277" i="32" s="1"/>
  <c r="AO277" i="32" s="1"/>
  <c r="AH186" i="32"/>
  <c r="AO186" i="32" s="1"/>
  <c r="AG307" i="25"/>
  <c r="AK359" i="32"/>
  <c r="AB359" i="32" s="1"/>
  <c r="AG313" i="25"/>
  <c r="AG377" i="25"/>
  <c r="AK298" i="32"/>
  <c r="AB298" i="32" s="1"/>
  <c r="AK372" i="32"/>
  <c r="AB372" i="32" s="1"/>
  <c r="AK381" i="32"/>
  <c r="AB381" i="32" s="1"/>
  <c r="AK319" i="32"/>
  <c r="AB319" i="32" s="1"/>
  <c r="D19" i="39"/>
  <c r="G19" i="39"/>
  <c r="E19" i="39"/>
  <c r="U19" i="39"/>
  <c r="R19" i="39"/>
  <c r="AK79" i="32"/>
  <c r="AH79" i="32" s="1"/>
  <c r="AO79" i="32" s="1"/>
  <c r="AN491" i="25"/>
  <c r="AC491" i="25"/>
  <c r="AO491" i="25"/>
  <c r="AP491" i="25"/>
  <c r="AK65" i="32"/>
  <c r="AH65" i="32" s="1"/>
  <c r="AO65" i="32" s="1"/>
  <c r="AK352" i="32"/>
  <c r="AB352" i="32" s="1"/>
  <c r="AK162" i="32"/>
  <c r="AB162" i="32" s="1"/>
  <c r="AL173" i="25"/>
  <c r="AG179" i="32"/>
  <c r="AN179" i="32" s="1"/>
  <c r="AK250" i="32"/>
  <c r="AB250" i="32" s="1"/>
  <c r="AN247" i="25"/>
  <c r="AC247" i="25"/>
  <c r="AO247" i="25"/>
  <c r="AP247" i="25"/>
  <c r="AP142" i="25"/>
  <c r="AN142" i="25"/>
  <c r="AC142" i="25"/>
  <c r="AO142" i="25"/>
  <c r="AN424" i="25"/>
  <c r="AC424" i="25"/>
  <c r="AO424" i="25"/>
  <c r="AP424" i="25"/>
  <c r="AK168" i="32"/>
  <c r="AH168" i="32" s="1"/>
  <c r="AO168" i="32" s="1"/>
  <c r="AK139" i="32"/>
  <c r="AG139" i="32" s="1"/>
  <c r="AN139" i="32" s="1"/>
  <c r="AK268" i="32"/>
  <c r="AB268" i="32" s="1"/>
  <c r="AK201" i="32"/>
  <c r="AG201" i="32"/>
  <c r="AN201" i="32" s="1"/>
  <c r="AH201" i="32"/>
  <c r="AO201" i="32" s="1"/>
  <c r="AG137" i="32"/>
  <c r="AN137" i="32" s="1"/>
  <c r="AK137" i="32"/>
  <c r="AB137" i="32" s="1"/>
  <c r="AH137" i="32"/>
  <c r="AO137" i="32" s="1"/>
  <c r="AC29" i="25"/>
  <c r="AO29" i="25"/>
  <c r="AN29" i="25"/>
  <c r="AP29" i="25"/>
  <c r="AK52" i="32"/>
  <c r="AC131" i="25"/>
  <c r="AO131" i="25"/>
  <c r="AP131" i="25"/>
  <c r="AN131" i="25"/>
  <c r="AK129" i="32"/>
  <c r="AH129" i="32" s="1"/>
  <c r="AO129" i="32" s="1"/>
  <c r="AK247" i="32"/>
  <c r="AB247" i="32" s="1"/>
  <c r="AG247" i="32"/>
  <c r="AN247" i="32" s="1"/>
  <c r="AH247" i="32"/>
  <c r="AO247" i="32" s="1"/>
  <c r="AK187" i="32"/>
  <c r="AB187" i="32" s="1"/>
  <c r="AK94" i="32"/>
  <c r="AB94" i="32" s="1"/>
  <c r="AK276" i="32"/>
  <c r="AB276" i="32" s="1"/>
  <c r="AK99" i="32"/>
  <c r="AH99" i="32" s="1"/>
  <c r="AO99" i="32" s="1"/>
  <c r="AK33" i="25"/>
  <c r="AN171" i="25"/>
  <c r="AC171" i="25"/>
  <c r="AO171" i="25"/>
  <c r="AP171" i="25"/>
  <c r="AC156" i="25"/>
  <c r="AO156" i="25"/>
  <c r="AP156" i="25"/>
  <c r="AN156" i="25"/>
  <c r="AC358" i="25"/>
  <c r="AO358" i="25"/>
  <c r="AN358" i="25"/>
  <c r="AP358" i="25"/>
  <c r="AK202" i="32"/>
  <c r="AB202" i="32" s="1"/>
  <c r="AK219" i="32"/>
  <c r="AB219" i="32" s="1"/>
  <c r="AK348" i="32"/>
  <c r="AB348" i="32" s="1"/>
  <c r="AK54" i="32"/>
  <c r="AH54" i="32" s="1"/>
  <c r="AO54" i="32" s="1"/>
  <c r="AK327" i="32"/>
  <c r="AB327" i="32" s="1"/>
  <c r="AG345" i="25"/>
  <c r="AG473" i="25"/>
  <c r="AK421" i="32"/>
  <c r="AB421" i="32" s="1"/>
  <c r="AN249" i="25"/>
  <c r="AC249" i="25"/>
  <c r="AO249" i="25"/>
  <c r="AP249" i="25"/>
  <c r="AK38" i="25"/>
  <c r="AN176" i="25"/>
  <c r="AC176" i="25"/>
  <c r="AO176" i="25"/>
  <c r="AP176" i="25"/>
  <c r="AK418" i="32"/>
  <c r="AB418" i="32" s="1"/>
  <c r="AK366" i="32"/>
  <c r="AB366" i="32" s="1"/>
  <c r="AK330" i="32"/>
  <c r="AB330" i="32" s="1"/>
  <c r="AK96" i="32"/>
  <c r="AB96" i="32" s="1"/>
  <c r="AK84" i="32"/>
  <c r="AG84" i="32" s="1"/>
  <c r="AN84" i="32" s="1"/>
  <c r="AH84" i="32"/>
  <c r="AO84" i="32" s="1"/>
  <c r="AK308" i="32"/>
  <c r="AB308" i="32" s="1"/>
  <c r="AG372" i="25"/>
  <c r="AK349" i="32"/>
  <c r="AB349" i="32" s="1"/>
  <c r="AK271" i="32"/>
  <c r="AB271" i="32" s="1"/>
  <c r="AH271" i="32"/>
  <c r="AO271" i="32" s="1"/>
  <c r="AC177" i="25"/>
  <c r="AO177" i="25"/>
  <c r="AP177" i="25"/>
  <c r="AN177" i="25"/>
  <c r="AN186" i="25"/>
  <c r="AC186" i="25"/>
  <c r="AO186" i="25"/>
  <c r="AP186" i="25"/>
  <c r="AP93" i="25"/>
  <c r="AN93" i="25"/>
  <c r="AC93" i="25"/>
  <c r="AO93" i="25"/>
  <c r="AK326" i="32"/>
  <c r="AB326" i="32" s="1"/>
  <c r="V18" i="39"/>
  <c r="R18" i="39"/>
  <c r="N18" i="39"/>
  <c r="J18" i="39"/>
  <c r="F18" i="39"/>
  <c r="U18" i="39"/>
  <c r="Q18" i="39"/>
  <c r="M18" i="39"/>
  <c r="I18" i="39"/>
  <c r="E18" i="39"/>
  <c r="S18" i="39"/>
  <c r="O18" i="39"/>
  <c r="K18" i="39"/>
  <c r="G18" i="39"/>
  <c r="C18" i="39"/>
  <c r="L18" i="39"/>
  <c r="H18" i="39"/>
  <c r="T18" i="39"/>
  <c r="D18" i="39"/>
  <c r="P18" i="39"/>
  <c r="AK76" i="32"/>
  <c r="AH76" i="32" s="1"/>
  <c r="AO76" i="32" s="1"/>
  <c r="AK192" i="32"/>
  <c r="AH192" i="32" s="1"/>
  <c r="AO192" i="32" s="1"/>
  <c r="AK45" i="32"/>
  <c r="AG45" i="32" s="1"/>
  <c r="AN45" i="32" s="1"/>
  <c r="AG73" i="32"/>
  <c r="AN73" i="32" s="1"/>
  <c r="AK73" i="32"/>
  <c r="AB73" i="32" s="1"/>
  <c r="AH73" i="32"/>
  <c r="AO73" i="32" s="1"/>
  <c r="AK125" i="32"/>
  <c r="AH125" i="32" s="1"/>
  <c r="AO125" i="32" s="1"/>
  <c r="AG414" i="25"/>
  <c r="AK239" i="32"/>
  <c r="AB239" i="32" s="1"/>
  <c r="AG239" i="32"/>
  <c r="AN239" i="32" s="1"/>
  <c r="AH239" i="32"/>
  <c r="AO239" i="32" s="1"/>
  <c r="AN229" i="25"/>
  <c r="AC229" i="25"/>
  <c r="AO229" i="25"/>
  <c r="AP229" i="25"/>
  <c r="AP118" i="25"/>
  <c r="AN118" i="25"/>
  <c r="AC118" i="25"/>
  <c r="AO118" i="25"/>
  <c r="AP296" i="25"/>
  <c r="AN296" i="25"/>
  <c r="AC296" i="25"/>
  <c r="AO296" i="25"/>
  <c r="AP57" i="25"/>
  <c r="AN57" i="25"/>
  <c r="AC57" i="25"/>
  <c r="AO57" i="25"/>
  <c r="AK300" i="32"/>
  <c r="AB300" i="32" s="1"/>
  <c r="AK299" i="32"/>
  <c r="AB299" i="32" s="1"/>
  <c r="AH299" i="32"/>
  <c r="AO299" i="32" s="1"/>
  <c r="AK475" i="32"/>
  <c r="AB475" i="32" s="1"/>
  <c r="AG147" i="32"/>
  <c r="AN147" i="32" s="1"/>
  <c r="AK147" i="32"/>
  <c r="AB147" i="32" s="1"/>
  <c r="AH147" i="32"/>
  <c r="AO147" i="32" s="1"/>
  <c r="AK449" i="32"/>
  <c r="AB449" i="32" s="1"/>
  <c r="AG252" i="32"/>
  <c r="AN252" i="32" s="1"/>
  <c r="AK252" i="32"/>
  <c r="AB252" i="32" s="1"/>
  <c r="AH252" i="32"/>
  <c r="AO252" i="32" s="1"/>
  <c r="AK116" i="32"/>
  <c r="AB116" i="32" s="1"/>
  <c r="AG95" i="32"/>
  <c r="AN95" i="32" s="1"/>
  <c r="AK95" i="32"/>
  <c r="AB95" i="32" s="1"/>
  <c r="AH95" i="32"/>
  <c r="AO95" i="32" s="1"/>
  <c r="AK173" i="32"/>
  <c r="AH173" i="32" s="1"/>
  <c r="AO173" i="32" s="1"/>
  <c r="AG501" i="25"/>
  <c r="AP282" i="25"/>
  <c r="AN282" i="25"/>
  <c r="AC282" i="25"/>
  <c r="AO282" i="25"/>
  <c r="AL205" i="25"/>
  <c r="AP18" i="25"/>
  <c r="AN18" i="25"/>
  <c r="AC18" i="25"/>
  <c r="AO18" i="25"/>
  <c r="AP116" i="25"/>
  <c r="AN116" i="25"/>
  <c r="AC116" i="25"/>
  <c r="AO116" i="25"/>
  <c r="AK487" i="32"/>
  <c r="AB487" i="32" s="1"/>
  <c r="AG417" i="25"/>
  <c r="AK402" i="32"/>
  <c r="AB402" i="32" s="1"/>
  <c r="AN225" i="25"/>
  <c r="AC225" i="25"/>
  <c r="AO225" i="25"/>
  <c r="AP225" i="25"/>
  <c r="AG430" i="25"/>
  <c r="AG353" i="25"/>
  <c r="AK500" i="32"/>
  <c r="AB500" i="32" s="1"/>
  <c r="AK459" i="32"/>
  <c r="AB459" i="32" s="1"/>
  <c r="AK117" i="32"/>
  <c r="AG117" i="32" s="1"/>
  <c r="AN117" i="32" s="1"/>
  <c r="AG309" i="25"/>
  <c r="AK227" i="32"/>
  <c r="AB227" i="32" s="1"/>
  <c r="AG496" i="25"/>
  <c r="AK212" i="32"/>
  <c r="AB212" i="32" s="1"/>
  <c r="AK286" i="32"/>
  <c r="AB286" i="32" s="1"/>
  <c r="AK97" i="32"/>
  <c r="AH97" i="32" s="1"/>
  <c r="AO97" i="32" s="1"/>
  <c r="AG159" i="32"/>
  <c r="AN159" i="32" s="1"/>
  <c r="AK159" i="32"/>
  <c r="AH159" i="32" s="1"/>
  <c r="AO159" i="32" s="1"/>
  <c r="AK245" i="32"/>
  <c r="AB245" i="32" s="1"/>
  <c r="AG245" i="32"/>
  <c r="AN245" i="32" s="1"/>
  <c r="AK293" i="32"/>
  <c r="AB293" i="32" s="1"/>
  <c r="AK143" i="32"/>
  <c r="AH143" i="32" s="1"/>
  <c r="AO143" i="32" s="1"/>
  <c r="AK82" i="32"/>
  <c r="AH82" i="32" s="1"/>
  <c r="AO82" i="32" s="1"/>
  <c r="AK155" i="32"/>
  <c r="AB155" i="32" s="1"/>
  <c r="AK191" i="32"/>
  <c r="AB191" i="32" s="1"/>
  <c r="AK240" i="32"/>
  <c r="AB240" i="32" s="1"/>
  <c r="AK294" i="32"/>
  <c r="AB294" i="32" s="1"/>
  <c r="AH294" i="32"/>
  <c r="AO294" i="32" s="1"/>
  <c r="AK303" i="32"/>
  <c r="AB303" i="32" s="1"/>
  <c r="AK102" i="32"/>
  <c r="AG102" i="32" s="1"/>
  <c r="AN102" i="32" s="1"/>
  <c r="AH102" i="32"/>
  <c r="AO102" i="32" s="1"/>
  <c r="AK90" i="32"/>
  <c r="AH90" i="32" s="1"/>
  <c r="AO90" i="32" s="1"/>
  <c r="AK229" i="32"/>
  <c r="AB229" i="32" s="1"/>
  <c r="AH229" i="32"/>
  <c r="AO229" i="32" s="1"/>
  <c r="AK181" i="32"/>
  <c r="AB181" i="32" s="1"/>
  <c r="AK236" i="32"/>
  <c r="AB236" i="32" s="1"/>
  <c r="AK397" i="32"/>
  <c r="AB397" i="32" s="1"/>
  <c r="AK432" i="32"/>
  <c r="AB432" i="32" s="1"/>
  <c r="AK380" i="32"/>
  <c r="AB380" i="32" s="1"/>
  <c r="AG436" i="25"/>
  <c r="AN211" i="25"/>
  <c r="AC211" i="25"/>
  <c r="AO211" i="25"/>
  <c r="AP211" i="25"/>
  <c r="AC133" i="25"/>
  <c r="AO133" i="25"/>
  <c r="AP133" i="25"/>
  <c r="AN133" i="25"/>
  <c r="AN96" i="25"/>
  <c r="AP96" i="25"/>
  <c r="AC96" i="25"/>
  <c r="AO96" i="25"/>
  <c r="AK97" i="25"/>
  <c r="AN192" i="25"/>
  <c r="AC192" i="25"/>
  <c r="AO192" i="25"/>
  <c r="AP192" i="25"/>
  <c r="AG418" i="25"/>
  <c r="AK261" i="32"/>
  <c r="AB261" i="32" s="1"/>
  <c r="AG261" i="32"/>
  <c r="AN261" i="32" s="1"/>
  <c r="AG336" i="25"/>
  <c r="AG422" i="25"/>
  <c r="AK441" i="32"/>
  <c r="AB441" i="32" s="1"/>
  <c r="AG330" i="25"/>
  <c r="AG499" i="25"/>
  <c r="AK172" i="32"/>
  <c r="AB172" i="32" s="1"/>
  <c r="AG363" i="25"/>
  <c r="AK395" i="32"/>
  <c r="AB395" i="32" s="1"/>
  <c r="AG349" i="25"/>
  <c r="AG460" i="25"/>
  <c r="AK176" i="32"/>
  <c r="AB176" i="32" s="1"/>
  <c r="AC138" i="25"/>
  <c r="AO138" i="25"/>
  <c r="AN138" i="25"/>
  <c r="AP138" i="25"/>
  <c r="AP252" i="25"/>
  <c r="AN252" i="25"/>
  <c r="AC252" i="25"/>
  <c r="AO252" i="25"/>
  <c r="AN28" i="25"/>
  <c r="AP28" i="25"/>
  <c r="AC28" i="25"/>
  <c r="AO28" i="25"/>
  <c r="AK446" i="32"/>
  <c r="AB446" i="32" s="1"/>
  <c r="AK494" i="32"/>
  <c r="AB494" i="32" s="1"/>
  <c r="AK383" i="32"/>
  <c r="AB383" i="32" s="1"/>
  <c r="V17" i="39"/>
  <c r="R17" i="39"/>
  <c r="N17" i="39"/>
  <c r="J17" i="39"/>
  <c r="F17" i="39"/>
  <c r="S17" i="39"/>
  <c r="O17" i="39"/>
  <c r="K17" i="39"/>
  <c r="G17" i="39"/>
  <c r="C17" i="39"/>
  <c r="U17" i="39"/>
  <c r="M17" i="39"/>
  <c r="E17" i="39"/>
  <c r="T17" i="39"/>
  <c r="L17" i="39"/>
  <c r="D17" i="39"/>
  <c r="Q17" i="39"/>
  <c r="I17" i="39"/>
  <c r="P17" i="39"/>
  <c r="H17" i="39"/>
  <c r="AK410" i="32"/>
  <c r="AB410" i="32" s="1"/>
  <c r="AK269" i="32"/>
  <c r="AB269" i="32" s="1"/>
  <c r="AG269" i="32"/>
  <c r="AN269" i="32" s="1"/>
  <c r="AK53" i="32"/>
  <c r="AG42" i="32"/>
  <c r="AN42" i="32" s="1"/>
  <c r="AH42" i="32"/>
  <c r="AO42" i="32" s="1"/>
  <c r="AK42" i="32"/>
  <c r="AK101" i="32"/>
  <c r="AB101" i="32" s="1"/>
  <c r="AH101" i="32"/>
  <c r="AO101" i="32" s="1"/>
  <c r="AK419" i="32"/>
  <c r="AB419" i="32" s="1"/>
  <c r="AN291" i="25"/>
  <c r="AC291" i="25"/>
  <c r="AO291" i="25"/>
  <c r="AP291" i="25"/>
  <c r="AC134" i="25"/>
  <c r="AO134" i="25"/>
  <c r="AN134" i="25"/>
  <c r="AP134" i="25"/>
  <c r="AP248" i="25"/>
  <c r="AN248" i="25"/>
  <c r="AC248" i="25"/>
  <c r="AO248" i="25"/>
  <c r="AK288" i="32"/>
  <c r="AB288" i="32" s="1"/>
  <c r="AK291" i="32"/>
  <c r="AB291" i="32" s="1"/>
  <c r="AG495" i="25"/>
  <c r="AG475" i="25"/>
  <c r="AH29" i="32"/>
  <c r="AO29" i="32" s="1"/>
  <c r="AG39" i="32"/>
  <c r="AN39" i="32" s="1"/>
  <c r="AG24" i="32"/>
  <c r="AN24" i="32" s="1"/>
  <c r="AG92" i="32"/>
  <c r="AN92" i="32" s="1"/>
  <c r="AK92" i="32"/>
  <c r="AB92" i="32" s="1"/>
  <c r="AK135" i="32"/>
  <c r="AB135" i="32" s="1"/>
  <c r="V6" i="39"/>
  <c r="R6" i="39"/>
  <c r="N6" i="39"/>
  <c r="J6" i="39"/>
  <c r="F6" i="39"/>
  <c r="S6" i="39"/>
  <c r="M6" i="39"/>
  <c r="H6" i="39"/>
  <c r="C6" i="39"/>
  <c r="Q6" i="39"/>
  <c r="L6" i="39"/>
  <c r="G6" i="39"/>
  <c r="U6" i="39"/>
  <c r="P6" i="39"/>
  <c r="K6" i="39"/>
  <c r="E6" i="39"/>
  <c r="T6" i="39"/>
  <c r="O6" i="39"/>
  <c r="I6" i="39"/>
  <c r="D6" i="39"/>
  <c r="T10" i="39"/>
  <c r="P10" i="39"/>
  <c r="L10" i="39"/>
  <c r="H10" i="39"/>
  <c r="D10" i="39"/>
  <c r="S10" i="39"/>
  <c r="O10" i="39"/>
  <c r="K10" i="39"/>
  <c r="G10" i="39"/>
  <c r="C10" i="39"/>
  <c r="V10" i="39"/>
  <c r="R10" i="39"/>
  <c r="N10" i="39"/>
  <c r="J10" i="39"/>
  <c r="F10" i="39"/>
  <c r="U10" i="39"/>
  <c r="E10" i="39"/>
  <c r="Q10" i="39"/>
  <c r="M10" i="39"/>
  <c r="I10" i="39"/>
  <c r="V14" i="39"/>
  <c r="R14" i="39"/>
  <c r="N14" i="39"/>
  <c r="J14" i="39"/>
  <c r="S14" i="39"/>
  <c r="O14" i="39"/>
  <c r="K14" i="39"/>
  <c r="G14" i="39"/>
  <c r="U14" i="39"/>
  <c r="M14" i="39"/>
  <c r="F14" i="39"/>
  <c r="T14" i="39"/>
  <c r="L14" i="39"/>
  <c r="E14" i="39"/>
  <c r="Q14" i="39"/>
  <c r="I14" i="39"/>
  <c r="D14" i="39"/>
  <c r="C14" i="39"/>
  <c r="P14" i="39"/>
  <c r="H14" i="39"/>
  <c r="AK257" i="32"/>
  <c r="AB257" i="32" s="1"/>
  <c r="AP87" i="25"/>
  <c r="AN87" i="25"/>
  <c r="AC87" i="25"/>
  <c r="AO87" i="25"/>
  <c r="AP286" i="25"/>
  <c r="AN286" i="25"/>
  <c r="AC286" i="25"/>
  <c r="AO286" i="25"/>
  <c r="AN35" i="25"/>
  <c r="AP35" i="25"/>
  <c r="AC35" i="25"/>
  <c r="AO35" i="25"/>
  <c r="AP228" i="25"/>
  <c r="AN228" i="25"/>
  <c r="AC228" i="25"/>
  <c r="AO228" i="25"/>
  <c r="AP462" i="25"/>
  <c r="AB37" i="32"/>
  <c r="AF37" i="32"/>
  <c r="AG502" i="25"/>
  <c r="AK312" i="32"/>
  <c r="AB312" i="32" s="1"/>
  <c r="O23" i="39"/>
  <c r="L23" i="39"/>
  <c r="I23" i="39"/>
  <c r="F23" i="39"/>
  <c r="V23" i="39"/>
  <c r="AK123" i="32"/>
  <c r="AH123" i="32" s="1"/>
  <c r="AO123" i="32" s="1"/>
  <c r="AG21" i="32"/>
  <c r="AN21" i="32" s="1"/>
  <c r="AK266" i="32"/>
  <c r="AB266" i="32" s="1"/>
  <c r="AG425" i="25"/>
  <c r="AH44" i="32"/>
  <c r="AO44" i="32" s="1"/>
  <c r="AK119" i="32"/>
  <c r="AB119" i="32" s="1"/>
  <c r="AK388" i="32"/>
  <c r="AB388" i="32" s="1"/>
  <c r="AG429" i="25"/>
  <c r="AK310" i="32"/>
  <c r="AB310" i="32" s="1"/>
  <c r="AK335" i="32"/>
  <c r="AB335" i="32" s="1"/>
  <c r="AG376" i="25"/>
  <c r="AG500" i="25"/>
  <c r="AB25" i="32"/>
  <c r="AG25" i="32"/>
  <c r="AN25" i="32" s="1"/>
  <c r="AK307" i="32"/>
  <c r="AB307" i="32" s="1"/>
  <c r="AK325" i="32"/>
  <c r="AB325" i="32" s="1"/>
  <c r="AP91" i="25"/>
  <c r="AN91" i="25"/>
  <c r="AC91" i="25"/>
  <c r="AO91" i="25"/>
  <c r="AN143" i="25"/>
  <c r="AP143" i="25"/>
  <c r="AC143" i="25"/>
  <c r="AO143" i="25"/>
  <c r="AK485" i="32"/>
  <c r="AB485" i="32" s="1"/>
  <c r="AG486" i="25"/>
  <c r="AF36" i="32"/>
  <c r="AK377" i="32"/>
  <c r="AB377" i="32" s="1"/>
  <c r="AK174" i="32"/>
  <c r="AH174" i="32" s="1"/>
  <c r="AO174" i="32" s="1"/>
  <c r="AG450" i="25"/>
  <c r="AK357" i="32"/>
  <c r="AB357" i="32" s="1"/>
  <c r="AH35" i="32"/>
  <c r="AO35" i="32" s="1"/>
  <c r="AK160" i="32"/>
  <c r="AB160" i="32" s="1"/>
  <c r="AK196" i="32"/>
  <c r="AB196" i="32" s="1"/>
  <c r="AH196" i="32"/>
  <c r="AO196" i="32" s="1"/>
  <c r="AP125" i="25"/>
  <c r="AN125" i="25"/>
  <c r="AC125" i="25"/>
  <c r="AO125" i="25"/>
  <c r="AH15" i="32"/>
  <c r="AO15" i="32" s="1"/>
  <c r="AK360" i="32"/>
  <c r="AB360" i="32" s="1"/>
  <c r="AK369" i="32"/>
  <c r="AB369" i="32" s="1"/>
  <c r="AK178" i="32"/>
  <c r="AG178" i="32" s="1"/>
  <c r="AN178" i="32" s="1"/>
  <c r="V16" i="39"/>
  <c r="R16" i="39"/>
  <c r="N16" i="39"/>
  <c r="J16" i="39"/>
  <c r="F16" i="39"/>
  <c r="S16" i="39"/>
  <c r="O16" i="39"/>
  <c r="K16" i="39"/>
  <c r="G16" i="39"/>
  <c r="C16" i="39"/>
  <c r="Q16" i="39"/>
  <c r="I16" i="39"/>
  <c r="P16" i="39"/>
  <c r="H16" i="39"/>
  <c r="U16" i="39"/>
  <c r="M16" i="39"/>
  <c r="E16" i="39"/>
  <c r="T16" i="39"/>
  <c r="L16" i="39"/>
  <c r="D16" i="39"/>
  <c r="AK107" i="32"/>
  <c r="AH107" i="32" s="1"/>
  <c r="AO107" i="32" s="1"/>
  <c r="AG466" i="25"/>
  <c r="AK491" i="32"/>
  <c r="AB491" i="32" s="1"/>
  <c r="AK148" i="32"/>
  <c r="AH148" i="32" s="1"/>
  <c r="AO148" i="32" s="1"/>
  <c r="AK157" i="32"/>
  <c r="AB157" i="32" s="1"/>
  <c r="AK205" i="32"/>
  <c r="AG205" i="32" s="1"/>
  <c r="AN205" i="32" s="1"/>
  <c r="AH205" i="32"/>
  <c r="AO205" i="32" s="1"/>
  <c r="AN271" i="25"/>
  <c r="AC271" i="25"/>
  <c r="AO271" i="25"/>
  <c r="AP271" i="25"/>
  <c r="AK76" i="25"/>
  <c r="AK185" i="32"/>
  <c r="AG185" i="32" s="1"/>
  <c r="AN185" i="32" s="1"/>
  <c r="AH185" i="32"/>
  <c r="AO185" i="32" s="1"/>
  <c r="AK226" i="32"/>
  <c r="AH226" i="32" s="1"/>
  <c r="AO226" i="32" s="1"/>
  <c r="AK253" i="32"/>
  <c r="AB253" i="32" s="1"/>
  <c r="AG343" i="25"/>
  <c r="AG375" i="25"/>
  <c r="AK425" i="32"/>
  <c r="AB425" i="32" s="1"/>
  <c r="AK241" i="32"/>
  <c r="AB241" i="32" s="1"/>
  <c r="AG458" i="25"/>
  <c r="AK209" i="32"/>
  <c r="AB209" i="32" s="1"/>
  <c r="AH47" i="32"/>
  <c r="AO47" i="32" s="1"/>
  <c r="AK47" i="32"/>
  <c r="AB47" i="32" s="1"/>
  <c r="AG30" i="32"/>
  <c r="AN30" i="32" s="1"/>
  <c r="AB17" i="32"/>
  <c r="AC60" i="25"/>
  <c r="AO60" i="25"/>
  <c r="AN60" i="25"/>
  <c r="AP60" i="25"/>
  <c r="AG374" i="25"/>
  <c r="AK305" i="32"/>
  <c r="AB305" i="32" s="1"/>
  <c r="AK98" i="32"/>
  <c r="AG98" i="32" s="1"/>
  <c r="AN98" i="32" s="1"/>
  <c r="AH98" i="32"/>
  <c r="AO98" i="32" s="1"/>
  <c r="AK183" i="32"/>
  <c r="AG183" i="32" s="1"/>
  <c r="AN183" i="32" s="1"/>
  <c r="AG469" i="25"/>
  <c r="AH72" i="32"/>
  <c r="AO72" i="32" s="1"/>
  <c r="AB28" i="32"/>
  <c r="AH75" i="32"/>
  <c r="AO75" i="32" s="1"/>
  <c r="AK88" i="32"/>
  <c r="AH193" i="32"/>
  <c r="AO193" i="32" s="1"/>
  <c r="AK9" i="25"/>
  <c r="AG186" i="32"/>
  <c r="AN186" i="32" s="1"/>
  <c r="AK473" i="32"/>
  <c r="AB473" i="32" s="1"/>
  <c r="AG488" i="25"/>
  <c r="AK190" i="32"/>
  <c r="AB190" i="32" s="1"/>
  <c r="AK132" i="32"/>
  <c r="AB132" i="32" s="1"/>
  <c r="AL226" i="25"/>
  <c r="AG404" i="25"/>
  <c r="AK392" i="32"/>
  <c r="AB392" i="32" s="1"/>
  <c r="T19" i="39"/>
  <c r="K19" i="39"/>
  <c r="I19" i="39"/>
  <c r="F19" i="39"/>
  <c r="V19" i="39"/>
  <c r="AK59" i="32"/>
  <c r="AH59" i="32" s="1"/>
  <c r="AO59" i="32" s="1"/>
  <c r="AG355" i="25"/>
  <c r="AK231" i="32"/>
  <c r="AG231" i="32" s="1"/>
  <c r="AN231" i="32" s="1"/>
  <c r="AK438" i="32"/>
  <c r="AB438" i="32" s="1"/>
  <c r="AG311" i="25"/>
  <c r="AK108" i="32"/>
  <c r="AG108" i="32" s="1"/>
  <c r="AN108" i="32" s="1"/>
  <c r="AK370" i="32"/>
  <c r="AB370" i="32" s="1"/>
  <c r="AG333" i="25"/>
  <c r="AP453" i="25"/>
  <c r="AP479" i="25"/>
  <c r="AC381" i="25"/>
  <c r="AP246" i="25"/>
  <c r="AN246" i="25"/>
  <c r="AC246" i="25"/>
  <c r="AO246" i="25"/>
  <c r="AN59" i="25"/>
  <c r="AP59" i="25"/>
  <c r="AC59" i="25"/>
  <c r="AO59" i="25"/>
  <c r="AP140" i="25"/>
  <c r="AN140" i="25"/>
  <c r="AC140" i="25"/>
  <c r="AO140" i="25"/>
  <c r="AC68" i="25"/>
  <c r="AO68" i="25"/>
  <c r="AN68" i="25"/>
  <c r="AP68" i="25"/>
  <c r="AK55" i="32"/>
  <c r="AH55" i="32" s="1"/>
  <c r="AO55" i="32" s="1"/>
  <c r="AN239" i="25"/>
  <c r="AC239" i="25"/>
  <c r="AO239" i="25"/>
  <c r="AP239" i="25"/>
  <c r="AC199" i="25"/>
  <c r="AO199" i="25"/>
  <c r="AP199" i="25"/>
  <c r="AN199" i="25"/>
  <c r="AG218" i="32"/>
  <c r="AN218" i="32" s="1"/>
  <c r="AK218" i="32"/>
  <c r="AB218" i="32" s="1"/>
  <c r="AP438" i="25"/>
  <c r="AN438" i="25"/>
  <c r="AC438" i="25"/>
  <c r="AO438" i="25"/>
  <c r="AC320" i="25"/>
  <c r="AK211" i="32"/>
  <c r="AB211" i="32" s="1"/>
  <c r="AN257" i="25"/>
  <c r="AC257" i="25"/>
  <c r="AO257" i="25"/>
  <c r="AP257" i="25"/>
  <c r="AN253" i="25"/>
  <c r="AC253" i="25"/>
  <c r="AO253" i="25"/>
  <c r="AP253" i="25"/>
  <c r="AP146" i="25"/>
  <c r="AN146" i="25"/>
  <c r="AC146" i="25"/>
  <c r="AO146" i="25"/>
  <c r="AC46" i="25"/>
  <c r="AO46" i="25"/>
  <c r="AN46" i="25"/>
  <c r="AP46" i="25"/>
  <c r="AK111" i="32"/>
  <c r="AB111" i="32" s="1"/>
  <c r="AK270" i="32"/>
  <c r="AB270" i="32" s="1"/>
  <c r="AG270" i="32"/>
  <c r="AN270" i="32" s="1"/>
  <c r="AK216" i="32"/>
  <c r="AB216" i="32" s="1"/>
  <c r="AK130" i="32"/>
  <c r="AB130" i="32" s="1"/>
  <c r="AK69" i="32"/>
  <c r="AB69" i="32" s="1"/>
  <c r="AG150" i="32"/>
  <c r="AN150" i="32" s="1"/>
  <c r="AH150" i="32"/>
  <c r="AO150" i="32" s="1"/>
  <c r="AK150" i="32"/>
  <c r="AB150" i="32" s="1"/>
  <c r="AF141" i="32"/>
  <c r="AC79" i="25"/>
  <c r="AO79" i="25"/>
  <c r="AN79" i="25"/>
  <c r="AP79" i="25"/>
  <c r="AC53" i="25"/>
  <c r="AO53" i="25"/>
  <c r="AN53" i="25"/>
  <c r="AP53" i="25"/>
  <c r="AO206" i="25"/>
  <c r="AC206" i="25"/>
  <c r="AP206" i="25"/>
  <c r="AN206" i="25"/>
  <c r="AP112" i="25"/>
  <c r="AN112" i="25"/>
  <c r="AC112" i="25"/>
  <c r="AO112" i="25"/>
  <c r="AP359" i="25"/>
  <c r="AN359" i="25"/>
  <c r="AO359" i="25"/>
  <c r="AC359" i="25"/>
  <c r="AG456" i="25"/>
  <c r="AG394" i="25"/>
  <c r="AG389" i="25"/>
  <c r="AG435" i="25"/>
  <c r="AK499" i="32"/>
  <c r="AB499" i="32" s="1"/>
  <c r="AH40" i="32"/>
  <c r="AO40" i="32" s="1"/>
  <c r="AK145" i="32"/>
  <c r="AB145" i="32" s="1"/>
  <c r="AG492" i="25"/>
  <c r="AN237" i="25"/>
  <c r="AC237" i="25"/>
  <c r="AO237" i="25"/>
  <c r="AP237" i="25"/>
  <c r="AN204" i="25"/>
  <c r="AC204" i="25"/>
  <c r="AO204" i="25"/>
  <c r="AP204" i="25"/>
  <c r="AG319" i="25"/>
  <c r="AK415" i="32"/>
  <c r="AB415" i="32" s="1"/>
  <c r="AC72" i="25"/>
  <c r="AO72" i="25"/>
  <c r="AN72" i="25"/>
  <c r="AP72" i="25"/>
  <c r="AK104" i="32"/>
  <c r="AH104" i="32" s="1"/>
  <c r="AO104" i="32" s="1"/>
  <c r="AK138" i="32"/>
  <c r="AB138" i="32" s="1"/>
  <c r="AH138" i="32"/>
  <c r="AO138" i="32" s="1"/>
  <c r="AG489" i="25"/>
  <c r="AP459" i="25"/>
  <c r="AG498" i="25"/>
  <c r="AK106" i="32"/>
  <c r="AB106" i="32" s="1"/>
  <c r="AN314" i="25"/>
  <c r="AK405" i="32"/>
  <c r="AB405" i="32" s="1"/>
  <c r="AK189" i="32"/>
  <c r="AB189" i="32" s="1"/>
  <c r="AG189" i="32"/>
  <c r="AN189" i="32" s="1"/>
  <c r="AN303" i="25"/>
  <c r="AC303" i="25"/>
  <c r="AO303" i="25"/>
  <c r="AP303" i="25"/>
  <c r="AN275" i="25"/>
  <c r="AC275" i="25"/>
  <c r="AO275" i="25"/>
  <c r="AP275" i="25"/>
  <c r="AK40" i="25"/>
  <c r="AP232" i="25"/>
  <c r="AN232" i="25"/>
  <c r="AC232" i="25"/>
  <c r="AO232" i="25"/>
  <c r="AK255" i="32"/>
  <c r="AB255" i="32" s="1"/>
  <c r="AG255" i="32"/>
  <c r="AN255" i="32" s="1"/>
  <c r="AK282" i="32"/>
  <c r="AB282" i="32" s="1"/>
  <c r="AK222" i="32"/>
  <c r="AB222" i="32" s="1"/>
  <c r="AG431" i="25"/>
  <c r="AC350" i="25"/>
  <c r="AO350" i="25"/>
  <c r="AP350" i="25"/>
  <c r="AN350" i="25"/>
  <c r="AG393" i="25"/>
  <c r="AK213" i="32"/>
  <c r="AG213" i="32" s="1"/>
  <c r="AN213" i="32" s="1"/>
  <c r="AK151" i="32"/>
  <c r="AG151" i="32" s="1"/>
  <c r="AN151" i="32" s="1"/>
  <c r="AG127" i="32"/>
  <c r="AN127" i="32" s="1"/>
  <c r="AK127" i="32"/>
  <c r="AH127" i="32" s="1"/>
  <c r="AO127" i="32" s="1"/>
  <c r="AC397" i="25"/>
  <c r="AO397" i="25"/>
  <c r="AP397" i="25"/>
  <c r="AN397" i="25"/>
  <c r="AC193" i="25"/>
  <c r="AO193" i="25"/>
  <c r="AP193" i="25"/>
  <c r="AN193" i="25"/>
  <c r="AC210" i="25"/>
  <c r="AO210" i="25"/>
  <c r="AP210" i="25"/>
  <c r="AN210" i="25"/>
  <c r="AL163" i="25"/>
  <c r="AL86" i="25"/>
  <c r="AG86" i="25" s="1"/>
  <c r="AC310" i="25"/>
  <c r="AK406" i="32"/>
  <c r="AB406" i="32" s="1"/>
  <c r="AK214" i="32"/>
  <c r="AH214" i="32" s="1"/>
  <c r="AO214" i="32" s="1"/>
  <c r="AK80" i="32"/>
  <c r="AH80" i="32" s="1"/>
  <c r="AO80" i="32" s="1"/>
  <c r="AG455" i="25"/>
  <c r="AK237" i="32"/>
  <c r="AB237" i="32" s="1"/>
  <c r="AK431" i="32"/>
  <c r="AB431" i="32" s="1"/>
  <c r="AK393" i="32"/>
  <c r="AB393" i="32" s="1"/>
  <c r="AG85" i="32"/>
  <c r="AN85" i="32" s="1"/>
  <c r="AK85" i="32"/>
  <c r="AB85" i="32" s="1"/>
  <c r="AH85" i="32"/>
  <c r="AO85" i="32" s="1"/>
  <c r="AK63" i="32"/>
  <c r="AB63" i="32" s="1"/>
  <c r="AG121" i="32"/>
  <c r="AN121" i="32" s="1"/>
  <c r="AK121" i="32"/>
  <c r="AH121" i="32"/>
  <c r="AO121" i="32" s="1"/>
  <c r="AK171" i="32"/>
  <c r="AB171" i="32" s="1"/>
  <c r="AK249" i="32"/>
  <c r="AB249" i="32" s="1"/>
  <c r="AK46" i="32"/>
  <c r="AB46" i="32" s="1"/>
  <c r="AK105" i="32"/>
  <c r="AH105" i="32" s="1"/>
  <c r="AO105" i="32" s="1"/>
  <c r="AK163" i="32"/>
  <c r="AH163" i="32" s="1"/>
  <c r="AO163" i="32" s="1"/>
  <c r="AK177" i="32"/>
  <c r="AB177" i="32" s="1"/>
  <c r="AK126" i="32"/>
  <c r="AH126" i="32" s="1"/>
  <c r="AO126" i="32" s="1"/>
  <c r="AG113" i="32"/>
  <c r="AN113" i="32" s="1"/>
  <c r="AK113" i="32"/>
  <c r="AB113" i="32" s="1"/>
  <c r="AH113" i="32"/>
  <c r="AO113" i="32" s="1"/>
  <c r="AK188" i="32"/>
  <c r="AB188" i="32" s="1"/>
  <c r="AK220" i="32"/>
  <c r="AB220" i="32" s="1"/>
  <c r="AC442" i="25"/>
  <c r="AH141" i="32"/>
  <c r="AO141" i="32" s="1"/>
  <c r="AC342" i="25"/>
  <c r="AO342" i="25"/>
  <c r="AN342" i="25"/>
  <c r="AP342" i="25"/>
  <c r="AC312" i="25"/>
  <c r="AG348" i="25"/>
  <c r="AC21" i="25"/>
  <c r="AO21" i="25"/>
  <c r="AN21" i="25"/>
  <c r="AP21" i="25"/>
  <c r="AC222" i="25"/>
  <c r="AO222" i="25"/>
  <c r="AP222" i="25"/>
  <c r="AN222" i="25"/>
  <c r="AP30" i="25"/>
  <c r="AN30" i="25"/>
  <c r="AC30" i="25"/>
  <c r="AO30" i="25"/>
  <c r="AC42" i="25"/>
  <c r="AO42" i="25"/>
  <c r="AN42" i="25"/>
  <c r="AP42" i="25"/>
  <c r="AC128" i="25"/>
  <c r="AO128" i="25"/>
  <c r="AN128" i="25"/>
  <c r="AP128" i="25"/>
  <c r="AN447" i="25"/>
  <c r="AC447" i="25"/>
  <c r="AO447" i="25"/>
  <c r="AP447" i="25"/>
  <c r="AF27" i="32"/>
  <c r="AK62" i="32"/>
  <c r="AB62" i="32" s="1"/>
  <c r="AC58" i="25"/>
  <c r="AO58" i="25"/>
  <c r="AP58" i="25"/>
  <c r="AN58" i="25"/>
  <c r="AK428" i="32"/>
  <c r="AB428" i="32" s="1"/>
  <c r="AN209" i="25"/>
  <c r="AC209" i="25"/>
  <c r="AO209" i="25"/>
  <c r="AP209" i="25"/>
  <c r="AN75" i="25"/>
  <c r="AP75" i="25"/>
  <c r="AC75" i="25"/>
  <c r="AO75" i="25"/>
  <c r="AC220" i="25"/>
  <c r="AO220" i="25"/>
  <c r="AP220" i="25"/>
  <c r="AN220" i="25"/>
  <c r="AO477" i="25"/>
  <c r="AG415" i="25"/>
  <c r="AK120" i="32"/>
  <c r="AH120" i="32" s="1"/>
  <c r="AO120" i="32" s="1"/>
  <c r="AK91" i="32"/>
  <c r="AH91" i="32" s="1"/>
  <c r="AO91" i="32" s="1"/>
  <c r="AK81" i="32"/>
  <c r="AB81" i="32" s="1"/>
  <c r="AB31" i="32"/>
  <c r="AK133" i="32"/>
  <c r="AH133" i="32"/>
  <c r="AO133" i="32" s="1"/>
  <c r="C60" i="25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C73" i="25" s="1"/>
  <c r="C74" i="25" s="1"/>
  <c r="F16" i="4"/>
  <c r="AC48" i="25"/>
  <c r="AO48" i="25"/>
  <c r="AP48" i="25"/>
  <c r="AN48" i="25"/>
  <c r="AN227" i="25"/>
  <c r="AC227" i="25"/>
  <c r="AO227" i="25"/>
  <c r="AP227" i="25"/>
  <c r="AN71" i="25"/>
  <c r="AP71" i="25"/>
  <c r="AO71" i="25"/>
  <c r="AC71" i="25"/>
  <c r="AC216" i="25"/>
  <c r="AO216" i="25"/>
  <c r="AP216" i="25"/>
  <c r="AN216" i="25"/>
  <c r="AK223" i="32"/>
  <c r="AB223" i="32" s="1"/>
  <c r="AH223" i="32"/>
  <c r="AO223" i="32" s="1"/>
  <c r="AK260" i="32"/>
  <c r="AB260" i="32" s="1"/>
  <c r="AK199" i="32"/>
  <c r="AG199" i="32" s="1"/>
  <c r="AN199" i="32" s="1"/>
  <c r="AN472" i="25"/>
  <c r="AC472" i="25"/>
  <c r="AO472" i="25"/>
  <c r="AP472" i="25"/>
  <c r="AP490" i="25"/>
  <c r="AN490" i="25"/>
  <c r="AC490" i="25"/>
  <c r="AO490" i="25"/>
  <c r="AG124" i="32"/>
  <c r="AN124" i="32" s="1"/>
  <c r="AK124" i="32"/>
  <c r="AH124" i="32" s="1"/>
  <c r="AO124" i="32" s="1"/>
  <c r="AB32" i="32"/>
  <c r="AG154" i="32"/>
  <c r="AN154" i="32" s="1"/>
  <c r="AK154" i="32"/>
  <c r="AB154" i="32" s="1"/>
  <c r="V7" i="39"/>
  <c r="R7" i="39"/>
  <c r="N7" i="39"/>
  <c r="J7" i="39"/>
  <c r="F7" i="39"/>
  <c r="T7" i="39"/>
  <c r="O7" i="39"/>
  <c r="I7" i="39"/>
  <c r="D7" i="39"/>
  <c r="S7" i="39"/>
  <c r="M7" i="39"/>
  <c r="H7" i="39"/>
  <c r="C7" i="39"/>
  <c r="Q7" i="39"/>
  <c r="L7" i="39"/>
  <c r="G7" i="39"/>
  <c r="U7" i="39"/>
  <c r="P7" i="39"/>
  <c r="K7" i="39"/>
  <c r="E7" i="39"/>
  <c r="T11" i="39"/>
  <c r="P11" i="39"/>
  <c r="L11" i="39"/>
  <c r="H11" i="39"/>
  <c r="D11" i="39"/>
  <c r="S11" i="39"/>
  <c r="O11" i="39"/>
  <c r="K11" i="39"/>
  <c r="G11" i="39"/>
  <c r="C11" i="39"/>
  <c r="V11" i="39"/>
  <c r="R11" i="39"/>
  <c r="N11" i="39"/>
  <c r="J11" i="39"/>
  <c r="F11" i="39"/>
  <c r="Q11" i="39"/>
  <c r="M11" i="39"/>
  <c r="I11" i="39"/>
  <c r="U11" i="39"/>
  <c r="E11" i="39"/>
  <c r="AC19" i="25"/>
  <c r="AO19" i="25"/>
  <c r="AP19" i="25"/>
  <c r="AN19" i="25"/>
  <c r="AO476" i="25"/>
  <c r="AN213" i="25"/>
  <c r="AC213" i="25"/>
  <c r="AO213" i="25"/>
  <c r="AP213" i="25"/>
  <c r="AN141" i="25"/>
  <c r="AP141" i="25"/>
  <c r="AC141" i="25"/>
  <c r="AO141" i="25"/>
  <c r="AC195" i="25"/>
  <c r="AO195" i="25"/>
  <c r="AP195" i="25"/>
  <c r="AN195" i="25"/>
  <c r="AN196" i="25"/>
  <c r="AC196" i="25"/>
  <c r="AO196" i="25"/>
  <c r="AP196" i="25"/>
  <c r="AN487" i="25"/>
  <c r="AC487" i="25"/>
  <c r="AO487" i="25"/>
  <c r="AP487" i="25"/>
  <c r="AK158" i="32"/>
  <c r="AB158" i="32" s="1"/>
  <c r="AK195" i="32"/>
  <c r="AH195" i="32" s="1"/>
  <c r="AO195" i="32" s="1"/>
  <c r="AC461" i="25"/>
  <c r="AC362" i="25"/>
  <c r="AO362" i="25"/>
  <c r="AN362" i="25"/>
  <c r="AP362" i="25"/>
  <c r="AN403" i="25"/>
  <c r="AC403" i="25"/>
  <c r="AO403" i="25"/>
  <c r="AP403" i="25"/>
  <c r="AN380" i="25"/>
  <c r="AN267" i="25"/>
  <c r="AC267" i="25"/>
  <c r="AO267" i="25"/>
  <c r="AP267" i="25"/>
  <c r="AC55" i="25"/>
  <c r="AO55" i="25"/>
  <c r="AP55" i="25"/>
  <c r="AN55" i="25"/>
  <c r="AP413" i="25"/>
  <c r="AC187" i="25"/>
  <c r="AO187" i="25"/>
  <c r="AP187" i="25"/>
  <c r="AN187" i="25"/>
  <c r="AO471" i="25"/>
  <c r="AO351" i="25"/>
  <c r="AP383" i="25"/>
  <c r="AO383" i="25"/>
  <c r="AC383" i="25"/>
  <c r="AN383" i="25"/>
  <c r="AK465" i="32"/>
  <c r="AB465" i="32" s="1"/>
  <c r="AH36" i="32"/>
  <c r="AO36" i="32" s="1"/>
  <c r="AK156" i="32"/>
  <c r="AB156" i="32" s="1"/>
  <c r="AK285" i="32"/>
  <c r="AB285" i="32" s="1"/>
  <c r="AK56" i="32"/>
  <c r="AB56" i="32" s="1"/>
  <c r="AG50" i="32"/>
  <c r="AN50" i="32" s="1"/>
  <c r="AK50" i="32"/>
  <c r="AH50" i="32"/>
  <c r="AO50" i="32" s="1"/>
  <c r="AK78" i="32"/>
  <c r="AB78" i="32" s="1"/>
  <c r="AG248" i="32"/>
  <c r="AN248" i="32" s="1"/>
  <c r="AK248" i="32"/>
  <c r="AB248" i="32" s="1"/>
  <c r="AH248" i="32"/>
  <c r="AO248" i="32" s="1"/>
  <c r="AO332" i="25"/>
  <c r="AC364" i="25"/>
  <c r="AN243" i="25"/>
  <c r="AC243" i="25"/>
  <c r="AO243" i="25"/>
  <c r="AP243" i="25"/>
  <c r="AC23" i="25"/>
  <c r="AO23" i="25"/>
  <c r="AP23" i="25"/>
  <c r="AN23" i="25"/>
  <c r="AK470" i="32"/>
  <c r="AB470" i="32" s="1"/>
  <c r="AK496" i="32"/>
  <c r="AB496" i="32" s="1"/>
  <c r="AK283" i="32"/>
  <c r="AB283" i="32" s="1"/>
  <c r="AK416" i="32"/>
  <c r="AB416" i="32" s="1"/>
  <c r="AG371" i="25"/>
  <c r="AK420" i="32"/>
  <c r="AB420" i="32" s="1"/>
  <c r="AK442" i="32"/>
  <c r="AB442" i="32" s="1"/>
  <c r="AK426" i="32"/>
  <c r="AB426" i="32" s="1"/>
  <c r="AK228" i="32"/>
  <c r="AB228" i="32" s="1"/>
  <c r="AK67" i="32"/>
  <c r="AB67" i="32" s="1"/>
  <c r="AH67" i="32"/>
  <c r="AO67" i="32" s="1"/>
  <c r="AK142" i="32"/>
  <c r="AP244" i="25"/>
  <c r="AN244" i="25"/>
  <c r="AC244" i="25"/>
  <c r="AO244" i="25"/>
  <c r="AG452" i="25"/>
  <c r="AK304" i="32"/>
  <c r="AH304" i="32" s="1"/>
  <c r="AO304" i="32" s="1"/>
  <c r="AG426" i="25"/>
  <c r="AK356" i="32"/>
  <c r="AB356" i="32" s="1"/>
  <c r="AK6" i="25"/>
  <c r="AG6" i="25" s="1"/>
  <c r="AG485" i="25"/>
  <c r="AG454" i="25"/>
  <c r="AF43" i="32"/>
  <c r="AP391" i="25"/>
  <c r="AN391" i="25"/>
  <c r="AO391" i="25"/>
  <c r="AC391" i="25"/>
  <c r="AK394" i="32"/>
  <c r="AB394" i="32" s="1"/>
  <c r="AK389" i="32"/>
  <c r="AB389" i="32" s="1"/>
  <c r="AK435" i="32"/>
  <c r="AB435" i="32" s="1"/>
  <c r="AK164" i="32"/>
  <c r="AB164" i="32" s="1"/>
  <c r="AH164" i="32"/>
  <c r="AO164" i="32" s="1"/>
  <c r="AC317" i="25"/>
  <c r="AO317" i="25"/>
  <c r="AP317" i="25"/>
  <c r="AN317" i="25"/>
  <c r="AK233" i="32"/>
  <c r="AG233" i="32" s="1"/>
  <c r="AN233" i="32" s="1"/>
  <c r="AH233" i="32"/>
  <c r="AO233" i="32" s="1"/>
  <c r="AL122" i="25"/>
  <c r="AG439" i="25"/>
  <c r="AK206" i="32"/>
  <c r="AG206" i="32" s="1"/>
  <c r="AN206" i="32" s="1"/>
  <c r="AC360" i="25"/>
  <c r="AN480" i="25"/>
  <c r="AC480" i="25"/>
  <c r="AO480" i="25"/>
  <c r="AP480" i="25"/>
  <c r="L19" i="39"/>
  <c r="H19" i="39"/>
  <c r="O19" i="39"/>
  <c r="M19" i="39"/>
  <c r="AK275" i="32"/>
  <c r="AB275" i="32" s="1"/>
  <c r="AH275" i="32"/>
  <c r="AO275" i="32" s="1"/>
  <c r="AK221" i="32"/>
  <c r="AB221" i="32" s="1"/>
  <c r="AO443" i="25"/>
  <c r="AG344" i="25"/>
  <c r="AB23" i="32"/>
  <c r="AH25" i="32"/>
  <c r="AO25" i="32" s="1"/>
  <c r="AB20" i="32"/>
  <c r="AF118" i="32" l="1"/>
  <c r="AH256" i="32"/>
  <c r="AO256" i="32" s="1"/>
  <c r="AG274" i="32"/>
  <c r="AN274" i="32" s="1"/>
  <c r="AH109" i="32"/>
  <c r="AO109" i="32" s="1"/>
  <c r="AH296" i="32"/>
  <c r="AO296" i="32" s="1"/>
  <c r="AH238" i="32"/>
  <c r="AO238" i="32" s="1"/>
  <c r="AG172" i="32"/>
  <c r="AN172" i="32" s="1"/>
  <c r="AG82" i="32"/>
  <c r="AN82" i="32" s="1"/>
  <c r="AH45" i="32"/>
  <c r="AO45" i="32" s="1"/>
  <c r="AG192" i="32"/>
  <c r="AN192" i="32" s="1"/>
  <c r="AG275" i="32"/>
  <c r="AN275" i="32" s="1"/>
  <c r="AG164" i="32"/>
  <c r="AN164" i="32" s="1"/>
  <c r="AG67" i="32"/>
  <c r="AN67" i="32" s="1"/>
  <c r="AH283" i="32"/>
  <c r="AO283" i="32" s="1"/>
  <c r="AH154" i="32"/>
  <c r="AO154" i="32" s="1"/>
  <c r="AH237" i="32"/>
  <c r="AO237" i="32" s="1"/>
  <c r="AG138" i="32"/>
  <c r="AN138" i="32" s="1"/>
  <c r="AH211" i="32"/>
  <c r="AO211" i="32" s="1"/>
  <c r="AH218" i="32"/>
  <c r="AO218" i="32" s="1"/>
  <c r="AH231" i="32"/>
  <c r="AO231" i="32" s="1"/>
  <c r="AG190" i="32"/>
  <c r="AN190" i="32" s="1"/>
  <c r="AG266" i="32"/>
  <c r="AN266" i="32" s="1"/>
  <c r="AH92" i="32"/>
  <c r="AO92" i="32" s="1"/>
  <c r="AG291" i="32"/>
  <c r="AN291" i="32" s="1"/>
  <c r="AG288" i="32"/>
  <c r="AN288" i="32" s="1"/>
  <c r="AG101" i="32"/>
  <c r="AN101" i="32" s="1"/>
  <c r="AF165" i="32"/>
  <c r="AH240" i="32"/>
  <c r="AO240" i="32" s="1"/>
  <c r="AG227" i="32"/>
  <c r="AN227" i="32" s="1"/>
  <c r="AG54" i="32"/>
  <c r="AN54" i="32" s="1"/>
  <c r="AG276" i="32"/>
  <c r="AN276" i="32" s="1"/>
  <c r="AF130" i="32"/>
  <c r="AH139" i="32"/>
  <c r="AO139" i="32" s="1"/>
  <c r="AG79" i="32"/>
  <c r="AN79" i="32" s="1"/>
  <c r="AG210" i="32"/>
  <c r="AN210" i="32" s="1"/>
  <c r="AH49" i="32"/>
  <c r="AO49" i="32" s="1"/>
  <c r="AG134" i="32"/>
  <c r="AN134" i="32" s="1"/>
  <c r="AG93" i="32"/>
  <c r="AN93" i="32" s="1"/>
  <c r="AG264" i="32"/>
  <c r="AN264" i="32" s="1"/>
  <c r="AG17" i="32"/>
  <c r="AN17" i="32" s="1"/>
  <c r="AF17" i="32"/>
  <c r="AG9" i="32"/>
  <c r="AN9" i="32" s="1"/>
  <c r="AB9" i="32"/>
  <c r="AW6" i="32"/>
  <c r="AY6" i="32"/>
  <c r="AZ6" i="32"/>
  <c r="AZ9" i="32"/>
  <c r="AX3" i="32"/>
  <c r="BA9" i="32"/>
  <c r="BB9" i="32"/>
  <c r="AX9" i="32"/>
  <c r="BC9" i="32"/>
  <c r="BE9" i="32"/>
  <c r="AX6" i="32"/>
  <c r="AY9" i="32"/>
  <c r="AW9" i="32"/>
  <c r="AW3" i="32"/>
  <c r="BD9" i="32"/>
  <c r="BB6" i="32"/>
  <c r="BE6" i="32"/>
  <c r="BA6" i="32"/>
  <c r="AY3" i="32"/>
  <c r="BH9" i="32"/>
  <c r="AB11" i="32"/>
  <c r="BE11" i="32" s="1"/>
  <c r="AH9" i="32"/>
  <c r="AO9" i="32" s="1"/>
  <c r="AG105" i="32"/>
  <c r="AN105" i="32" s="1"/>
  <c r="AG214" i="32"/>
  <c r="AN214" i="32" s="1"/>
  <c r="AG111" i="32"/>
  <c r="AN111" i="32" s="1"/>
  <c r="AG132" i="32"/>
  <c r="AN132" i="32" s="1"/>
  <c r="AG148" i="32"/>
  <c r="AN148" i="32" s="1"/>
  <c r="AB142" i="32"/>
  <c r="AG228" i="32"/>
  <c r="AN228" i="32" s="1"/>
  <c r="AF293" i="32"/>
  <c r="AG237" i="32"/>
  <c r="AN237" i="32" s="1"/>
  <c r="AH111" i="32"/>
  <c r="AO111" i="32" s="1"/>
  <c r="AG211" i="32"/>
  <c r="AN211" i="32" s="1"/>
  <c r="AH132" i="32"/>
  <c r="AO132" i="32" s="1"/>
  <c r="AG174" i="32"/>
  <c r="AN174" i="32" s="1"/>
  <c r="AH291" i="32"/>
  <c r="AO291" i="32" s="1"/>
  <c r="AH269" i="32"/>
  <c r="AO269" i="32" s="1"/>
  <c r="AH172" i="32"/>
  <c r="AO172" i="32" s="1"/>
  <c r="AH261" i="32"/>
  <c r="AO261" i="32" s="1"/>
  <c r="AG181" i="32"/>
  <c r="AN181" i="32" s="1"/>
  <c r="AG240" i="32"/>
  <c r="AN240" i="32" s="1"/>
  <c r="AG212" i="32"/>
  <c r="AN212" i="32" s="1"/>
  <c r="AG173" i="32"/>
  <c r="AN173" i="32" s="1"/>
  <c r="AG298" i="32"/>
  <c r="AN298" i="32" s="1"/>
  <c r="AH262" i="32"/>
  <c r="AO262" i="32" s="1"/>
  <c r="AG235" i="32"/>
  <c r="AN235" i="32" s="1"/>
  <c r="AG152" i="32"/>
  <c r="AN152" i="32" s="1"/>
  <c r="AG167" i="32"/>
  <c r="AN167" i="32" s="1"/>
  <c r="AG290" i="32"/>
  <c r="AN290" i="32" s="1"/>
  <c r="AG57" i="32"/>
  <c r="AN57" i="32" s="1"/>
  <c r="AH180" i="32"/>
  <c r="AO180" i="32" s="1"/>
  <c r="AG251" i="32"/>
  <c r="AN251" i="32" s="1"/>
  <c r="AG256" i="32"/>
  <c r="AN256" i="32" s="1"/>
  <c r="AG259" i="32"/>
  <c r="AN259" i="32" s="1"/>
  <c r="AG165" i="32"/>
  <c r="AN165" i="32" s="1"/>
  <c r="AG161" i="32"/>
  <c r="AN161" i="32" s="1"/>
  <c r="AG198" i="32"/>
  <c r="AN198" i="32" s="1"/>
  <c r="AG279" i="32"/>
  <c r="AN279" i="32" s="1"/>
  <c r="AG100" i="32"/>
  <c r="AN100" i="32" s="1"/>
  <c r="AG208" i="32"/>
  <c r="AN208" i="32" s="1"/>
  <c r="AG146" i="32"/>
  <c r="AN146" i="32" s="1"/>
  <c r="AH295" i="32"/>
  <c r="AO295" i="32" s="1"/>
  <c r="AH58" i="32"/>
  <c r="AO58" i="32" s="1"/>
  <c r="AG225" i="32"/>
  <c r="AN225" i="32" s="1"/>
  <c r="AH13" i="32"/>
  <c r="AO13" i="32" s="1"/>
  <c r="AB13" i="32"/>
  <c r="AF13" i="32"/>
  <c r="AG13" i="32"/>
  <c r="AN13" i="32" s="1"/>
  <c r="AB40" i="32"/>
  <c r="AH276" i="32"/>
  <c r="AO276" i="32" s="1"/>
  <c r="AH187" i="32"/>
  <c r="AO187" i="32" s="1"/>
  <c r="AH297" i="32"/>
  <c r="AO297" i="32" s="1"/>
  <c r="AH210" i="32"/>
  <c r="AO210" i="32" s="1"/>
  <c r="AH289" i="32"/>
  <c r="AO289" i="32" s="1"/>
  <c r="AH93" i="32"/>
  <c r="AO93" i="32" s="1"/>
  <c r="AG232" i="32"/>
  <c r="AN232" i="32" s="1"/>
  <c r="AH264" i="32"/>
  <c r="AO264" i="32" s="1"/>
  <c r="AH287" i="32"/>
  <c r="AO287" i="32" s="1"/>
  <c r="AH204" i="32"/>
  <c r="AO204" i="32" s="1"/>
  <c r="AH279" i="32"/>
  <c r="AO279" i="32" s="1"/>
  <c r="AH274" i="32"/>
  <c r="AO274" i="32" s="1"/>
  <c r="AG295" i="32"/>
  <c r="AN295" i="32" s="1"/>
  <c r="AB16" i="32"/>
  <c r="AG16" i="32"/>
  <c r="AN16" i="32" s="1"/>
  <c r="AF12" i="32"/>
  <c r="AF38" i="32"/>
  <c r="AB14" i="32"/>
  <c r="AF31" i="32"/>
  <c r="AF14" i="32"/>
  <c r="AC497" i="25"/>
  <c r="AN481" i="25"/>
  <c r="AN390" i="25"/>
  <c r="AN408" i="25"/>
  <c r="AC421" i="25"/>
  <c r="AN325" i="25"/>
  <c r="AC443" i="25"/>
  <c r="AO360" i="25"/>
  <c r="AO364" i="25"/>
  <c r="AC471" i="25"/>
  <c r="AO413" i="25"/>
  <c r="AP380" i="25"/>
  <c r="AC476" i="25"/>
  <c r="AN442" i="25"/>
  <c r="AN310" i="25"/>
  <c r="AP314" i="25"/>
  <c r="AO459" i="25"/>
  <c r="AN320" i="25"/>
  <c r="AN381" i="25"/>
  <c r="AO453" i="25"/>
  <c r="AO462" i="25"/>
  <c r="AO390" i="25"/>
  <c r="AN497" i="25"/>
  <c r="AP481" i="25"/>
  <c r="AC335" i="25"/>
  <c r="AP408" i="25"/>
  <c r="AN421" i="25"/>
  <c r="AP325" i="25"/>
  <c r="AN476" i="25"/>
  <c r="AP442" i="25"/>
  <c r="AO314" i="25"/>
  <c r="AC459" i="25"/>
  <c r="AP320" i="25"/>
  <c r="AO381" i="25"/>
  <c r="AC453" i="25"/>
  <c r="AC462" i="25"/>
  <c r="AC390" i="25"/>
  <c r="AP497" i="25"/>
  <c r="AO481" i="25"/>
  <c r="AO335" i="25"/>
  <c r="AO408" i="25"/>
  <c r="AP421" i="25"/>
  <c r="AO325" i="25"/>
  <c r="AN443" i="25"/>
  <c r="AN360" i="25"/>
  <c r="AN364" i="25"/>
  <c r="AN471" i="25"/>
  <c r="AC413" i="25"/>
  <c r="AC380" i="25"/>
  <c r="AP310" i="25"/>
  <c r="AC318" i="25"/>
  <c r="AO465" i="25"/>
  <c r="AP379" i="25"/>
  <c r="AP388" i="25"/>
  <c r="AO366" i="25"/>
  <c r="AN388" i="25"/>
  <c r="AO339" i="25"/>
  <c r="AC366" i="25"/>
  <c r="AC419" i="25"/>
  <c r="AC465" i="25"/>
  <c r="AO427" i="25"/>
  <c r="AC401" i="25"/>
  <c r="AO461" i="25"/>
  <c r="AC427" i="25"/>
  <c r="AC337" i="25"/>
  <c r="AN337" i="25"/>
  <c r="AP392" i="25"/>
  <c r="AG122" i="25"/>
  <c r="AO437" i="25"/>
  <c r="AC433" i="25"/>
  <c r="AO352" i="25"/>
  <c r="AN451" i="25"/>
  <c r="AO361" i="25"/>
  <c r="AN449" i="25"/>
  <c r="AC477" i="25"/>
  <c r="AO412" i="25"/>
  <c r="AN477" i="25"/>
  <c r="AC327" i="25"/>
  <c r="AP385" i="25"/>
  <c r="AP416" i="25"/>
  <c r="AN339" i="25"/>
  <c r="AN327" i="25"/>
  <c r="AC385" i="25"/>
  <c r="AO416" i="25"/>
  <c r="AO433" i="25"/>
  <c r="AC482" i="25"/>
  <c r="AP328" i="25"/>
  <c r="AC412" i="25"/>
  <c r="AN318" i="25"/>
  <c r="AC484" i="25"/>
  <c r="AN419" i="25"/>
  <c r="AP351" i="25"/>
  <c r="AN461" i="25"/>
  <c r="AN312" i="25"/>
  <c r="AP324" i="25"/>
  <c r="AC382" i="25"/>
  <c r="AN479" i="25"/>
  <c r="AO323" i="25"/>
  <c r="AN412" i="25"/>
  <c r="AN368" i="25"/>
  <c r="AO321" i="25"/>
  <c r="AP361" i="25"/>
  <c r="AN361" i="25"/>
  <c r="AN484" i="25"/>
  <c r="AO401" i="25"/>
  <c r="AN434" i="25"/>
  <c r="AC379" i="25"/>
  <c r="AC323" i="25"/>
  <c r="AO467" i="25"/>
  <c r="AP451" i="25"/>
  <c r="AP437" i="25"/>
  <c r="AP368" i="25"/>
  <c r="AN357" i="25"/>
  <c r="AC321" i="25"/>
  <c r="AC352" i="25"/>
  <c r="AC332" i="25"/>
  <c r="AP434" i="25"/>
  <c r="AO324" i="25"/>
  <c r="AP357" i="25"/>
  <c r="AC328" i="25"/>
  <c r="AP484" i="25"/>
  <c r="AN332" i="25"/>
  <c r="AN401" i="25"/>
  <c r="AO434" i="25"/>
  <c r="AN465" i="25"/>
  <c r="AP312" i="25"/>
  <c r="AO379" i="25"/>
  <c r="AC388" i="25"/>
  <c r="AC356" i="25"/>
  <c r="AC324" i="25"/>
  <c r="AP382" i="25"/>
  <c r="AP448" i="25"/>
  <c r="AO479" i="25"/>
  <c r="AP323" i="25"/>
  <c r="AO327" i="25"/>
  <c r="AO385" i="25"/>
  <c r="AO451" i="25"/>
  <c r="AC437" i="25"/>
  <c r="AC368" i="25"/>
  <c r="AC416" i="25"/>
  <c r="AC357" i="25"/>
  <c r="AC339" i="25"/>
  <c r="AN321" i="25"/>
  <c r="AN433" i="25"/>
  <c r="AN398" i="25"/>
  <c r="AP329" i="25"/>
  <c r="AP468" i="25"/>
  <c r="AP482" i="25"/>
  <c r="AP457" i="25"/>
  <c r="AN352" i="25"/>
  <c r="AO328" i="25"/>
  <c r="AP449" i="25"/>
  <c r="AP356" i="25"/>
  <c r="AP326" i="25"/>
  <c r="AC367" i="25"/>
  <c r="AN482" i="25"/>
  <c r="AP318" i="25"/>
  <c r="AP419" i="25"/>
  <c r="AN351" i="25"/>
  <c r="AO449" i="25"/>
  <c r="AN427" i="25"/>
  <c r="AO356" i="25"/>
  <c r="AO382" i="25"/>
  <c r="AC448" i="25"/>
  <c r="AP463" i="25"/>
  <c r="AC470" i="25"/>
  <c r="AN410" i="25"/>
  <c r="AO407" i="25"/>
  <c r="AO448" i="25"/>
  <c r="AN326" i="25"/>
  <c r="AC467" i="25"/>
  <c r="AO367" i="25"/>
  <c r="AO463" i="25"/>
  <c r="AP398" i="25"/>
  <c r="AO329" i="25"/>
  <c r="AO468" i="25"/>
  <c r="AO457" i="25"/>
  <c r="AN470" i="25"/>
  <c r="AP410" i="25"/>
  <c r="AP407" i="25"/>
  <c r="AO326" i="25"/>
  <c r="AN467" i="25"/>
  <c r="AP367" i="25"/>
  <c r="AC463" i="25"/>
  <c r="AO398" i="25"/>
  <c r="AC329" i="25"/>
  <c r="AC468" i="25"/>
  <c r="AC457" i="25"/>
  <c r="AP470" i="25"/>
  <c r="AO410" i="25"/>
  <c r="AC407" i="25"/>
  <c r="C75" i="25"/>
  <c r="C76" i="25" s="1"/>
  <c r="C77" i="25" s="1"/>
  <c r="C78" i="25" s="1"/>
  <c r="C79" i="25" s="1"/>
  <c r="C80" i="25" s="1"/>
  <c r="C81" i="25" s="1"/>
  <c r="C82" i="25" s="1"/>
  <c r="C83" i="25" s="1"/>
  <c r="C84" i="25" s="1"/>
  <c r="C85" i="25" s="1"/>
  <c r="C86" i="25" s="1"/>
  <c r="C87" i="25" s="1"/>
  <c r="C88" i="25" s="1"/>
  <c r="C89" i="25" s="1"/>
  <c r="C90" i="25" s="1"/>
  <c r="C91" i="25" s="1"/>
  <c r="C92" i="25" s="1"/>
  <c r="C93" i="25" s="1"/>
  <c r="C94" i="25" s="1"/>
  <c r="C95" i="25" s="1"/>
  <c r="C96" i="25" s="1"/>
  <c r="C97" i="25" s="1"/>
  <c r="C98" i="25" s="1"/>
  <c r="C99" i="25" s="1"/>
  <c r="F17" i="4"/>
  <c r="AG221" i="32"/>
  <c r="AN221" i="32" s="1"/>
  <c r="AN439" i="25"/>
  <c r="AC439" i="25"/>
  <c r="AO439" i="25"/>
  <c r="AP439" i="25"/>
  <c r="AB233" i="32"/>
  <c r="AP454" i="25"/>
  <c r="AN454" i="25"/>
  <c r="AC454" i="25"/>
  <c r="AO454" i="25"/>
  <c r="AP426" i="25"/>
  <c r="AN426" i="25"/>
  <c r="AC426" i="25"/>
  <c r="AO426" i="25"/>
  <c r="AH228" i="32"/>
  <c r="AO228" i="32" s="1"/>
  <c r="AG283" i="32"/>
  <c r="AN283" i="32" s="1"/>
  <c r="AH78" i="32"/>
  <c r="AO78" i="32" s="1"/>
  <c r="AB50" i="32"/>
  <c r="AG56" i="32"/>
  <c r="AN56" i="32" s="1"/>
  <c r="AH156" i="32"/>
  <c r="AO156" i="32" s="1"/>
  <c r="AG195" i="32"/>
  <c r="AN195" i="32" s="1"/>
  <c r="AG158" i="32"/>
  <c r="AN158" i="32" s="1"/>
  <c r="AH260" i="32"/>
  <c r="AO260" i="32" s="1"/>
  <c r="AG223" i="32"/>
  <c r="AN223" i="32" s="1"/>
  <c r="AH81" i="32"/>
  <c r="AO81" i="32" s="1"/>
  <c r="AG120" i="32"/>
  <c r="AN120" i="32" s="1"/>
  <c r="AH62" i="32"/>
  <c r="AO62" i="32" s="1"/>
  <c r="AH188" i="32"/>
  <c r="AO188" i="32" s="1"/>
  <c r="AG126" i="32"/>
  <c r="AN126" i="32" s="1"/>
  <c r="AB105" i="32"/>
  <c r="AG46" i="32"/>
  <c r="AN46" i="32" s="1"/>
  <c r="AH171" i="32"/>
  <c r="AO171" i="32" s="1"/>
  <c r="AB121" i="32"/>
  <c r="AG63" i="32"/>
  <c r="AN63" i="32" s="1"/>
  <c r="AG80" i="32"/>
  <c r="AN80" i="32" s="1"/>
  <c r="AB127" i="32"/>
  <c r="AN393" i="25"/>
  <c r="AO393" i="25"/>
  <c r="AC393" i="25"/>
  <c r="AP393" i="25"/>
  <c r="AG222" i="32"/>
  <c r="AN222" i="32" s="1"/>
  <c r="AH255" i="32"/>
  <c r="AO255" i="32" s="1"/>
  <c r="AH189" i="32"/>
  <c r="AO189" i="32" s="1"/>
  <c r="AH106" i="32"/>
  <c r="AO106" i="32" s="1"/>
  <c r="AC489" i="25"/>
  <c r="AO489" i="25"/>
  <c r="AP489" i="25"/>
  <c r="AN489" i="25"/>
  <c r="AN319" i="25"/>
  <c r="AP319" i="25"/>
  <c r="AC319" i="25"/>
  <c r="AO319" i="25"/>
  <c r="AH145" i="32"/>
  <c r="AO145" i="32" s="1"/>
  <c r="AN435" i="25"/>
  <c r="AC435" i="25"/>
  <c r="AO435" i="25"/>
  <c r="AP435" i="25"/>
  <c r="AU18" i="32"/>
  <c r="AF195" i="32"/>
  <c r="AH69" i="32"/>
  <c r="AO69" i="32" s="1"/>
  <c r="AG130" i="32"/>
  <c r="AN130" i="32" s="1"/>
  <c r="AH270" i="32"/>
  <c r="AO270" i="32" s="1"/>
  <c r="AF111" i="32"/>
  <c r="AN311" i="25"/>
  <c r="AC311" i="25"/>
  <c r="AO311" i="25"/>
  <c r="AP311" i="25"/>
  <c r="AB231" i="32"/>
  <c r="AF231" i="32"/>
  <c r="AG59" i="32"/>
  <c r="AN59" i="32" s="1"/>
  <c r="AG226" i="25"/>
  <c r="AH190" i="32"/>
  <c r="AO190" i="32" s="1"/>
  <c r="AF167" i="32"/>
  <c r="AB183" i="32"/>
  <c r="AH305" i="32"/>
  <c r="AO305" i="32" s="1"/>
  <c r="AG47" i="32"/>
  <c r="AN47" i="32" s="1"/>
  <c r="AP458" i="25"/>
  <c r="AN458" i="25"/>
  <c r="AC458" i="25"/>
  <c r="AO458" i="25"/>
  <c r="AG157" i="32"/>
  <c r="AN157" i="32" s="1"/>
  <c r="AG107" i="32"/>
  <c r="AN107" i="32" s="1"/>
  <c r="AG196" i="32"/>
  <c r="AN196" i="32" s="1"/>
  <c r="AG160" i="32"/>
  <c r="AN160" i="32" s="1"/>
  <c r="AN376" i="25"/>
  <c r="AO376" i="25"/>
  <c r="AC376" i="25"/>
  <c r="AP376" i="25"/>
  <c r="AH266" i="32"/>
  <c r="AO266" i="32" s="1"/>
  <c r="AH135" i="32"/>
  <c r="AO135" i="32" s="1"/>
  <c r="AB42" i="32"/>
  <c r="AF217" i="32"/>
  <c r="AG217" i="32" s="1"/>
  <c r="AF42" i="32"/>
  <c r="AF186" i="32"/>
  <c r="AF249" i="32"/>
  <c r="AF110" i="32"/>
  <c r="AF174" i="32"/>
  <c r="AF132" i="32"/>
  <c r="AH53" i="32"/>
  <c r="AO53" i="32" s="1"/>
  <c r="AG176" i="32"/>
  <c r="AN176" i="32" s="1"/>
  <c r="AP363" i="25"/>
  <c r="AC363" i="25"/>
  <c r="AN363" i="25"/>
  <c r="AO363" i="25"/>
  <c r="AN499" i="25"/>
  <c r="AC499" i="25"/>
  <c r="AO499" i="25"/>
  <c r="AP499" i="25"/>
  <c r="AC336" i="25"/>
  <c r="AO336" i="25"/>
  <c r="AN336" i="25"/>
  <c r="AP336" i="25"/>
  <c r="AY5" i="32"/>
  <c r="AH181" i="32"/>
  <c r="AO181" i="32" s="1"/>
  <c r="AG229" i="32"/>
  <c r="AN229" i="32" s="1"/>
  <c r="AG90" i="32"/>
  <c r="AN90" i="32" s="1"/>
  <c r="AG303" i="32"/>
  <c r="AN303" i="32" s="1"/>
  <c r="AG294" i="32"/>
  <c r="AN294" i="32" s="1"/>
  <c r="AH155" i="32"/>
  <c r="AO155" i="32" s="1"/>
  <c r="AB82" i="32"/>
  <c r="AG143" i="32"/>
  <c r="AN143" i="32" s="1"/>
  <c r="AH245" i="32"/>
  <c r="AO245" i="32" s="1"/>
  <c r="AB159" i="32"/>
  <c r="AG97" i="32"/>
  <c r="AN97" i="32" s="1"/>
  <c r="AH212" i="32"/>
  <c r="AO212" i="32" s="1"/>
  <c r="AH227" i="32"/>
  <c r="AO227" i="32" s="1"/>
  <c r="AC417" i="25"/>
  <c r="AO417" i="25"/>
  <c r="AP417" i="25"/>
  <c r="AN417" i="25"/>
  <c r="AG116" i="32"/>
  <c r="AN116" i="32" s="1"/>
  <c r="AG299" i="32"/>
  <c r="AN299" i="32" s="1"/>
  <c r="AH300" i="32"/>
  <c r="AO300" i="32" s="1"/>
  <c r="AG125" i="32"/>
  <c r="AN125" i="32" s="1"/>
  <c r="AB45" i="32"/>
  <c r="AF305" i="32"/>
  <c r="AF54" i="32"/>
  <c r="AF304" i="32"/>
  <c r="AG304" i="32" s="1"/>
  <c r="AF45" i="32"/>
  <c r="AF238" i="32"/>
  <c r="AF105" i="32"/>
  <c r="AF262" i="32"/>
  <c r="AB192" i="32"/>
  <c r="AG76" i="32"/>
  <c r="AN76" i="32" s="1"/>
  <c r="AG271" i="32"/>
  <c r="AN271" i="32" s="1"/>
  <c r="AH96" i="32"/>
  <c r="AO96" i="32" s="1"/>
  <c r="AC473" i="25"/>
  <c r="AO473" i="25"/>
  <c r="AP473" i="25"/>
  <c r="AN473" i="25"/>
  <c r="AG219" i="32"/>
  <c r="AN219" i="32" s="1"/>
  <c r="AG202" i="32"/>
  <c r="AN202" i="32" s="1"/>
  <c r="AG99" i="32"/>
  <c r="AN99" i="32" s="1"/>
  <c r="AH94" i="32"/>
  <c r="AO94" i="32" s="1"/>
  <c r="AG187" i="32"/>
  <c r="AN187" i="32" s="1"/>
  <c r="AH52" i="32"/>
  <c r="AO52" i="32" s="1"/>
  <c r="AB201" i="32"/>
  <c r="AF201" i="32"/>
  <c r="AG268" i="32"/>
  <c r="AN268" i="32" s="1"/>
  <c r="AH108" i="32"/>
  <c r="AO108" i="32" s="1"/>
  <c r="AG65" i="32"/>
  <c r="AN65" i="32" s="1"/>
  <c r="AH298" i="32"/>
  <c r="AO298" i="32" s="1"/>
  <c r="AC313" i="25"/>
  <c r="AO313" i="25"/>
  <c r="AP313" i="25"/>
  <c r="AN313" i="25"/>
  <c r="AP387" i="25"/>
  <c r="AN387" i="25"/>
  <c r="AO387" i="25"/>
  <c r="AC387" i="25"/>
  <c r="AG68" i="32"/>
  <c r="AN68" i="32" s="1"/>
  <c r="AH234" i="32"/>
  <c r="AO234" i="32" s="1"/>
  <c r="AN373" i="25"/>
  <c r="AO373" i="25"/>
  <c r="AC373" i="25"/>
  <c r="AP373" i="25"/>
  <c r="AC346" i="25"/>
  <c r="AO346" i="25"/>
  <c r="AN346" i="25"/>
  <c r="AP346" i="25"/>
  <c r="AH292" i="32"/>
  <c r="AO292" i="32" s="1"/>
  <c r="AP395" i="25"/>
  <c r="AC395" i="25"/>
  <c r="AN395" i="25"/>
  <c r="AO395" i="25"/>
  <c r="AH184" i="32"/>
  <c r="AO184" i="32" s="1"/>
  <c r="AH131" i="32"/>
  <c r="AO131" i="32" s="1"/>
  <c r="AP406" i="25"/>
  <c r="AN406" i="25"/>
  <c r="AC406" i="25"/>
  <c r="AO406" i="25"/>
  <c r="AF131" i="32"/>
  <c r="AF191" i="32"/>
  <c r="AF95" i="32"/>
  <c r="AG302" i="32"/>
  <c r="AN302" i="32" s="1"/>
  <c r="AG289" i="32"/>
  <c r="AN289" i="32" s="1"/>
  <c r="AG169" i="32"/>
  <c r="AN169" i="32" s="1"/>
  <c r="AG128" i="32"/>
  <c r="AN128" i="32" s="1"/>
  <c r="AB112" i="32"/>
  <c r="AH112" i="32"/>
  <c r="AO112" i="32" s="1"/>
  <c r="AH77" i="32"/>
  <c r="AO77" i="32" s="1"/>
  <c r="AH144" i="32"/>
  <c r="AO144" i="32" s="1"/>
  <c r="AB74" i="32"/>
  <c r="AF209" i="32"/>
  <c r="AF157" i="32"/>
  <c r="AF296" i="32"/>
  <c r="AF162" i="32"/>
  <c r="AF151" i="32"/>
  <c r="AH151" i="32" s="1"/>
  <c r="AF257" i="32"/>
  <c r="AF74" i="32"/>
  <c r="AF261" i="32"/>
  <c r="AF114" i="32"/>
  <c r="AF232" i="32"/>
  <c r="AF288" i="32"/>
  <c r="AF229" i="32"/>
  <c r="AF126" i="32"/>
  <c r="AF246" i="32"/>
  <c r="AF181" i="32"/>
  <c r="AB134" i="32"/>
  <c r="AF183" i="32"/>
  <c r="AH183" i="32" s="1"/>
  <c r="AF240" i="32"/>
  <c r="AF134" i="32"/>
  <c r="AF306" i="32"/>
  <c r="AF163" i="32"/>
  <c r="AF148" i="32"/>
  <c r="AG265" i="32"/>
  <c r="AN265" i="32" s="1"/>
  <c r="AC370" i="25"/>
  <c r="AO370" i="25"/>
  <c r="AN370" i="25"/>
  <c r="AP370" i="25"/>
  <c r="AG166" i="32"/>
  <c r="AN166" i="32" s="1"/>
  <c r="AH83" i="32"/>
  <c r="AO83" i="32" s="1"/>
  <c r="AH43" i="32"/>
  <c r="AO43" i="32" s="1"/>
  <c r="BB5" i="32"/>
  <c r="AH246" i="32"/>
  <c r="AO246" i="32" s="1"/>
  <c r="AG263" i="32"/>
  <c r="AN263" i="32" s="1"/>
  <c r="AG306" i="32"/>
  <c r="AN306" i="32" s="1"/>
  <c r="AB149" i="32"/>
  <c r="AF149" i="32"/>
  <c r="AH118" i="32"/>
  <c r="AO118" i="32" s="1"/>
  <c r="AG250" i="32"/>
  <c r="AN250" i="32" s="1"/>
  <c r="AB242" i="32"/>
  <c r="AG277" i="32"/>
  <c r="AN277" i="32" s="1"/>
  <c r="AH281" i="32"/>
  <c r="AO281" i="32" s="1"/>
  <c r="AB86" i="32"/>
  <c r="AG87" i="32"/>
  <c r="AN87" i="32" s="1"/>
  <c r="AU8" i="32"/>
  <c r="AH207" i="32"/>
  <c r="AO207" i="32" s="1"/>
  <c r="AB109" i="32"/>
  <c r="AF139" i="32"/>
  <c r="AF121" i="32"/>
  <c r="AF252" i="32"/>
  <c r="AF109" i="32"/>
  <c r="AF200" i="32"/>
  <c r="AH200" i="32" s="1"/>
  <c r="AF234" i="32"/>
  <c r="AF266" i="32"/>
  <c r="AF298" i="32"/>
  <c r="AF208" i="32"/>
  <c r="AF281" i="32"/>
  <c r="AF264" i="32"/>
  <c r="AG89" i="32"/>
  <c r="AN89" i="32" s="1"/>
  <c r="AC445" i="25"/>
  <c r="AO445" i="25"/>
  <c r="AP445" i="25"/>
  <c r="AN445" i="25"/>
  <c r="AF170" i="32"/>
  <c r="AF284" i="32"/>
  <c r="AF113" i="32"/>
  <c r="AF73" i="32"/>
  <c r="AF116" i="32"/>
  <c r="AF152" i="32"/>
  <c r="AF196" i="32"/>
  <c r="AF286" i="32"/>
  <c r="AF83" i="32"/>
  <c r="BG6" i="32"/>
  <c r="AN464" i="25"/>
  <c r="AC464" i="25"/>
  <c r="AO464" i="25"/>
  <c r="AP464" i="25"/>
  <c r="AF107" i="32"/>
  <c r="AF194" i="32"/>
  <c r="AG194" i="32" s="1"/>
  <c r="AN315" i="25"/>
  <c r="AC315" i="25"/>
  <c r="AO315" i="25"/>
  <c r="AP315" i="25"/>
  <c r="AF212" i="32"/>
  <c r="AB44" i="32"/>
  <c r="AG162" i="32"/>
  <c r="AN162" i="32" s="1"/>
  <c r="AG72" i="32"/>
  <c r="AN72" i="32" s="1"/>
  <c r="AG112" i="32"/>
  <c r="AN112" i="32" s="1"/>
  <c r="AU20" i="32"/>
  <c r="AN452" i="25"/>
  <c r="AC452" i="25"/>
  <c r="AO452" i="25"/>
  <c r="AP452" i="25"/>
  <c r="AH285" i="32"/>
  <c r="AO285" i="32" s="1"/>
  <c r="AU10" i="32"/>
  <c r="AB195" i="32"/>
  <c r="AH199" i="32"/>
  <c r="AO199" i="32" s="1"/>
  <c r="AB91" i="32"/>
  <c r="AN415" i="25"/>
  <c r="AC415" i="25"/>
  <c r="AO415" i="25"/>
  <c r="AP415" i="25"/>
  <c r="AG62" i="32"/>
  <c r="AN62" i="32" s="1"/>
  <c r="AH220" i="32"/>
  <c r="AO220" i="32" s="1"/>
  <c r="AH177" i="32"/>
  <c r="AO177" i="32" s="1"/>
  <c r="AB163" i="32"/>
  <c r="AH249" i="32"/>
  <c r="AO249" i="32" s="1"/>
  <c r="AN455" i="25"/>
  <c r="AC455" i="25"/>
  <c r="AO455" i="25"/>
  <c r="AP455" i="25"/>
  <c r="AN86" i="25"/>
  <c r="AC86" i="25"/>
  <c r="AP86" i="25"/>
  <c r="AO86" i="25"/>
  <c r="AN431" i="25"/>
  <c r="AC431" i="25"/>
  <c r="AO431" i="25"/>
  <c r="AP431" i="25"/>
  <c r="AH282" i="32"/>
  <c r="AO282" i="32" s="1"/>
  <c r="AB104" i="32"/>
  <c r="AF115" i="32"/>
  <c r="AF104" i="32"/>
  <c r="AF190" i="32"/>
  <c r="AF122" i="32"/>
  <c r="AF215" i="32"/>
  <c r="AF142" i="32"/>
  <c r="AH142" i="32" s="1"/>
  <c r="AF172" i="32"/>
  <c r="AF182" i="32"/>
  <c r="AU16" i="32"/>
  <c r="AG145" i="32"/>
  <c r="AN145" i="32" s="1"/>
  <c r="AN389" i="25"/>
  <c r="AO389" i="25"/>
  <c r="AC389" i="25"/>
  <c r="AP389" i="25"/>
  <c r="AF270" i="32"/>
  <c r="AF273" i="32"/>
  <c r="AF245" i="32"/>
  <c r="AG69" i="32"/>
  <c r="AN69" i="32" s="1"/>
  <c r="AH216" i="32"/>
  <c r="AO216" i="32" s="1"/>
  <c r="AB55" i="32"/>
  <c r="AF70" i="32"/>
  <c r="AF202" i="32"/>
  <c r="AF140" i="32"/>
  <c r="AF112" i="32"/>
  <c r="AF164" i="32"/>
  <c r="AF91" i="32"/>
  <c r="AG91" i="32" s="1"/>
  <c r="AF144" i="32"/>
  <c r="AF135" i="32"/>
  <c r="AF93" i="32"/>
  <c r="AF175" i="32"/>
  <c r="AF56" i="32"/>
  <c r="AF79" i="32"/>
  <c r="AF55" i="32"/>
  <c r="AP333" i="25"/>
  <c r="AN333" i="25"/>
  <c r="AO333" i="25"/>
  <c r="AC333" i="25"/>
  <c r="AP355" i="25"/>
  <c r="AN355" i="25"/>
  <c r="AO355" i="25"/>
  <c r="AC355" i="25"/>
  <c r="AB88" i="32"/>
  <c r="AF88" i="32"/>
  <c r="AC469" i="25"/>
  <c r="AO469" i="25"/>
  <c r="AP469" i="25"/>
  <c r="AN469" i="25"/>
  <c r="AH209" i="32"/>
  <c r="AO209" i="32" s="1"/>
  <c r="AH241" i="32"/>
  <c r="AO241" i="32" s="1"/>
  <c r="AP375" i="25"/>
  <c r="AN375" i="25"/>
  <c r="AO375" i="25"/>
  <c r="AC375" i="25"/>
  <c r="AH253" i="32"/>
  <c r="AO253" i="32" s="1"/>
  <c r="AB226" i="32"/>
  <c r="AB185" i="32"/>
  <c r="AF274" i="32"/>
  <c r="AF282" i="32"/>
  <c r="AF267" i="32"/>
  <c r="AF279" i="32"/>
  <c r="AF205" i="32"/>
  <c r="AF225" i="32"/>
  <c r="AF213" i="32"/>
  <c r="AH213" i="32" s="1"/>
  <c r="AF222" i="32"/>
  <c r="AF260" i="32"/>
  <c r="AF269" i="32"/>
  <c r="AF250" i="32"/>
  <c r="AF185" i="32"/>
  <c r="AF192" i="32"/>
  <c r="AB205" i="32"/>
  <c r="AP466" i="25"/>
  <c r="AN466" i="25"/>
  <c r="AC466" i="25"/>
  <c r="AO466" i="25"/>
  <c r="AH178" i="32"/>
  <c r="AO178" i="32" s="1"/>
  <c r="AP486" i="25"/>
  <c r="AN486" i="25"/>
  <c r="AC486" i="25"/>
  <c r="AO486" i="25"/>
  <c r="AB123" i="32"/>
  <c r="AU5" i="32"/>
  <c r="AH257" i="32"/>
  <c r="AO257" i="32" s="1"/>
  <c r="AN475" i="25"/>
  <c r="AC475" i="25"/>
  <c r="AO475" i="25"/>
  <c r="AP475" i="25"/>
  <c r="AN495" i="25"/>
  <c r="AC495" i="25"/>
  <c r="AO495" i="25"/>
  <c r="AP495" i="25"/>
  <c r="AG53" i="32"/>
  <c r="AN53" i="32" s="1"/>
  <c r="AN460" i="25"/>
  <c r="AC460" i="25"/>
  <c r="AO460" i="25"/>
  <c r="AP460" i="25"/>
  <c r="AC330" i="25"/>
  <c r="AO330" i="25"/>
  <c r="AN330" i="25"/>
  <c r="AP330" i="25"/>
  <c r="AF169" i="32"/>
  <c r="AP418" i="25"/>
  <c r="AN418" i="25"/>
  <c r="AC418" i="25"/>
  <c r="AO418" i="25"/>
  <c r="AX7" i="32"/>
  <c r="AH236" i="32"/>
  <c r="AO236" i="32" s="1"/>
  <c r="AH191" i="32"/>
  <c r="AO191" i="32" s="1"/>
  <c r="AH293" i="32"/>
  <c r="AO293" i="32" s="1"/>
  <c r="AH286" i="32"/>
  <c r="AO286" i="32" s="1"/>
  <c r="AB117" i="32"/>
  <c r="AN353" i="25"/>
  <c r="AO353" i="25"/>
  <c r="AC353" i="25"/>
  <c r="AP353" i="25"/>
  <c r="AG300" i="32"/>
  <c r="AN300" i="32" s="1"/>
  <c r="AP414" i="25"/>
  <c r="AN414" i="25"/>
  <c r="AC414" i="25"/>
  <c r="AO414" i="25"/>
  <c r="AP345" i="25"/>
  <c r="AN345" i="25"/>
  <c r="AC345" i="25"/>
  <c r="AO345" i="25"/>
  <c r="AG33" i="25"/>
  <c r="AB52" i="32"/>
  <c r="AU9" i="32"/>
  <c r="AB168" i="32"/>
  <c r="AH88" i="32"/>
  <c r="AO88" i="32" s="1"/>
  <c r="AH273" i="32"/>
  <c r="AO273" i="32" s="1"/>
  <c r="AH224" i="32"/>
  <c r="AO224" i="32" s="1"/>
  <c r="AH203" i="32"/>
  <c r="AO203" i="32" s="1"/>
  <c r="Y312" i="25"/>
  <c r="P313" i="25"/>
  <c r="AP503" i="25"/>
  <c r="AN503" i="25"/>
  <c r="AC503" i="25"/>
  <c r="AO503" i="25"/>
  <c r="AP341" i="25"/>
  <c r="AN341" i="25"/>
  <c r="AO341" i="25"/>
  <c r="AC341" i="25"/>
  <c r="AB122" i="32"/>
  <c r="AG292" i="32"/>
  <c r="AN292" i="32" s="1"/>
  <c r="AN331" i="25"/>
  <c r="AP331" i="25"/>
  <c r="AC331" i="25"/>
  <c r="AO331" i="25"/>
  <c r="AB115" i="32"/>
  <c r="AN420" i="25"/>
  <c r="AC420" i="25"/>
  <c r="AO420" i="25"/>
  <c r="AP420" i="25"/>
  <c r="AU15" i="32"/>
  <c r="AF287" i="32"/>
  <c r="AF64" i="32"/>
  <c r="AF137" i="32"/>
  <c r="AF285" i="32"/>
  <c r="AP478" i="25"/>
  <c r="AN478" i="25"/>
  <c r="AC478" i="25"/>
  <c r="AO478" i="25"/>
  <c r="AC386" i="25"/>
  <c r="AO386" i="25"/>
  <c r="AN386" i="25"/>
  <c r="AP386" i="25"/>
  <c r="AG126" i="25"/>
  <c r="AB200" i="32"/>
  <c r="AH278" i="32"/>
  <c r="AO278" i="32" s="1"/>
  <c r="AH175" i="32"/>
  <c r="AO175" i="32" s="1"/>
  <c r="AU19" i="32"/>
  <c r="AC338" i="25"/>
  <c r="AO338" i="25"/>
  <c r="AN338" i="25"/>
  <c r="AP338" i="25"/>
  <c r="AG43" i="32"/>
  <c r="AN43" i="32" s="1"/>
  <c r="AH258" i="32"/>
  <c r="AO258" i="32" s="1"/>
  <c r="AB70" i="32"/>
  <c r="AG149" i="32"/>
  <c r="AN149" i="32" s="1"/>
  <c r="AU3" i="32"/>
  <c r="AH165" i="32"/>
  <c r="AO165" i="32" s="1"/>
  <c r="AG204" i="32"/>
  <c r="AN204" i="32" s="1"/>
  <c r="AG48" i="32"/>
  <c r="AN48" i="32" s="1"/>
  <c r="AB194" i="32"/>
  <c r="AP402" i="25"/>
  <c r="AN402" i="25"/>
  <c r="AC402" i="25"/>
  <c r="AO402" i="25"/>
  <c r="AG243" i="32"/>
  <c r="AN243" i="32" s="1"/>
  <c r="AG242" i="32"/>
  <c r="AN242" i="32" s="1"/>
  <c r="AH182" i="32"/>
  <c r="AO182" i="32" s="1"/>
  <c r="AG281" i="32"/>
  <c r="AN281" i="32" s="1"/>
  <c r="AG86" i="32"/>
  <c r="AN86" i="32" s="1"/>
  <c r="AH64" i="32"/>
  <c r="AO64" i="32" s="1"/>
  <c r="AH267" i="32"/>
  <c r="AO267" i="32" s="1"/>
  <c r="AG230" i="32"/>
  <c r="AN230" i="32" s="1"/>
  <c r="AH301" i="32"/>
  <c r="AO301" i="32" s="1"/>
  <c r="AG207" i="32"/>
  <c r="AN207" i="32" s="1"/>
  <c r="AH197" i="32"/>
  <c r="AO197" i="32" s="1"/>
  <c r="AB146" i="32"/>
  <c r="AF146" i="32"/>
  <c r="AU17" i="32"/>
  <c r="AU23" i="32"/>
  <c r="AF103" i="32"/>
  <c r="AF119" i="32"/>
  <c r="AF106" i="32"/>
  <c r="AF171" i="32"/>
  <c r="AF77" i="32"/>
  <c r="AF96" i="32"/>
  <c r="AF81" i="32"/>
  <c r="AF51" i="32"/>
  <c r="AN423" i="25"/>
  <c r="AC423" i="25"/>
  <c r="AO423" i="25"/>
  <c r="AP423" i="25"/>
  <c r="AG296" i="32"/>
  <c r="AN296" i="32" s="1"/>
  <c r="AF65" i="32"/>
  <c r="AG58" i="32"/>
  <c r="AN58" i="32" s="1"/>
  <c r="AH225" i="32"/>
  <c r="AO225" i="32" s="1"/>
  <c r="AH170" i="32"/>
  <c r="AO170" i="32" s="1"/>
  <c r="AP474" i="25"/>
  <c r="AN474" i="25"/>
  <c r="AC474" i="25"/>
  <c r="AO474" i="25"/>
  <c r="AF57" i="32"/>
  <c r="AU4" i="32"/>
  <c r="AH272" i="32"/>
  <c r="AO272" i="32" s="1"/>
  <c r="AB186" i="32"/>
  <c r="AG119" i="32"/>
  <c r="AN119" i="32" s="1"/>
  <c r="AN122" i="25"/>
  <c r="AC122" i="25"/>
  <c r="AP122" i="25"/>
  <c r="AO122" i="25"/>
  <c r="AC485" i="25"/>
  <c r="AO485" i="25"/>
  <c r="AP485" i="25"/>
  <c r="AN485" i="25"/>
  <c r="AC344" i="25"/>
  <c r="AO344" i="25"/>
  <c r="AN344" i="25"/>
  <c r="AP344" i="25"/>
  <c r="AB206" i="32"/>
  <c r="AO6" i="25"/>
  <c r="AC6" i="25"/>
  <c r="AP6" i="25"/>
  <c r="AN6" i="25"/>
  <c r="AB304" i="32"/>
  <c r="AG142" i="32"/>
  <c r="AN142" i="32" s="1"/>
  <c r="AP371" i="25"/>
  <c r="AN371" i="25"/>
  <c r="AO371" i="25"/>
  <c r="AC371" i="25"/>
  <c r="AG78" i="32"/>
  <c r="AN78" i="32" s="1"/>
  <c r="AH56" i="32"/>
  <c r="AO56" i="32" s="1"/>
  <c r="AG285" i="32"/>
  <c r="AN285" i="32" s="1"/>
  <c r="AG156" i="32"/>
  <c r="AN156" i="32" s="1"/>
  <c r="AF253" i="32"/>
  <c r="AH158" i="32"/>
  <c r="AO158" i="32" s="1"/>
  <c r="AB124" i="32"/>
  <c r="AF259" i="32"/>
  <c r="AF168" i="32"/>
  <c r="AF247" i="32"/>
  <c r="AF206" i="32"/>
  <c r="AH206" i="32" s="1"/>
  <c r="AF302" i="32"/>
  <c r="AF276" i="32"/>
  <c r="AF297" i="32"/>
  <c r="AF124" i="32"/>
  <c r="AF303" i="32"/>
  <c r="AF173" i="32"/>
  <c r="AF265" i="32"/>
  <c r="AF290" i="32"/>
  <c r="AF237" i="32"/>
  <c r="AF235" i="32"/>
  <c r="BI6" i="32"/>
  <c r="AG260" i="32"/>
  <c r="AN260" i="32" s="1"/>
  <c r="AB133" i="32"/>
  <c r="AG81" i="32"/>
  <c r="AN81" i="32" s="1"/>
  <c r="AG220" i="32"/>
  <c r="AN220" i="32" s="1"/>
  <c r="AG188" i="32"/>
  <c r="AN188" i="32" s="1"/>
  <c r="AG177" i="32"/>
  <c r="AN177" i="32" s="1"/>
  <c r="AG163" i="32"/>
  <c r="AN163" i="32" s="1"/>
  <c r="AH46" i="32"/>
  <c r="AO46" i="32" s="1"/>
  <c r="AG249" i="32"/>
  <c r="AN249" i="32" s="1"/>
  <c r="AG171" i="32"/>
  <c r="AN171" i="32" s="1"/>
  <c r="AH63" i="32"/>
  <c r="AO63" i="32" s="1"/>
  <c r="AB214" i="32"/>
  <c r="AF214" i="32"/>
  <c r="AG163" i="25"/>
  <c r="AB151" i="32"/>
  <c r="AY7" i="32"/>
  <c r="AH222" i="32"/>
  <c r="AO222" i="32" s="1"/>
  <c r="AG282" i="32"/>
  <c r="AN282" i="32" s="1"/>
  <c r="AG106" i="32"/>
  <c r="AN106" i="32" s="1"/>
  <c r="AG104" i="32"/>
  <c r="AN104" i="32" s="1"/>
  <c r="AN492" i="25"/>
  <c r="AC492" i="25"/>
  <c r="AO492" i="25"/>
  <c r="AP492" i="25"/>
  <c r="AC394" i="25"/>
  <c r="AO394" i="25"/>
  <c r="AN394" i="25"/>
  <c r="AP394" i="25"/>
  <c r="AF256" i="32"/>
  <c r="AF226" i="32"/>
  <c r="AH130" i="32"/>
  <c r="AO130" i="32" s="1"/>
  <c r="AG216" i="32"/>
  <c r="AN216" i="32" s="1"/>
  <c r="AG55" i="32"/>
  <c r="AN55" i="32" s="1"/>
  <c r="AB98" i="32"/>
  <c r="AG305" i="32"/>
  <c r="AN305" i="32" s="1"/>
  <c r="AG209" i="32"/>
  <c r="AN209" i="32" s="1"/>
  <c r="AG241" i="32"/>
  <c r="AN241" i="32" s="1"/>
  <c r="AN343" i="25"/>
  <c r="AP343" i="25"/>
  <c r="AO343" i="25"/>
  <c r="AC343" i="25"/>
  <c r="AG253" i="32"/>
  <c r="AN253" i="32" s="1"/>
  <c r="AG226" i="32"/>
  <c r="AN226" i="32" s="1"/>
  <c r="AG76" i="25"/>
  <c r="AH157" i="32"/>
  <c r="AO157" i="32" s="1"/>
  <c r="AB148" i="32"/>
  <c r="AH160" i="32"/>
  <c r="AO160" i="32" s="1"/>
  <c r="AB174" i="32"/>
  <c r="AG123" i="32"/>
  <c r="AN123" i="32" s="1"/>
  <c r="AN502" i="25"/>
  <c r="AC502" i="25"/>
  <c r="AO502" i="25"/>
  <c r="AP502" i="25"/>
  <c r="AG257" i="32"/>
  <c r="AN257" i="32" s="1"/>
  <c r="AG135" i="32"/>
  <c r="AN135" i="32" s="1"/>
  <c r="BK9" i="32"/>
  <c r="AH288" i="32"/>
  <c r="AO288" i="32" s="1"/>
  <c r="AH176" i="32"/>
  <c r="AO176" i="32" s="1"/>
  <c r="AN349" i="25"/>
  <c r="AC349" i="25"/>
  <c r="AP349" i="25"/>
  <c r="AO349" i="25"/>
  <c r="AG97" i="25"/>
  <c r="AW10" i="32"/>
  <c r="AG236" i="32"/>
  <c r="AN236" i="32" s="1"/>
  <c r="AB102" i="32"/>
  <c r="AF178" i="32"/>
  <c r="AF102" i="32"/>
  <c r="AH303" i="32"/>
  <c r="AO303" i="32" s="1"/>
  <c r="AG191" i="32"/>
  <c r="AN191" i="32" s="1"/>
  <c r="AG155" i="32"/>
  <c r="AN155" i="32" s="1"/>
  <c r="AG293" i="32"/>
  <c r="AN293" i="32" s="1"/>
  <c r="AG286" i="32"/>
  <c r="AN286" i="32" s="1"/>
  <c r="AP430" i="25"/>
  <c r="AN430" i="25"/>
  <c r="AC430" i="25"/>
  <c r="AO430" i="25"/>
  <c r="AG205" i="25"/>
  <c r="AB173" i="32"/>
  <c r="AH116" i="32"/>
  <c r="AO116" i="32" s="1"/>
  <c r="AU7" i="32"/>
  <c r="AB84" i="32"/>
  <c r="AG96" i="32"/>
  <c r="AN96" i="32" s="1"/>
  <c r="AG38" i="25"/>
  <c r="AH202" i="32"/>
  <c r="AO202" i="32" s="1"/>
  <c r="AG94" i="32"/>
  <c r="AN94" i="32" s="1"/>
  <c r="AG52" i="32"/>
  <c r="AN52" i="32" s="1"/>
  <c r="AH268" i="32"/>
  <c r="AO268" i="32" s="1"/>
  <c r="AB139" i="32"/>
  <c r="AG168" i="32"/>
  <c r="AN168" i="32" s="1"/>
  <c r="AG173" i="25"/>
  <c r="AB79" i="32"/>
  <c r="AU21" i="32"/>
  <c r="AB277" i="32"/>
  <c r="AG273" i="32"/>
  <c r="AN273" i="32" s="1"/>
  <c r="AG224" i="32"/>
  <c r="AN224" i="32" s="1"/>
  <c r="AB71" i="32"/>
  <c r="AH68" i="32"/>
  <c r="AO68" i="32" s="1"/>
  <c r="AN440" i="25"/>
  <c r="AC440" i="25"/>
  <c r="AO440" i="25"/>
  <c r="AP440" i="25"/>
  <c r="AG234" i="32"/>
  <c r="AN234" i="32" s="1"/>
  <c r="AG122" i="32"/>
  <c r="AN122" i="32" s="1"/>
  <c r="AG51" i="32"/>
  <c r="AN51" i="32" s="1"/>
  <c r="AN428" i="25"/>
  <c r="AC428" i="25"/>
  <c r="AO428" i="25"/>
  <c r="AP428" i="25"/>
  <c r="AC354" i="25"/>
  <c r="AO354" i="25"/>
  <c r="AN354" i="25"/>
  <c r="AP354" i="25"/>
  <c r="AG115" i="32"/>
  <c r="AN115" i="32" s="1"/>
  <c r="AG184" i="32"/>
  <c r="AN184" i="32" s="1"/>
  <c r="AN347" i="25"/>
  <c r="AP347" i="25"/>
  <c r="AC347" i="25"/>
  <c r="AO347" i="25"/>
  <c r="AG131" i="32"/>
  <c r="AN131" i="32" s="1"/>
  <c r="AB262" i="32"/>
  <c r="AF177" i="32"/>
  <c r="AF248" i="32"/>
  <c r="BE3" i="32"/>
  <c r="AG50" i="25"/>
  <c r="AC405" i="25"/>
  <c r="AO405" i="25"/>
  <c r="AP405" i="25"/>
  <c r="AN405" i="25"/>
  <c r="AH169" i="32"/>
  <c r="AO169" i="32" s="1"/>
  <c r="AB66" i="32"/>
  <c r="AC340" i="25"/>
  <c r="AO340" i="25"/>
  <c r="AP340" i="25"/>
  <c r="AN340" i="25"/>
  <c r="AG244" i="32"/>
  <c r="AN244" i="32" s="1"/>
  <c r="AG77" i="32"/>
  <c r="AN77" i="32" s="1"/>
  <c r="AH215" i="32"/>
  <c r="AO215" i="32" s="1"/>
  <c r="AG278" i="32"/>
  <c r="AN278" i="32" s="1"/>
  <c r="AG144" i="32"/>
  <c r="AN144" i="32" s="1"/>
  <c r="AB49" i="32"/>
  <c r="AF150" i="32"/>
  <c r="AF292" i="32"/>
  <c r="AF98" i="32"/>
  <c r="AF193" i="32"/>
  <c r="AF123" i="32"/>
  <c r="AF188" i="32"/>
  <c r="AF133" i="32"/>
  <c r="AG133" i="32" s="1"/>
  <c r="AF218" i="32"/>
  <c r="AF49" i="32"/>
  <c r="AF220" i="32"/>
  <c r="AF268" i="32"/>
  <c r="AF89" i="32"/>
  <c r="AF300" i="32"/>
  <c r="AF236" i="32"/>
  <c r="AF97" i="32"/>
  <c r="AH280" i="32"/>
  <c r="AO280" i="32" s="1"/>
  <c r="AG74" i="32"/>
  <c r="AN74" i="32" s="1"/>
  <c r="AB60" i="32"/>
  <c r="AF254" i="32"/>
  <c r="AF66" i="32"/>
  <c r="AF189" i="32"/>
  <c r="AF289" i="32"/>
  <c r="AF76" i="32"/>
  <c r="AF100" i="32"/>
  <c r="AF244" i="32"/>
  <c r="AF60" i="32"/>
  <c r="AF128" i="32"/>
  <c r="AF136" i="32"/>
  <c r="AG136" i="32" s="1"/>
  <c r="AF275" i="32"/>
  <c r="AF278" i="32"/>
  <c r="AF176" i="32"/>
  <c r="AF224" i="32"/>
  <c r="AF301" i="32"/>
  <c r="AF160" i="32"/>
  <c r="AG175" i="32"/>
  <c r="AN175" i="32" s="1"/>
  <c r="AN432" i="25"/>
  <c r="AC432" i="25"/>
  <c r="AO432" i="25"/>
  <c r="AP432" i="25"/>
  <c r="AH166" i="32"/>
  <c r="AO166" i="32" s="1"/>
  <c r="AG83" i="32"/>
  <c r="AN83" i="32" s="1"/>
  <c r="AG258" i="32"/>
  <c r="AN258" i="32" s="1"/>
  <c r="AG246" i="32"/>
  <c r="AN246" i="32" s="1"/>
  <c r="AH306" i="32"/>
  <c r="AO306" i="32" s="1"/>
  <c r="AG70" i="32"/>
  <c r="AN70" i="32" s="1"/>
  <c r="AB114" i="32"/>
  <c r="AH232" i="32"/>
  <c r="AO232" i="32" s="1"/>
  <c r="AG118" i="32"/>
  <c r="AN118" i="32" s="1"/>
  <c r="AH259" i="32"/>
  <c r="AO259" i="32" s="1"/>
  <c r="AG287" i="32"/>
  <c r="AN287" i="32" s="1"/>
  <c r="AB217" i="32"/>
  <c r="AG182" i="32"/>
  <c r="AN182" i="32" s="1"/>
  <c r="AB100" i="32"/>
  <c r="AH87" i="32"/>
  <c r="AO87" i="32" s="1"/>
  <c r="AG267" i="32"/>
  <c r="AN267" i="32" s="1"/>
  <c r="AG301" i="32"/>
  <c r="AN301" i="32" s="1"/>
  <c r="AG197" i="32"/>
  <c r="AN197" i="32" s="1"/>
  <c r="AP494" i="25"/>
  <c r="AN494" i="25"/>
  <c r="AC494" i="25"/>
  <c r="AO494" i="25"/>
  <c r="AF210" i="32"/>
  <c r="AF145" i="32"/>
  <c r="AF63" i="32"/>
  <c r="AF58" i="32"/>
  <c r="AF61" i="32"/>
  <c r="AF154" i="32"/>
  <c r="AF62" i="32"/>
  <c r="AF85" i="32"/>
  <c r="AF251" i="32"/>
  <c r="AN444" i="25"/>
  <c r="AC444" i="25"/>
  <c r="AO444" i="25"/>
  <c r="AP444" i="25"/>
  <c r="AF52" i="32"/>
  <c r="AF75" i="32"/>
  <c r="AH194" i="32"/>
  <c r="AO194" i="32" s="1"/>
  <c r="AU11" i="32"/>
  <c r="AH250" i="32"/>
  <c r="AO250" i="32" s="1"/>
  <c r="AH221" i="32"/>
  <c r="AO221" i="32" s="1"/>
  <c r="AZ11" i="32"/>
  <c r="AB199" i="32"/>
  <c r="AF199" i="32"/>
  <c r="AF277" i="32"/>
  <c r="AB120" i="32"/>
  <c r="AC348" i="25"/>
  <c r="AO348" i="25"/>
  <c r="AP348" i="25"/>
  <c r="AN348" i="25"/>
  <c r="AB126" i="32"/>
  <c r="AB80" i="32"/>
  <c r="AF82" i="32"/>
  <c r="AF80" i="32"/>
  <c r="AF233" i="32"/>
  <c r="AB213" i="32"/>
  <c r="BB11" i="32"/>
  <c r="AG40" i="25"/>
  <c r="AP498" i="25"/>
  <c r="AN498" i="25"/>
  <c r="AC498" i="25"/>
  <c r="AO498" i="25"/>
  <c r="AN456" i="25"/>
  <c r="AC456" i="25"/>
  <c r="AO456" i="25"/>
  <c r="AP456" i="25"/>
  <c r="AF294" i="32"/>
  <c r="AF242" i="32"/>
  <c r="AH242" i="32" s="1"/>
  <c r="AB141" i="32"/>
  <c r="AU22" i="32"/>
  <c r="AB108" i="32"/>
  <c r="AB59" i="32"/>
  <c r="AF299" i="32"/>
  <c r="AF138" i="32"/>
  <c r="AF216" i="32"/>
  <c r="AF117" i="32"/>
  <c r="AH117" i="32" s="1"/>
  <c r="AF219" i="32"/>
  <c r="AF179" i="32"/>
  <c r="AF228" i="32"/>
  <c r="AF272" i="32"/>
  <c r="AF59" i="32"/>
  <c r="AF291" i="32"/>
  <c r="AF147" i="32"/>
  <c r="AF230" i="32"/>
  <c r="AF295" i="32"/>
  <c r="AF271" i="32"/>
  <c r="AF86" i="32"/>
  <c r="AF184" i="32"/>
  <c r="AF158" i="32"/>
  <c r="AF239" i="32"/>
  <c r="AF283" i="32"/>
  <c r="AF241" i="32"/>
  <c r="AF156" i="32"/>
  <c r="AF211" i="32"/>
  <c r="AF84" i="32"/>
  <c r="AF221" i="32"/>
  <c r="AF204" i="32"/>
  <c r="AN404" i="25"/>
  <c r="AC404" i="25"/>
  <c r="AO404" i="25"/>
  <c r="AP404" i="25"/>
  <c r="AN488" i="25"/>
  <c r="AC488" i="25"/>
  <c r="AO488" i="25"/>
  <c r="AP488" i="25"/>
  <c r="AG9" i="25"/>
  <c r="AC374" i="25"/>
  <c r="AO374" i="25"/>
  <c r="AN374" i="25"/>
  <c r="AP374" i="25"/>
  <c r="AB107" i="32"/>
  <c r="AB178" i="32"/>
  <c r="AP450" i="25"/>
  <c r="AN450" i="25"/>
  <c r="AC450" i="25"/>
  <c r="AO450" i="25"/>
  <c r="AN500" i="25"/>
  <c r="AC500" i="25"/>
  <c r="AO500" i="25"/>
  <c r="AP500" i="25"/>
  <c r="AC429" i="25"/>
  <c r="AO429" i="25"/>
  <c r="AP429" i="25"/>
  <c r="AN429" i="25"/>
  <c r="AC425" i="25"/>
  <c r="AO425" i="25"/>
  <c r="AP425" i="25"/>
  <c r="AN425" i="25"/>
  <c r="AB53" i="32"/>
  <c r="AU6" i="32"/>
  <c r="AP422" i="25"/>
  <c r="AN422" i="25"/>
  <c r="AC422" i="25"/>
  <c r="AO422" i="25"/>
  <c r="AN436" i="25"/>
  <c r="AC436" i="25"/>
  <c r="AO436" i="25"/>
  <c r="AP436" i="25"/>
  <c r="AB90" i="32"/>
  <c r="AF90" i="32"/>
  <c r="AB143" i="32"/>
  <c r="AF143" i="32"/>
  <c r="AF159" i="32"/>
  <c r="AB97" i="32"/>
  <c r="AN496" i="25"/>
  <c r="AC496" i="25"/>
  <c r="AO496" i="25"/>
  <c r="AP496" i="25"/>
  <c r="AC309" i="25"/>
  <c r="AO309" i="25"/>
  <c r="AP309" i="25"/>
  <c r="AN309" i="25"/>
  <c r="AC501" i="25"/>
  <c r="AO501" i="25"/>
  <c r="AP501" i="25"/>
  <c r="AN501" i="25"/>
  <c r="AB125" i="32"/>
  <c r="AF125" i="32"/>
  <c r="AB76" i="32"/>
  <c r="AN372" i="25"/>
  <c r="AO372" i="25"/>
  <c r="AC372" i="25"/>
  <c r="AP372" i="25"/>
  <c r="AB54" i="32"/>
  <c r="AH219" i="32"/>
  <c r="AO219" i="32" s="1"/>
  <c r="AB99" i="32"/>
  <c r="AF255" i="32"/>
  <c r="AF153" i="32"/>
  <c r="AH153" i="32" s="1"/>
  <c r="AF263" i="32"/>
  <c r="AF120" i="32"/>
  <c r="AF161" i="32"/>
  <c r="AF207" i="32"/>
  <c r="AF223" i="32"/>
  <c r="AF108" i="32"/>
  <c r="AF227" i="32"/>
  <c r="AF198" i="32"/>
  <c r="AF99" i="32"/>
  <c r="AF187" i="32"/>
  <c r="AB129" i="32"/>
  <c r="AB65" i="32"/>
  <c r="AN377" i="25"/>
  <c r="AO377" i="25"/>
  <c r="AC377" i="25"/>
  <c r="AP377" i="25"/>
  <c r="AN307" i="25"/>
  <c r="AC307" i="25"/>
  <c r="AO307" i="25"/>
  <c r="AP307" i="25"/>
  <c r="AN483" i="25"/>
  <c r="AC483" i="25"/>
  <c r="AO483" i="25"/>
  <c r="AP483" i="25"/>
  <c r="AB203" i="32"/>
  <c r="AF203" i="32"/>
  <c r="AG120" i="25"/>
  <c r="AC378" i="25"/>
  <c r="AO378" i="25"/>
  <c r="AN378" i="25"/>
  <c r="AP378" i="25"/>
  <c r="AP322" i="25"/>
  <c r="AC322" i="25"/>
  <c r="AO322" i="25"/>
  <c r="AN322" i="25"/>
  <c r="AC441" i="25"/>
  <c r="AO441" i="25"/>
  <c r="AP441" i="25"/>
  <c r="AN441" i="25"/>
  <c r="AF47" i="32"/>
  <c r="AH119" i="32"/>
  <c r="AO119" i="32" s="1"/>
  <c r="AG56" i="25"/>
  <c r="AC493" i="25"/>
  <c r="AO493" i="25"/>
  <c r="AP493" i="25"/>
  <c r="AN493" i="25"/>
  <c r="AF155" i="32"/>
  <c r="AF53" i="32"/>
  <c r="AF129" i="32"/>
  <c r="AG129" i="32" s="1"/>
  <c r="AF127" i="32"/>
  <c r="AF280" i="32"/>
  <c r="AN308" i="25"/>
  <c r="AC308" i="25"/>
  <c r="AO308" i="25"/>
  <c r="AP308" i="25"/>
  <c r="AB128" i="32"/>
  <c r="AN365" i="25"/>
  <c r="AC365" i="25"/>
  <c r="AP365" i="25"/>
  <c r="AO365" i="25"/>
  <c r="AN411" i="25"/>
  <c r="AC411" i="25"/>
  <c r="AO411" i="25"/>
  <c r="AP411" i="25"/>
  <c r="AB43" i="32"/>
  <c r="AY8" i="32" s="1"/>
  <c r="AF78" i="32"/>
  <c r="AF243" i="32"/>
  <c r="AF94" i="32"/>
  <c r="AF87" i="32"/>
  <c r="AB153" i="32"/>
  <c r="AB136" i="32"/>
  <c r="AN400" i="25"/>
  <c r="AC400" i="25"/>
  <c r="AO400" i="25"/>
  <c r="AP400" i="25"/>
  <c r="AH162" i="32"/>
  <c r="AO162" i="32" s="1"/>
  <c r="AG105" i="25"/>
  <c r="AG139" i="25"/>
  <c r="AB89" i="32"/>
  <c r="AP446" i="25"/>
  <c r="AN446" i="25"/>
  <c r="AC446" i="25"/>
  <c r="AO446" i="25"/>
  <c r="AF197" i="32"/>
  <c r="AF166" i="32"/>
  <c r="AF180" i="32"/>
  <c r="AF68" i="32"/>
  <c r="AF92" i="32"/>
  <c r="AF46" i="32"/>
  <c r="AF258" i="32"/>
  <c r="AF72" i="32"/>
  <c r="AF48" i="32"/>
  <c r="AF69" i="32"/>
  <c r="AF67" i="32"/>
  <c r="AC409" i="25"/>
  <c r="AO409" i="25"/>
  <c r="AP409" i="25"/>
  <c r="AN409" i="25"/>
  <c r="AF50" i="32"/>
  <c r="AB238" i="32"/>
  <c r="AG170" i="32"/>
  <c r="AN170" i="32" s="1"/>
  <c r="AF71" i="32"/>
  <c r="AG71" i="32" s="1"/>
  <c r="AF101" i="32"/>
  <c r="AG88" i="32"/>
  <c r="AN88" i="32" s="1"/>
  <c r="AG193" i="32"/>
  <c r="AN193" i="32" s="1"/>
  <c r="BD15" i="32" l="1"/>
  <c r="BE22" i="32"/>
  <c r="BB4" i="32"/>
  <c r="BD5" i="32"/>
  <c r="BJ6" i="32"/>
  <c r="BM9" i="32"/>
  <c r="BB3" i="32"/>
  <c r="BJ9" i="32"/>
  <c r="BL9" i="32"/>
  <c r="AY11" i="32"/>
  <c r="AW11" i="32"/>
  <c r="BF6" i="32"/>
  <c r="AW5" i="32"/>
  <c r="AX11" i="32"/>
  <c r="BB21" i="32"/>
  <c r="BB7" i="32"/>
  <c r="BF8" i="32"/>
  <c r="AX19" i="32"/>
  <c r="BB19" i="32"/>
  <c r="BC11" i="32"/>
  <c r="BF3" i="32"/>
  <c r="BA5" i="32"/>
  <c r="BA3" i="32"/>
  <c r="AX10" i="32"/>
  <c r="AO213" i="32"/>
  <c r="BH6" i="32"/>
  <c r="AX5" i="32"/>
  <c r="BM6" i="32"/>
  <c r="AZ7" i="32"/>
  <c r="BN6" i="32"/>
  <c r="BB16" i="32"/>
  <c r="BL6" i="32"/>
  <c r="AY10" i="32"/>
  <c r="BC6" i="32"/>
  <c r="BD6" i="32"/>
  <c r="BJ11" i="32"/>
  <c r="BF21" i="32"/>
  <c r="AN133" i="32"/>
  <c r="AZ5" i="32"/>
  <c r="AW7" i="32"/>
  <c r="BG22" i="32"/>
  <c r="BJ3" i="32"/>
  <c r="BF16" i="32"/>
  <c r="BI4" i="32"/>
  <c r="BJ5" i="32"/>
  <c r="BA23" i="32"/>
  <c r="BD3" i="32"/>
  <c r="BN9" i="32"/>
  <c r="BD11" i="32"/>
  <c r="AZ3" i="32"/>
  <c r="BE5" i="32"/>
  <c r="BA11" i="32"/>
  <c r="BI9" i="32"/>
  <c r="BK6" i="32"/>
  <c r="BC3" i="32"/>
  <c r="BA7" i="32"/>
  <c r="BC5" i="32"/>
  <c r="BG9" i="32"/>
  <c r="BF9" i="32"/>
  <c r="AN304" i="32"/>
  <c r="AO153" i="32"/>
  <c r="AO117" i="32"/>
  <c r="AN217" i="32"/>
  <c r="AO151" i="32"/>
  <c r="AN136" i="32"/>
  <c r="AO142" i="32"/>
  <c r="AO56" i="25"/>
  <c r="AP56" i="25"/>
  <c r="AN56" i="25"/>
  <c r="AC56" i="25"/>
  <c r="BB15" i="32"/>
  <c r="BI8" i="32"/>
  <c r="AW20" i="32"/>
  <c r="BC22" i="32"/>
  <c r="BD17" i="32"/>
  <c r="BE19" i="32"/>
  <c r="BB22" i="32"/>
  <c r="BG20" i="32"/>
  <c r="BC19" i="32"/>
  <c r="AN32" i="32"/>
  <c r="AC205" i="25"/>
  <c r="AP205" i="25"/>
  <c r="AN205" i="25"/>
  <c r="AO205" i="25"/>
  <c r="AY4" i="32"/>
  <c r="BG11" i="32"/>
  <c r="AX22" i="32"/>
  <c r="AY19" i="32"/>
  <c r="BF5" i="32"/>
  <c r="AW22" i="32"/>
  <c r="BE21" i="32"/>
  <c r="BE16" i="32"/>
  <c r="BH7" i="32"/>
  <c r="AW4" i="32"/>
  <c r="BG19" i="32"/>
  <c r="BK5" i="32"/>
  <c r="BB23" i="32"/>
  <c r="BM10" i="32"/>
  <c r="BD22" i="32"/>
  <c r="BH15" i="32"/>
  <c r="BH4" i="32"/>
  <c r="BA19" i="32"/>
  <c r="BI7" i="32"/>
  <c r="AX15" i="32"/>
  <c r="BK8" i="32"/>
  <c r="BC4" i="32"/>
  <c r="AN194" i="32"/>
  <c r="BG18" i="32"/>
  <c r="BG8" i="32"/>
  <c r="BA17" i="32"/>
  <c r="AX4" i="32"/>
  <c r="BK10" i="32"/>
  <c r="AO183" i="32"/>
  <c r="AY23" i="32"/>
  <c r="BH8" i="32"/>
  <c r="BA10" i="32"/>
  <c r="BH20" i="32"/>
  <c r="AX8" i="32"/>
  <c r="BH17" i="32"/>
  <c r="AX20" i="32"/>
  <c r="BH21" i="32"/>
  <c r="BF15" i="32"/>
  <c r="BJ8" i="32"/>
  <c r="BD20" i="32"/>
  <c r="AN139" i="25"/>
  <c r="AC139" i="25"/>
  <c r="AP139" i="25"/>
  <c r="AO139" i="25"/>
  <c r="AY15" i="32"/>
  <c r="BD8" i="32"/>
  <c r="AZ16" i="32"/>
  <c r="AO242" i="32"/>
  <c r="BI5" i="32"/>
  <c r="BD23" i="32"/>
  <c r="BJ4" i="32"/>
  <c r="BH10" i="32"/>
  <c r="BK11" i="32"/>
  <c r="BA20" i="32"/>
  <c r="AP97" i="25"/>
  <c r="AO97" i="25"/>
  <c r="AC97" i="25"/>
  <c r="AN97" i="25"/>
  <c r="BA8" i="32"/>
  <c r="BE15" i="32"/>
  <c r="AX16" i="32"/>
  <c r="BB10" i="32"/>
  <c r="AV10" i="32" s="1"/>
  <c r="BO10" i="32" s="1"/>
  <c r="BF22" i="32"/>
  <c r="AO126" i="25"/>
  <c r="AP126" i="25"/>
  <c r="AN126" i="25"/>
  <c r="AC126" i="25"/>
  <c r="BI11" i="32"/>
  <c r="BE17" i="32"/>
  <c r="BH19" i="32"/>
  <c r="BN4" i="32"/>
  <c r="AZ18" i="32"/>
  <c r="BM8" i="32"/>
  <c r="BD18" i="32"/>
  <c r="AN91" i="32"/>
  <c r="BF18" i="32"/>
  <c r="BA22" i="32"/>
  <c r="AW23" i="32"/>
  <c r="BD16" i="32"/>
  <c r="BH5" i="32"/>
  <c r="AY18" i="32"/>
  <c r="BA18" i="32"/>
  <c r="BE8" i="32"/>
  <c r="BC7" i="32"/>
  <c r="BG17" i="32"/>
  <c r="BM3" i="32"/>
  <c r="AZ20" i="32"/>
  <c r="BN8" i="32"/>
  <c r="BA21" i="32"/>
  <c r="BB17" i="32"/>
  <c r="BC15" i="32"/>
  <c r="AX23" i="32"/>
  <c r="BE10" i="32"/>
  <c r="C100" i="25"/>
  <c r="C101" i="25" s="1"/>
  <c r="C102" i="25" s="1"/>
  <c r="C103" i="25" s="1"/>
  <c r="C104" i="25" s="1"/>
  <c r="C105" i="25" s="1"/>
  <c r="C106" i="25" s="1"/>
  <c r="C107" i="25" s="1"/>
  <c r="C108" i="25" s="1"/>
  <c r="C109" i="25" s="1"/>
  <c r="F19" i="4"/>
  <c r="AW18" i="32"/>
  <c r="BJ7" i="32"/>
  <c r="AN105" i="25"/>
  <c r="AC105" i="25"/>
  <c r="AP105" i="25"/>
  <c r="AO105" i="25"/>
  <c r="AW19" i="32"/>
  <c r="BD4" i="32"/>
  <c r="BF23" i="32"/>
  <c r="BG4" i="32"/>
  <c r="AZ17" i="32"/>
  <c r="BN7" i="32"/>
  <c r="BM7" i="32"/>
  <c r="BA15" i="32"/>
  <c r="BC17" i="32"/>
  <c r="BL11" i="32"/>
  <c r="AC50" i="25"/>
  <c r="AN50" i="25"/>
  <c r="AO50" i="25"/>
  <c r="AP50" i="25"/>
  <c r="AX17" i="32"/>
  <c r="AN38" i="25"/>
  <c r="AC38" i="25"/>
  <c r="AP38" i="25"/>
  <c r="AO38" i="25"/>
  <c r="BC16" i="32"/>
  <c r="BG16" i="32"/>
  <c r="BG10" i="32"/>
  <c r="AV9" i="32"/>
  <c r="BO9" i="32" s="1"/>
  <c r="BD19" i="32"/>
  <c r="BL7" i="32"/>
  <c r="BB18" i="32"/>
  <c r="K4" i="4"/>
  <c r="M4" i="4"/>
  <c r="N4" i="4"/>
  <c r="L4" i="4"/>
  <c r="J4" i="4"/>
  <c r="AZ10" i="32"/>
  <c r="AZ21" i="32"/>
  <c r="BN5" i="32"/>
  <c r="BC8" i="32"/>
  <c r="P314" i="25"/>
  <c r="Y313" i="25"/>
  <c r="BG3" i="32"/>
  <c r="AW16" i="32"/>
  <c r="AZ22" i="32"/>
  <c r="AX21" i="32"/>
  <c r="AY22" i="32"/>
  <c r="BI3" i="32"/>
  <c r="BE23" i="32"/>
  <c r="BE18" i="32"/>
  <c r="AW8" i="32"/>
  <c r="BE4" i="32"/>
  <c r="BN3" i="32"/>
  <c r="BC10" i="32"/>
  <c r="BC18" i="32"/>
  <c r="AZ19" i="32"/>
  <c r="AN22" i="32"/>
  <c r="BE20" i="32"/>
  <c r="BJ10" i="32"/>
  <c r="BH23" i="32"/>
  <c r="BN10" i="32"/>
  <c r="AY20" i="32"/>
  <c r="BF4" i="32"/>
  <c r="BB20" i="32"/>
  <c r="BD7" i="32"/>
  <c r="AN129" i="32"/>
  <c r="AN71" i="32"/>
  <c r="BH11" i="32"/>
  <c r="AP120" i="25"/>
  <c r="AO120" i="25"/>
  <c r="AC120" i="25"/>
  <c r="AN120" i="25"/>
  <c r="BF19" i="32"/>
  <c r="AW21" i="32"/>
  <c r="BF10" i="32"/>
  <c r="BL4" i="32"/>
  <c r="BE7" i="32"/>
  <c r="AO9" i="25"/>
  <c r="AP9" i="25"/>
  <c r="AN9" i="25"/>
  <c r="AC9" i="25"/>
  <c r="AP40" i="25"/>
  <c r="AO40" i="25"/>
  <c r="AC40" i="25"/>
  <c r="AN40" i="25"/>
  <c r="BH22" i="32"/>
  <c r="BG5" i="32"/>
  <c r="BL8" i="32"/>
  <c r="AZ8" i="32"/>
  <c r="AN173" i="25"/>
  <c r="AO173" i="25"/>
  <c r="AC173" i="25"/>
  <c r="AP173" i="25"/>
  <c r="BH18" i="32"/>
  <c r="BF7" i="32"/>
  <c r="BF11" i="32"/>
  <c r="BF20" i="32"/>
  <c r="BM11" i="32"/>
  <c r="BD21" i="32"/>
  <c r="AC76" i="25"/>
  <c r="AN76" i="25"/>
  <c r="AO76" i="25"/>
  <c r="AP76" i="25"/>
  <c r="BH3" i="32"/>
  <c r="BA16" i="32"/>
  <c r="AN163" i="25"/>
  <c r="AC163" i="25"/>
  <c r="AP163" i="25"/>
  <c r="AO163" i="25"/>
  <c r="AY16" i="32"/>
  <c r="AO206" i="32"/>
  <c r="BG21" i="32"/>
  <c r="AY17" i="32"/>
  <c r="AV17" i="32" s="1"/>
  <c r="BO17" i="32" s="1"/>
  <c r="AW17" i="32"/>
  <c r="AZ15" i="32"/>
  <c r="AC33" i="25"/>
  <c r="AN33" i="25"/>
  <c r="AO33" i="25"/>
  <c r="AP33" i="25"/>
  <c r="BD10" i="32"/>
  <c r="BM4" i="32"/>
  <c r="BF17" i="32"/>
  <c r="BK7" i="32"/>
  <c r="BK3" i="32"/>
  <c r="BI10" i="32"/>
  <c r="BK4" i="32"/>
  <c r="AW15" i="32"/>
  <c r="BA4" i="32"/>
  <c r="BB8" i="32"/>
  <c r="AV8" i="32" s="1"/>
  <c r="BO8" i="32" s="1"/>
  <c r="BC20" i="32"/>
  <c r="BL3" i="32"/>
  <c r="BN11" i="32"/>
  <c r="BG7" i="32"/>
  <c r="AO200" i="32"/>
  <c r="BC23" i="32"/>
  <c r="AZ4" i="32"/>
  <c r="BM5" i="32"/>
  <c r="AZ23" i="32"/>
  <c r="BH16" i="32"/>
  <c r="AX18" i="32"/>
  <c r="BG15" i="32"/>
  <c r="BC21" i="32"/>
  <c r="AC226" i="25"/>
  <c r="AP226" i="25"/>
  <c r="AN226" i="25"/>
  <c r="AO226" i="25"/>
  <c r="AY21" i="32"/>
  <c r="AV21" i="32" s="1"/>
  <c r="BO21" i="32" s="1"/>
  <c r="BL10" i="32"/>
  <c r="BL5" i="32"/>
  <c r="BG23" i="32"/>
  <c r="AV7" i="32" l="1"/>
  <c r="BO7" i="32" s="1"/>
  <c r="AV3" i="32"/>
  <c r="BO3" i="32" s="1"/>
  <c r="AV6" i="32"/>
  <c r="BO6" i="32" s="1"/>
  <c r="AV5" i="32"/>
  <c r="BO5" i="32" s="1"/>
  <c r="N22" i="4"/>
  <c r="AV11" i="32"/>
  <c r="BO11" i="32" s="1"/>
  <c r="M13" i="4"/>
  <c r="N9" i="4"/>
  <c r="M5" i="4"/>
  <c r="K23" i="4"/>
  <c r="K5" i="4"/>
  <c r="M23" i="4"/>
  <c r="J9" i="4"/>
  <c r="N6" i="4"/>
  <c r="N27" i="4"/>
  <c r="N20" i="4"/>
  <c r="J28" i="4"/>
  <c r="K21" i="4"/>
  <c r="K13" i="4"/>
  <c r="M20" i="4"/>
  <c r="J23" i="4"/>
  <c r="K11" i="4"/>
  <c r="L23" i="4"/>
  <c r="N10" i="4"/>
  <c r="K19" i="4"/>
  <c r="L6" i="4"/>
  <c r="M19" i="4"/>
  <c r="M8" i="4"/>
  <c r="M26" i="4"/>
  <c r="K8" i="4"/>
  <c r="K26" i="4"/>
  <c r="AV4" i="32"/>
  <c r="BO4" i="32" s="1"/>
  <c r="BP4" i="32" s="1"/>
  <c r="AV16" i="32"/>
  <c r="BO16" i="32" s="1"/>
  <c r="Y314" i="25"/>
  <c r="P315" i="25"/>
  <c r="M10" i="4"/>
  <c r="L9" i="4"/>
  <c r="N21" i="4"/>
  <c r="M9" i="4"/>
  <c r="K27" i="4"/>
  <c r="K9" i="4"/>
  <c r="M27" i="4"/>
  <c r="K20" i="4"/>
  <c r="K10" i="4"/>
  <c r="M6" i="4"/>
  <c r="M24" i="4"/>
  <c r="K6" i="4"/>
  <c r="K24" i="4"/>
  <c r="J6" i="4"/>
  <c r="L8" i="4"/>
  <c r="N25" i="4"/>
  <c r="J19" i="4"/>
  <c r="J26" i="4"/>
  <c r="N13" i="4"/>
  <c r="M22" i="4"/>
  <c r="L21" i="4"/>
  <c r="N23" i="4"/>
  <c r="J12" i="4"/>
  <c r="J24" i="4"/>
  <c r="M11" i="4"/>
  <c r="AV19" i="32"/>
  <c r="BO19" i="32" s="1"/>
  <c r="AV22" i="32"/>
  <c r="BO22" i="32" s="1"/>
  <c r="L5" i="4"/>
  <c r="L24" i="4"/>
  <c r="N12" i="4"/>
  <c r="N24" i="4"/>
  <c r="L12" i="4"/>
  <c r="L11" i="4"/>
  <c r="M12" i="4"/>
  <c r="K22" i="4"/>
  <c r="L10" i="4"/>
  <c r="M28" i="4"/>
  <c r="J10" i="4"/>
  <c r="K28" i="4"/>
  <c r="N11" i="4"/>
  <c r="N7" i="4"/>
  <c r="L28" i="4"/>
  <c r="M21" i="4"/>
  <c r="N28" i="4"/>
  <c r="J22" i="4"/>
  <c r="J7" i="4"/>
  <c r="L26" i="4"/>
  <c r="N19" i="4"/>
  <c r="N26" i="4"/>
  <c r="L19" i="4"/>
  <c r="AV15" i="32"/>
  <c r="BO15" i="32" s="1"/>
  <c r="AV23" i="32"/>
  <c r="BO23" i="32" s="1"/>
  <c r="AV20" i="32"/>
  <c r="BO20" i="32" s="1"/>
  <c r="J8" i="4"/>
  <c r="N5" i="4"/>
  <c r="J27" i="4"/>
  <c r="J20" i="4"/>
  <c r="L27" i="4"/>
  <c r="L20" i="4"/>
  <c r="J5" i="4"/>
  <c r="L7" i="4"/>
  <c r="J25" i="4"/>
  <c r="L13" i="4"/>
  <c r="L25" i="4"/>
  <c r="J13" i="4"/>
  <c r="J21" i="4"/>
  <c r="J11" i="4"/>
  <c r="M7" i="4"/>
  <c r="K25" i="4"/>
  <c r="K7" i="4"/>
  <c r="M25" i="4"/>
  <c r="K12" i="4"/>
  <c r="N8" i="4"/>
  <c r="L22" i="4"/>
  <c r="C110" i="25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F18" i="4"/>
  <c r="AV18" i="32"/>
  <c r="BO18" i="32" s="1"/>
  <c r="BP18" i="32" s="1"/>
  <c r="BP21" i="32" l="1"/>
  <c r="BP20" i="32"/>
  <c r="BP6" i="32"/>
  <c r="BP23" i="32"/>
  <c r="BQ23" i="32" s="1"/>
  <c r="AS23" i="32" s="1"/>
  <c r="P316" i="25"/>
  <c r="Y315" i="25"/>
  <c r="BP3" i="32"/>
  <c r="BP9" i="32"/>
  <c r="C126" i="25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C155" i="25" s="1"/>
  <c r="C156" i="25" s="1"/>
  <c r="C157" i="25" s="1"/>
  <c r="C158" i="25" s="1"/>
  <c r="C159" i="25" s="1"/>
  <c r="C160" i="25" s="1"/>
  <c r="C161" i="25" s="1"/>
  <c r="C162" i="25" s="1"/>
  <c r="C163" i="25" s="1"/>
  <c r="C164" i="25" s="1"/>
  <c r="C165" i="25" s="1"/>
  <c r="C166" i="25" s="1"/>
  <c r="C167" i="25" s="1"/>
  <c r="C168" i="25" s="1"/>
  <c r="C169" i="25" s="1"/>
  <c r="C170" i="25" s="1"/>
  <c r="C171" i="25" s="1"/>
  <c r="C172" i="25" s="1"/>
  <c r="C173" i="25" s="1"/>
  <c r="C174" i="25" s="1"/>
  <c r="C175" i="25" s="1"/>
  <c r="C176" i="25" s="1"/>
  <c r="C177" i="25" s="1"/>
  <c r="C178" i="25" s="1"/>
  <c r="C179" i="25" s="1"/>
  <c r="C180" i="25" s="1"/>
  <c r="C181" i="25" s="1"/>
  <c r="C182" i="25" s="1"/>
  <c r="C183" i="25" s="1"/>
  <c r="C184" i="25" s="1"/>
  <c r="C185" i="25" s="1"/>
  <c r="C186" i="25" s="1"/>
  <c r="C187" i="25" s="1"/>
  <c r="C188" i="25" s="1"/>
  <c r="C189" i="25" s="1"/>
  <c r="C190" i="25" s="1"/>
  <c r="C191" i="25" s="1"/>
  <c r="C192" i="25" s="1"/>
  <c r="C193" i="25" s="1"/>
  <c r="C194" i="25" s="1"/>
  <c r="C195" i="25" s="1"/>
  <c r="C196" i="25" s="1"/>
  <c r="C197" i="25" s="1"/>
  <c r="C198" i="25" s="1"/>
  <c r="C199" i="25" s="1"/>
  <c r="C200" i="25" s="1"/>
  <c r="C201" i="25" s="1"/>
  <c r="C202" i="25" s="1"/>
  <c r="C203" i="25" s="1"/>
  <c r="C204" i="25" s="1"/>
  <c r="C205" i="25" s="1"/>
  <c r="C206" i="25" s="1"/>
  <c r="C207" i="25" s="1"/>
  <c r="C208" i="25" s="1"/>
  <c r="C209" i="25" s="1"/>
  <c r="C210" i="25" s="1"/>
  <c r="C211" i="25" s="1"/>
  <c r="C212" i="25" s="1"/>
  <c r="C213" i="25" s="1"/>
  <c r="C214" i="25" s="1"/>
  <c r="C215" i="25" s="1"/>
  <c r="C216" i="25" s="1"/>
  <c r="C217" i="25" s="1"/>
  <c r="C218" i="25" s="1"/>
  <c r="C219" i="25" s="1"/>
  <c r="C220" i="25" s="1"/>
  <c r="C221" i="25" s="1"/>
  <c r="C222" i="25" s="1"/>
  <c r="C223" i="25" s="1"/>
  <c r="C224" i="25" s="1"/>
  <c r="C225" i="25" s="1"/>
  <c r="C226" i="25" s="1"/>
  <c r="C227" i="25" s="1"/>
  <c r="C228" i="25" s="1"/>
  <c r="C229" i="25" s="1"/>
  <c r="C230" i="25" s="1"/>
  <c r="C231" i="25" s="1"/>
  <c r="C232" i="25" s="1"/>
  <c r="C233" i="25" s="1"/>
  <c r="C234" i="25" s="1"/>
  <c r="C235" i="25" s="1"/>
  <c r="C236" i="25" s="1"/>
  <c r="C237" i="25" s="1"/>
  <c r="C238" i="25" s="1"/>
  <c r="C239" i="25" s="1"/>
  <c r="C240" i="25" s="1"/>
  <c r="C241" i="25" s="1"/>
  <c r="C242" i="25" s="1"/>
  <c r="F9" i="4"/>
  <c r="BP15" i="32"/>
  <c r="BP22" i="32"/>
  <c r="BQ22" i="32" s="1"/>
  <c r="AS22" i="32" s="1"/>
  <c r="BP11" i="32"/>
  <c r="BQ11" i="32" s="1"/>
  <c r="AS11" i="32" s="1"/>
  <c r="BP17" i="32"/>
  <c r="BQ17" i="32" s="1"/>
  <c r="AS17" i="32" s="1"/>
  <c r="BP8" i="32"/>
  <c r="BP19" i="32"/>
  <c r="BQ19" i="32" s="1"/>
  <c r="AS19" i="32" s="1"/>
  <c r="BP16" i="32"/>
  <c r="BP5" i="32"/>
  <c r="BQ5" i="32" s="1"/>
  <c r="AS5" i="32" s="1"/>
  <c r="BP10" i="32"/>
  <c r="BP7" i="32"/>
  <c r="BQ16" i="32" l="1"/>
  <c r="AS16" i="32" s="1"/>
  <c r="BQ8" i="32"/>
  <c r="AS8" i="32" s="1"/>
  <c r="BQ15" i="32"/>
  <c r="BQ3" i="32"/>
  <c r="BQ4" i="32"/>
  <c r="AS4" i="32" s="1"/>
  <c r="AS15" i="32"/>
  <c r="BQ6" i="32"/>
  <c r="AS6" i="32" s="1"/>
  <c r="C243" i="25"/>
  <c r="C244" i="25" s="1"/>
  <c r="C245" i="25" s="1"/>
  <c r="C246" i="25" s="1"/>
  <c r="C247" i="25" s="1"/>
  <c r="C248" i="25" s="1"/>
  <c r="C249" i="25" s="1"/>
  <c r="C250" i="25" s="1"/>
  <c r="C251" i="25" s="1"/>
  <c r="C252" i="25" s="1"/>
  <c r="C253" i="25" s="1"/>
  <c r="C254" i="25" s="1"/>
  <c r="C255" i="25" s="1"/>
  <c r="C256" i="25" s="1"/>
  <c r="C257" i="25" s="1"/>
  <c r="C258" i="25" s="1"/>
  <c r="C259" i="25" s="1"/>
  <c r="C260" i="25" s="1"/>
  <c r="C261" i="25" s="1"/>
  <c r="C262" i="25" s="1"/>
  <c r="C263" i="25" s="1"/>
  <c r="C264" i="25" s="1"/>
  <c r="C265" i="25" s="1"/>
  <c r="C266" i="25" s="1"/>
  <c r="C267" i="25" s="1"/>
  <c r="C268" i="25" s="1"/>
  <c r="C269" i="25" s="1"/>
  <c r="C270" i="25" s="1"/>
  <c r="C271" i="25" s="1"/>
  <c r="C272" i="25" s="1"/>
  <c r="C273" i="25" s="1"/>
  <c r="C274" i="25" s="1"/>
  <c r="C275" i="25" s="1"/>
  <c r="C276" i="25" s="1"/>
  <c r="C277" i="25" s="1"/>
  <c r="C278" i="25" s="1"/>
  <c r="C279" i="25" s="1"/>
  <c r="C280" i="25" s="1"/>
  <c r="C281" i="25" s="1"/>
  <c r="C282" i="25" s="1"/>
  <c r="C283" i="25" s="1"/>
  <c r="C284" i="25" s="1"/>
  <c r="C285" i="25" s="1"/>
  <c r="C286" i="25" s="1"/>
  <c r="C287" i="25" s="1"/>
  <c r="C288" i="25" s="1"/>
  <c r="C289" i="25" s="1"/>
  <c r="C290" i="25" s="1"/>
  <c r="C291" i="25" s="1"/>
  <c r="C292" i="25" s="1"/>
  <c r="C293" i="25" s="1"/>
  <c r="C294" i="25" s="1"/>
  <c r="C295" i="25" s="1"/>
  <c r="C296" i="25" s="1"/>
  <c r="C297" i="25" s="1"/>
  <c r="C298" i="25" s="1"/>
  <c r="C299" i="25" s="1"/>
  <c r="C300" i="25" s="1"/>
  <c r="C301" i="25" s="1"/>
  <c r="C302" i="25" s="1"/>
  <c r="C303" i="25" s="1"/>
  <c r="C304" i="25" s="1"/>
  <c r="C305" i="25" s="1"/>
  <c r="C306" i="25" s="1"/>
  <c r="C307" i="25" s="1"/>
  <c r="C308" i="25" s="1"/>
  <c r="C309" i="25" s="1"/>
  <c r="C310" i="25" s="1"/>
  <c r="C311" i="25" s="1"/>
  <c r="C312" i="25" s="1"/>
  <c r="C313" i="25" s="1"/>
  <c r="C314" i="25" s="1"/>
  <c r="C315" i="25" s="1"/>
  <c r="C316" i="25" s="1"/>
  <c r="C317" i="25" s="1"/>
  <c r="C318" i="25" s="1"/>
  <c r="C319" i="25" s="1"/>
  <c r="C320" i="25" s="1"/>
  <c r="C321" i="25" s="1"/>
  <c r="C322" i="25" s="1"/>
  <c r="C323" i="25" s="1"/>
  <c r="C324" i="25" s="1"/>
  <c r="C325" i="25" s="1"/>
  <c r="C326" i="25" s="1"/>
  <c r="C327" i="25" s="1"/>
  <c r="C328" i="25" s="1"/>
  <c r="C329" i="25" s="1"/>
  <c r="C330" i="25" s="1"/>
  <c r="C331" i="25" s="1"/>
  <c r="C332" i="25" s="1"/>
  <c r="C333" i="25" s="1"/>
  <c r="C334" i="25" s="1"/>
  <c r="C335" i="25" s="1"/>
  <c r="C336" i="25" s="1"/>
  <c r="C337" i="25" s="1"/>
  <c r="C338" i="25" s="1"/>
  <c r="C339" i="25" s="1"/>
  <c r="C340" i="25" s="1"/>
  <c r="C341" i="25" s="1"/>
  <c r="C342" i="25" s="1"/>
  <c r="C343" i="25" s="1"/>
  <c r="C344" i="25" s="1"/>
  <c r="C345" i="25" s="1"/>
  <c r="C346" i="25" s="1"/>
  <c r="C347" i="25" s="1"/>
  <c r="C348" i="25" s="1"/>
  <c r="C349" i="25" s="1"/>
  <c r="C350" i="25" s="1"/>
  <c r="C351" i="25" s="1"/>
  <c r="C352" i="25" s="1"/>
  <c r="C353" i="25" s="1"/>
  <c r="C354" i="25" s="1"/>
  <c r="C355" i="25" s="1"/>
  <c r="C356" i="25" s="1"/>
  <c r="C357" i="25" s="1"/>
  <c r="C358" i="25" s="1"/>
  <c r="C359" i="25" s="1"/>
  <c r="C360" i="25" s="1"/>
  <c r="C361" i="25" s="1"/>
  <c r="C362" i="25" s="1"/>
  <c r="C363" i="25" s="1"/>
  <c r="C364" i="25" s="1"/>
  <c r="C365" i="25" s="1"/>
  <c r="C366" i="25" s="1"/>
  <c r="C367" i="25" s="1"/>
  <c r="C368" i="25" s="1"/>
  <c r="C369" i="25" s="1"/>
  <c r="C370" i="25" s="1"/>
  <c r="C371" i="25" s="1"/>
  <c r="C372" i="25" s="1"/>
  <c r="C373" i="25" s="1"/>
  <c r="C374" i="25" s="1"/>
  <c r="C375" i="25" s="1"/>
  <c r="C376" i="25" s="1"/>
  <c r="C377" i="25" s="1"/>
  <c r="C378" i="25" s="1"/>
  <c r="C379" i="25" s="1"/>
  <c r="C380" i="25" s="1"/>
  <c r="C381" i="25" s="1"/>
  <c r="C382" i="25" s="1"/>
  <c r="C383" i="25" s="1"/>
  <c r="C384" i="25" s="1"/>
  <c r="C385" i="25" s="1"/>
  <c r="C386" i="25" s="1"/>
  <c r="C387" i="25" s="1"/>
  <c r="C388" i="25" s="1"/>
  <c r="C389" i="25" s="1"/>
  <c r="C390" i="25" s="1"/>
  <c r="C391" i="25" s="1"/>
  <c r="C392" i="25" s="1"/>
  <c r="C393" i="25" s="1"/>
  <c r="C394" i="25" s="1"/>
  <c r="C395" i="25" s="1"/>
  <c r="C396" i="25" s="1"/>
  <c r="C397" i="25" s="1"/>
  <c r="C398" i="25" s="1"/>
  <c r="C399" i="25" s="1"/>
  <c r="C400" i="25" s="1"/>
  <c r="C401" i="25" s="1"/>
  <c r="C402" i="25" s="1"/>
  <c r="C403" i="25" s="1"/>
  <c r="C404" i="25" s="1"/>
  <c r="C405" i="25" s="1"/>
  <c r="C406" i="25" s="1"/>
  <c r="C407" i="25" s="1"/>
  <c r="C408" i="25" s="1"/>
  <c r="C409" i="25" s="1"/>
  <c r="C410" i="25" s="1"/>
  <c r="C411" i="25" s="1"/>
  <c r="C412" i="25" s="1"/>
  <c r="C413" i="25" s="1"/>
  <c r="C414" i="25" s="1"/>
  <c r="C415" i="25" s="1"/>
  <c r="C416" i="25" s="1"/>
  <c r="C417" i="25" s="1"/>
  <c r="C418" i="25" s="1"/>
  <c r="C419" i="25" s="1"/>
  <c r="C420" i="25" s="1"/>
  <c r="C421" i="25" s="1"/>
  <c r="C422" i="25" s="1"/>
  <c r="C423" i="25" s="1"/>
  <c r="C424" i="25" s="1"/>
  <c r="C425" i="25" s="1"/>
  <c r="C426" i="25" s="1"/>
  <c r="C427" i="25" s="1"/>
  <c r="C428" i="25" s="1"/>
  <c r="C429" i="25" s="1"/>
  <c r="C430" i="25" s="1"/>
  <c r="C431" i="25" s="1"/>
  <c r="C432" i="25" s="1"/>
  <c r="C433" i="25" s="1"/>
  <c r="C434" i="25" s="1"/>
  <c r="C435" i="25" s="1"/>
  <c r="C436" i="25" s="1"/>
  <c r="C437" i="25" s="1"/>
  <c r="C438" i="25" s="1"/>
  <c r="C439" i="25" s="1"/>
  <c r="C440" i="25" s="1"/>
  <c r="C441" i="25" s="1"/>
  <c r="C442" i="25" s="1"/>
  <c r="C443" i="25" s="1"/>
  <c r="C444" i="25" s="1"/>
  <c r="C445" i="25" s="1"/>
  <c r="C446" i="25" s="1"/>
  <c r="C447" i="25" s="1"/>
  <c r="C448" i="25" s="1"/>
  <c r="C449" i="25" s="1"/>
  <c r="C450" i="25" s="1"/>
  <c r="C451" i="25" s="1"/>
  <c r="C452" i="25" s="1"/>
  <c r="C453" i="25" s="1"/>
  <c r="C454" i="25" s="1"/>
  <c r="C455" i="25" s="1"/>
  <c r="C456" i="25" s="1"/>
  <c r="C457" i="25" s="1"/>
  <c r="C458" i="25" s="1"/>
  <c r="C459" i="25" s="1"/>
  <c r="C460" i="25" s="1"/>
  <c r="C461" i="25" s="1"/>
  <c r="C462" i="25" s="1"/>
  <c r="C463" i="25" s="1"/>
  <c r="C464" i="25" s="1"/>
  <c r="C465" i="25" s="1"/>
  <c r="C466" i="25" s="1"/>
  <c r="C467" i="25" s="1"/>
  <c r="C468" i="25" s="1"/>
  <c r="C469" i="25" s="1"/>
  <c r="C470" i="25" s="1"/>
  <c r="C471" i="25" s="1"/>
  <c r="C472" i="25" s="1"/>
  <c r="C473" i="25" s="1"/>
  <c r="C474" i="25" s="1"/>
  <c r="C475" i="25" s="1"/>
  <c r="C476" i="25" s="1"/>
  <c r="C477" i="25" s="1"/>
  <c r="C478" i="25" s="1"/>
  <c r="C479" i="25" s="1"/>
  <c r="C480" i="25" s="1"/>
  <c r="C481" i="25" s="1"/>
  <c r="C482" i="25" s="1"/>
  <c r="C483" i="25" s="1"/>
  <c r="C484" i="25" s="1"/>
  <c r="C485" i="25" s="1"/>
  <c r="C486" i="25" s="1"/>
  <c r="C487" i="25" s="1"/>
  <c r="C488" i="25" s="1"/>
  <c r="C489" i="25" s="1"/>
  <c r="C490" i="25" s="1"/>
  <c r="C491" i="25" s="1"/>
  <c r="C492" i="25" s="1"/>
  <c r="C493" i="25" s="1"/>
  <c r="C494" i="25" s="1"/>
  <c r="C495" i="25" s="1"/>
  <c r="C496" i="25" s="1"/>
  <c r="C497" i="25" s="1"/>
  <c r="C498" i="25" s="1"/>
  <c r="C499" i="25" s="1"/>
  <c r="C500" i="25" s="1"/>
  <c r="C501" i="25" s="1"/>
  <c r="C502" i="25" s="1"/>
  <c r="C503" i="25" s="1"/>
  <c r="C504" i="25" s="1"/>
  <c r="F20" i="4"/>
  <c r="Y316" i="25"/>
  <c r="P317" i="25"/>
  <c r="BQ20" i="32"/>
  <c r="AS20" i="32" s="1"/>
  <c r="BQ7" i="32"/>
  <c r="AS7" i="32" s="1"/>
  <c r="BQ10" i="32"/>
  <c r="AS10" i="32" s="1"/>
  <c r="BQ18" i="32"/>
  <c r="AS18" i="32" s="1"/>
  <c r="BQ9" i="32"/>
  <c r="AS9" i="32" s="1"/>
  <c r="BQ21" i="32"/>
  <c r="AS21" i="32" s="1"/>
  <c r="B18" i="32" l="1"/>
  <c r="B21" i="32"/>
  <c r="B22" i="32"/>
  <c r="I22" i="32" s="1"/>
  <c r="B24" i="32"/>
  <c r="B20" i="32"/>
  <c r="B23" i="32"/>
  <c r="B16" i="32"/>
  <c r="B17" i="32"/>
  <c r="P318" i="25"/>
  <c r="Y317" i="25"/>
  <c r="B19" i="32"/>
  <c r="AS3" i="32"/>
  <c r="E22" i="32" s="1"/>
  <c r="B13" i="32"/>
  <c r="B12" i="32"/>
  <c r="B11" i="32"/>
  <c r="B10" i="32"/>
  <c r="B9" i="32"/>
  <c r="B8" i="32"/>
  <c r="B7" i="32"/>
  <c r="B6" i="32"/>
  <c r="B14" i="32"/>
  <c r="N21" i="32" l="1"/>
  <c r="H21" i="32"/>
  <c r="P18" i="32"/>
  <c r="N22" i="32"/>
  <c r="D21" i="32"/>
  <c r="M21" i="32"/>
  <c r="R18" i="32"/>
  <c r="O22" i="32"/>
  <c r="P21" i="32"/>
  <c r="G21" i="32"/>
  <c r="D18" i="32"/>
  <c r="G22" i="32"/>
  <c r="F21" i="32"/>
  <c r="K21" i="32"/>
  <c r="I18" i="32"/>
  <c r="F18" i="32"/>
  <c r="C18" i="32"/>
  <c r="J18" i="32"/>
  <c r="M18" i="32"/>
  <c r="C22" i="32"/>
  <c r="F22" i="32"/>
  <c r="L22" i="32"/>
  <c r="M22" i="32"/>
  <c r="O23" i="32"/>
  <c r="K23" i="32"/>
  <c r="G23" i="32"/>
  <c r="C23" i="32"/>
  <c r="Q23" i="32"/>
  <c r="L23" i="32"/>
  <c r="F23" i="32"/>
  <c r="P23" i="32"/>
  <c r="J23" i="32"/>
  <c r="E23" i="32"/>
  <c r="N23" i="32"/>
  <c r="I23" i="32"/>
  <c r="D23" i="32"/>
  <c r="R23" i="32"/>
  <c r="M23" i="32"/>
  <c r="H23" i="32"/>
  <c r="U7" i="32"/>
  <c r="Q7" i="32"/>
  <c r="M7" i="32"/>
  <c r="I7" i="32"/>
  <c r="E7" i="32"/>
  <c r="X7" i="32"/>
  <c r="T7" i="32"/>
  <c r="P7" i="32"/>
  <c r="L7" i="32"/>
  <c r="H7" i="32"/>
  <c r="D7" i="32"/>
  <c r="W7" i="32"/>
  <c r="S7" i="32"/>
  <c r="O7" i="32"/>
  <c r="K7" i="32"/>
  <c r="G7" i="32"/>
  <c r="C7" i="32"/>
  <c r="R7" i="32"/>
  <c r="N7" i="32"/>
  <c r="J7" i="32"/>
  <c r="V7" i="32"/>
  <c r="F7" i="32"/>
  <c r="O19" i="32"/>
  <c r="K19" i="32"/>
  <c r="G19" i="32"/>
  <c r="C19" i="32"/>
  <c r="N19" i="32"/>
  <c r="I19" i="32"/>
  <c r="D19" i="32"/>
  <c r="R19" i="32"/>
  <c r="M19" i="32"/>
  <c r="H19" i="32"/>
  <c r="Q19" i="32"/>
  <c r="L19" i="32"/>
  <c r="F19" i="32"/>
  <c r="E19" i="32"/>
  <c r="P19" i="32"/>
  <c r="J19" i="32"/>
  <c r="Q16" i="32"/>
  <c r="M16" i="32"/>
  <c r="I16" i="32"/>
  <c r="E16" i="32"/>
  <c r="P16" i="32"/>
  <c r="K16" i="32"/>
  <c r="F16" i="32"/>
  <c r="O16" i="32"/>
  <c r="J16" i="32"/>
  <c r="D16" i="32"/>
  <c r="N16" i="32"/>
  <c r="H16" i="32"/>
  <c r="C16" i="32"/>
  <c r="G16" i="32"/>
  <c r="R16" i="32"/>
  <c r="L16" i="32"/>
  <c r="U8" i="32"/>
  <c r="Q8" i="32"/>
  <c r="M8" i="32"/>
  <c r="I8" i="32"/>
  <c r="E8" i="32"/>
  <c r="X8" i="32"/>
  <c r="T8" i="32"/>
  <c r="P8" i="32"/>
  <c r="L8" i="32"/>
  <c r="H8" i="32"/>
  <c r="D8" i="32"/>
  <c r="W8" i="32"/>
  <c r="S8" i="32"/>
  <c r="O8" i="32"/>
  <c r="K8" i="32"/>
  <c r="G8" i="32"/>
  <c r="C8" i="32"/>
  <c r="V8" i="32"/>
  <c r="F8" i="32"/>
  <c r="R8" i="32"/>
  <c r="N8" i="32"/>
  <c r="J8" i="32"/>
  <c r="U9" i="32"/>
  <c r="Q9" i="32"/>
  <c r="M9" i="32"/>
  <c r="I9" i="32"/>
  <c r="E9" i="32"/>
  <c r="X9" i="32"/>
  <c r="T9" i="32"/>
  <c r="P9" i="32"/>
  <c r="L9" i="32"/>
  <c r="H9" i="32"/>
  <c r="D9" i="32"/>
  <c r="W9" i="32"/>
  <c r="S9" i="32"/>
  <c r="O9" i="32"/>
  <c r="K9" i="32"/>
  <c r="G9" i="32"/>
  <c r="C9" i="32"/>
  <c r="J9" i="32"/>
  <c r="V9" i="32"/>
  <c r="F9" i="32"/>
  <c r="R9" i="32"/>
  <c r="N9" i="32"/>
  <c r="U13" i="32"/>
  <c r="Q13" i="32"/>
  <c r="M13" i="32"/>
  <c r="I13" i="32"/>
  <c r="E13" i="32"/>
  <c r="X13" i="32"/>
  <c r="T13" i="32"/>
  <c r="P13" i="32"/>
  <c r="L13" i="32"/>
  <c r="H13" i="32"/>
  <c r="D13" i="32"/>
  <c r="W13" i="32"/>
  <c r="S13" i="32"/>
  <c r="O13" i="32"/>
  <c r="K13" i="32"/>
  <c r="G13" i="32"/>
  <c r="C13" i="32"/>
  <c r="J13" i="32"/>
  <c r="V13" i="32"/>
  <c r="F13" i="32"/>
  <c r="R13" i="32"/>
  <c r="N13" i="32"/>
  <c r="Y318" i="25"/>
  <c r="P319" i="25"/>
  <c r="E21" i="32"/>
  <c r="L21" i="32"/>
  <c r="R21" i="32"/>
  <c r="O21" i="32"/>
  <c r="G18" i="32"/>
  <c r="H18" i="32"/>
  <c r="O18" i="32"/>
  <c r="Q18" i="32"/>
  <c r="D22" i="32"/>
  <c r="K22" i="32"/>
  <c r="R22" i="32"/>
  <c r="Q22" i="32"/>
  <c r="Q20" i="32"/>
  <c r="M20" i="32"/>
  <c r="I20" i="32"/>
  <c r="E20" i="32"/>
  <c r="N20" i="32"/>
  <c r="H20" i="32"/>
  <c r="C20" i="32"/>
  <c r="R20" i="32"/>
  <c r="L20" i="32"/>
  <c r="G20" i="32"/>
  <c r="P20" i="32"/>
  <c r="K20" i="32"/>
  <c r="F20" i="32"/>
  <c r="D20" i="32"/>
  <c r="O20" i="32"/>
  <c r="J20" i="32"/>
  <c r="U11" i="32"/>
  <c r="Q11" i="32"/>
  <c r="M11" i="32"/>
  <c r="I11" i="32"/>
  <c r="E11" i="32"/>
  <c r="X11" i="32"/>
  <c r="T11" i="32"/>
  <c r="P11" i="32"/>
  <c r="L11" i="32"/>
  <c r="H11" i="32"/>
  <c r="D11" i="32"/>
  <c r="W11" i="32"/>
  <c r="S11" i="32"/>
  <c r="O11" i="32"/>
  <c r="K11" i="32"/>
  <c r="G11" i="32"/>
  <c r="C11" i="32"/>
  <c r="R11" i="32"/>
  <c r="N11" i="32"/>
  <c r="J11" i="32"/>
  <c r="V11" i="32"/>
  <c r="F11" i="32"/>
  <c r="U12" i="32"/>
  <c r="Q12" i="32"/>
  <c r="M12" i="32"/>
  <c r="I12" i="32"/>
  <c r="E12" i="32"/>
  <c r="X12" i="32"/>
  <c r="T12" i="32"/>
  <c r="P12" i="32"/>
  <c r="L12" i="32"/>
  <c r="H12" i="32"/>
  <c r="D12" i="32"/>
  <c r="W12" i="32"/>
  <c r="S12" i="32"/>
  <c r="O12" i="32"/>
  <c r="K12" i="32"/>
  <c r="G12" i="32"/>
  <c r="C12" i="32"/>
  <c r="V12" i="32"/>
  <c r="F12" i="32"/>
  <c r="R12" i="32"/>
  <c r="N12" i="32"/>
  <c r="J12" i="32"/>
  <c r="V14" i="32"/>
  <c r="R14" i="32"/>
  <c r="N14" i="32"/>
  <c r="J14" i="32"/>
  <c r="F14" i="32"/>
  <c r="W14" i="32"/>
  <c r="Q14" i="32"/>
  <c r="L14" i="32"/>
  <c r="G14" i="32"/>
  <c r="U14" i="32"/>
  <c r="P14" i="32"/>
  <c r="K14" i="32"/>
  <c r="E14" i="32"/>
  <c r="T14" i="32"/>
  <c r="O14" i="32"/>
  <c r="I14" i="32"/>
  <c r="D14" i="32"/>
  <c r="S14" i="32"/>
  <c r="M14" i="32"/>
  <c r="H14" i="32"/>
  <c r="X14" i="32"/>
  <c r="C14" i="32"/>
  <c r="U6" i="32"/>
  <c r="Q6" i="32"/>
  <c r="M6" i="32"/>
  <c r="I6" i="32"/>
  <c r="E6" i="32"/>
  <c r="X6" i="32"/>
  <c r="T6" i="32"/>
  <c r="P6" i="32"/>
  <c r="L6" i="32"/>
  <c r="H6" i="32"/>
  <c r="D6" i="32"/>
  <c r="W6" i="32"/>
  <c r="S6" i="32"/>
  <c r="O6" i="32"/>
  <c r="K6" i="32"/>
  <c r="G6" i="32"/>
  <c r="C6" i="32"/>
  <c r="N6" i="32"/>
  <c r="J6" i="32"/>
  <c r="V6" i="32"/>
  <c r="F6" i="32"/>
  <c r="R6" i="32"/>
  <c r="U10" i="32"/>
  <c r="Q10" i="32"/>
  <c r="M10" i="32"/>
  <c r="I10" i="32"/>
  <c r="E10" i="32"/>
  <c r="X10" i="32"/>
  <c r="T10" i="32"/>
  <c r="P10" i="32"/>
  <c r="L10" i="32"/>
  <c r="H10" i="32"/>
  <c r="D10" i="32"/>
  <c r="W10" i="32"/>
  <c r="S10" i="32"/>
  <c r="O10" i="32"/>
  <c r="K10" i="32"/>
  <c r="G10" i="32"/>
  <c r="C10" i="32"/>
  <c r="N10" i="32"/>
  <c r="J10" i="32"/>
  <c r="V10" i="32"/>
  <c r="F10" i="32"/>
  <c r="R10" i="32"/>
  <c r="I21" i="32"/>
  <c r="J21" i="32"/>
  <c r="Q21" i="32"/>
  <c r="C21" i="32"/>
  <c r="K18" i="32"/>
  <c r="L18" i="32"/>
  <c r="N18" i="32"/>
  <c r="E18" i="32"/>
  <c r="H22" i="32"/>
  <c r="J22" i="32"/>
  <c r="P22" i="32"/>
  <c r="O17" i="32"/>
  <c r="K17" i="32"/>
  <c r="G17" i="32"/>
  <c r="C17" i="32"/>
  <c r="P17" i="32"/>
  <c r="J17" i="32"/>
  <c r="E17" i="32"/>
  <c r="N17" i="32"/>
  <c r="I17" i="32"/>
  <c r="D17" i="32"/>
  <c r="R17" i="32"/>
  <c r="M17" i="32"/>
  <c r="H17" i="32"/>
  <c r="F17" i="32"/>
  <c r="Q17" i="32"/>
  <c r="L17" i="32"/>
  <c r="Q24" i="32"/>
  <c r="M24" i="32"/>
  <c r="I24" i="32"/>
  <c r="E24" i="32"/>
  <c r="P24" i="32"/>
  <c r="K24" i="32"/>
  <c r="F24" i="32"/>
  <c r="O24" i="32"/>
  <c r="J24" i="32"/>
  <c r="D24" i="32"/>
  <c r="N24" i="32"/>
  <c r="H24" i="32"/>
  <c r="C24" i="32"/>
  <c r="R24" i="32"/>
  <c r="L24" i="32"/>
  <c r="G24" i="32"/>
  <c r="P320" i="25" l="1"/>
  <c r="Y319" i="25"/>
  <c r="Y320" i="25" l="1"/>
  <c r="P321" i="25"/>
  <c r="P322" i="25" l="1"/>
  <c r="Y321" i="25"/>
  <c r="Y322" i="25" l="1"/>
  <c r="P323" i="25"/>
  <c r="P324" i="25" l="1"/>
  <c r="Y323" i="25"/>
  <c r="Y324" i="25" l="1"/>
  <c r="P325" i="25"/>
  <c r="P326" i="25" l="1"/>
  <c r="Y325" i="25"/>
  <c r="Y326" i="25" l="1"/>
  <c r="P327" i="25"/>
  <c r="P328" i="25" l="1"/>
  <c r="Y327" i="25"/>
  <c r="Y328" i="25" l="1"/>
  <c r="P329" i="25"/>
  <c r="P330" i="25" l="1"/>
  <c r="Y329" i="25"/>
  <c r="Y330" i="25" l="1"/>
  <c r="P331" i="25"/>
  <c r="P332" i="25" l="1"/>
  <c r="Y331" i="25"/>
  <c r="Y332" i="25" l="1"/>
  <c r="P333" i="25"/>
  <c r="P334" i="25" l="1"/>
  <c r="Y333" i="25"/>
  <c r="Y334" i="25" l="1"/>
  <c r="P335" i="25"/>
  <c r="P336" i="25" l="1"/>
  <c r="Y335" i="25"/>
  <c r="Y336" i="25" l="1"/>
  <c r="P337" i="25"/>
  <c r="P338" i="25" l="1"/>
  <c r="Y337" i="25"/>
  <c r="Y338" i="25" l="1"/>
  <c r="P339" i="25"/>
  <c r="P340" i="25" l="1"/>
  <c r="Y339" i="25"/>
  <c r="Y340" i="25" l="1"/>
  <c r="P341" i="25"/>
  <c r="P342" i="25" l="1"/>
  <c r="Y341" i="25"/>
  <c r="Y342" i="25" l="1"/>
  <c r="P343" i="25"/>
  <c r="P344" i="25" l="1"/>
  <c r="Y343" i="25"/>
  <c r="Y344" i="25" l="1"/>
  <c r="P345" i="25"/>
  <c r="P346" i="25" l="1"/>
  <c r="Y345" i="25"/>
  <c r="Y346" i="25" l="1"/>
  <c r="P347" i="25"/>
  <c r="P348" i="25" l="1"/>
  <c r="Y347" i="25"/>
  <c r="Y348" i="25" l="1"/>
  <c r="P349" i="25"/>
  <c r="P350" i="25" l="1"/>
  <c r="Y349" i="25"/>
  <c r="Y350" i="25" l="1"/>
  <c r="P351" i="25"/>
  <c r="P352" i="25" l="1"/>
  <c r="Y351" i="25"/>
  <c r="Y352" i="25" l="1"/>
  <c r="P353" i="25"/>
  <c r="P354" i="25" l="1"/>
  <c r="Y353" i="25"/>
  <c r="Y354" i="25" l="1"/>
  <c r="P355" i="25"/>
  <c r="P356" i="25" l="1"/>
  <c r="Y355" i="25"/>
  <c r="Y356" i="25" l="1"/>
  <c r="P357" i="25"/>
  <c r="P358" i="25" l="1"/>
  <c r="Y357" i="25"/>
  <c r="Y358" i="25" l="1"/>
  <c r="P359" i="25"/>
  <c r="P360" i="25" l="1"/>
  <c r="Y359" i="25"/>
  <c r="Y360" i="25" l="1"/>
  <c r="P361" i="25"/>
  <c r="P362" i="25" l="1"/>
  <c r="Y361" i="25"/>
  <c r="Y362" i="25" l="1"/>
  <c r="P363" i="25"/>
  <c r="P364" i="25" l="1"/>
  <c r="Y363" i="25"/>
  <c r="Y364" i="25" l="1"/>
  <c r="P365" i="25"/>
  <c r="P366" i="25" l="1"/>
  <c r="Y365" i="25"/>
  <c r="Y366" i="25" l="1"/>
  <c r="P367" i="25"/>
  <c r="P368" i="25" l="1"/>
  <c r="Y367" i="25"/>
  <c r="Y368" i="25" l="1"/>
  <c r="P369" i="25"/>
  <c r="P370" i="25" l="1"/>
  <c r="Y369" i="25"/>
  <c r="Y370" i="25" l="1"/>
  <c r="P371" i="25"/>
  <c r="P372" i="25" l="1"/>
  <c r="Y371" i="25"/>
  <c r="Y372" i="25" l="1"/>
  <c r="P373" i="25"/>
  <c r="P374" i="25" l="1"/>
  <c r="Y373" i="25"/>
  <c r="Y374" i="25" l="1"/>
  <c r="P375" i="25"/>
  <c r="P376" i="25" l="1"/>
  <c r="Y375" i="25"/>
  <c r="Y376" i="25" l="1"/>
  <c r="P377" i="25"/>
  <c r="P378" i="25" l="1"/>
  <c r="Y377" i="25"/>
  <c r="Y378" i="25" l="1"/>
  <c r="P379" i="25"/>
  <c r="P380" i="25" l="1"/>
  <c r="Y379" i="25"/>
  <c r="Y380" i="25" l="1"/>
  <c r="P381" i="25"/>
  <c r="P382" i="25" l="1"/>
  <c r="Y381" i="25"/>
  <c r="Y382" i="25" l="1"/>
  <c r="P383" i="25"/>
  <c r="P384" i="25" l="1"/>
  <c r="Y383" i="25"/>
  <c r="Y384" i="25" l="1"/>
  <c r="P385" i="25"/>
  <c r="P386" i="25" l="1"/>
  <c r="Y385" i="25"/>
  <c r="Y386" i="25" l="1"/>
  <c r="P387" i="25"/>
  <c r="P388" i="25" l="1"/>
  <c r="Y387" i="25"/>
  <c r="Y388" i="25" l="1"/>
  <c r="P389" i="25"/>
  <c r="P390" i="25" l="1"/>
  <c r="Y389" i="25"/>
  <c r="Y390" i="25" l="1"/>
  <c r="P391" i="25"/>
  <c r="P392" i="25" l="1"/>
  <c r="Y391" i="25"/>
  <c r="Y392" i="25" l="1"/>
  <c r="P393" i="25"/>
  <c r="P394" i="25" l="1"/>
  <c r="Y393" i="25"/>
  <c r="Y394" i="25" l="1"/>
  <c r="P395" i="25"/>
  <c r="P396" i="25" l="1"/>
  <c r="Y395" i="25"/>
  <c r="Y396" i="25" l="1"/>
  <c r="P397" i="25"/>
  <c r="P398" i="25" l="1"/>
  <c r="Y397" i="25"/>
  <c r="Y398" i="25" l="1"/>
  <c r="P399" i="25"/>
  <c r="P400" i="25" l="1"/>
  <c r="Y399" i="25"/>
  <c r="Y400" i="25" l="1"/>
  <c r="P401" i="25"/>
  <c r="P402" i="25" l="1"/>
  <c r="Y401" i="25"/>
  <c r="Y402" i="25" l="1"/>
  <c r="P403" i="25"/>
  <c r="P404" i="25" l="1"/>
  <c r="Y403" i="25"/>
  <c r="Y404" i="25" l="1"/>
  <c r="P405" i="25"/>
  <c r="P406" i="25" l="1"/>
  <c r="Y405" i="25"/>
  <c r="Y406" i="25" l="1"/>
  <c r="P407" i="25"/>
  <c r="P408" i="25" l="1"/>
  <c r="Y407" i="25"/>
  <c r="Y408" i="25" l="1"/>
  <c r="P409" i="25"/>
  <c r="P410" i="25" l="1"/>
  <c r="Y409" i="25"/>
  <c r="Y410" i="25" l="1"/>
  <c r="P411" i="25"/>
  <c r="P412" i="25" l="1"/>
  <c r="Y411" i="25"/>
  <c r="Y412" i="25" l="1"/>
  <c r="P413" i="25"/>
  <c r="P414" i="25" l="1"/>
  <c r="Y413" i="25"/>
  <c r="Y414" i="25" l="1"/>
  <c r="P415" i="25"/>
  <c r="P416" i="25" l="1"/>
  <c r="Y415" i="25"/>
  <c r="Y416" i="25" l="1"/>
  <c r="P417" i="25"/>
  <c r="P418" i="25" l="1"/>
  <c r="Y417" i="25"/>
  <c r="Y418" i="25" l="1"/>
  <c r="P419" i="25"/>
  <c r="P420" i="25" l="1"/>
  <c r="Y419" i="25"/>
  <c r="Y420" i="25" l="1"/>
  <c r="P421" i="25"/>
  <c r="P422" i="25" l="1"/>
  <c r="Y421" i="25"/>
  <c r="Y422" i="25" l="1"/>
  <c r="P423" i="25"/>
  <c r="P424" i="25" l="1"/>
  <c r="Y423" i="25"/>
  <c r="Y424" i="25" l="1"/>
  <c r="P425" i="25"/>
  <c r="P426" i="25" l="1"/>
  <c r="Y425" i="25"/>
  <c r="Y426" i="25" l="1"/>
  <c r="P427" i="25"/>
  <c r="P428" i="25" l="1"/>
  <c r="Y427" i="25"/>
  <c r="Y428" i="25" l="1"/>
  <c r="P429" i="25"/>
  <c r="P430" i="25" l="1"/>
  <c r="Y429" i="25"/>
  <c r="Y430" i="25" l="1"/>
  <c r="P431" i="25"/>
  <c r="P432" i="25" l="1"/>
  <c r="Y431" i="25"/>
  <c r="Y432" i="25" l="1"/>
  <c r="P433" i="25"/>
  <c r="P434" i="25" l="1"/>
  <c r="Y433" i="25"/>
  <c r="Y434" i="25" l="1"/>
  <c r="P435" i="25"/>
  <c r="P436" i="25" l="1"/>
  <c r="Y435" i="25"/>
  <c r="Y436" i="25" l="1"/>
  <c r="P437" i="25"/>
  <c r="P438" i="25" l="1"/>
  <c r="Y437" i="25"/>
  <c r="Y438" i="25" l="1"/>
  <c r="P439" i="25"/>
  <c r="P440" i="25" l="1"/>
  <c r="Y439" i="25"/>
  <c r="Y440" i="25" l="1"/>
  <c r="P441" i="25"/>
  <c r="P442" i="25" l="1"/>
  <c r="Y441" i="25"/>
  <c r="Y442" i="25" l="1"/>
  <c r="P443" i="25"/>
  <c r="P444" i="25" l="1"/>
  <c r="Y443" i="25"/>
  <c r="Y444" i="25" l="1"/>
  <c r="P445" i="25"/>
  <c r="P446" i="25" l="1"/>
  <c r="Y445" i="25"/>
  <c r="Y446" i="25" l="1"/>
  <c r="P447" i="25"/>
  <c r="P448" i="25" l="1"/>
  <c r="Y447" i="25"/>
  <c r="Y448" i="25" l="1"/>
  <c r="P449" i="25"/>
  <c r="P450" i="25" l="1"/>
  <c r="Y449" i="25"/>
  <c r="Y450" i="25" l="1"/>
  <c r="P451" i="25"/>
  <c r="P452" i="25" l="1"/>
  <c r="Y451" i="25"/>
  <c r="Y452" i="25" l="1"/>
  <c r="P453" i="25"/>
  <c r="P454" i="25" l="1"/>
  <c r="Y453" i="25"/>
  <c r="Y454" i="25" l="1"/>
  <c r="P455" i="25"/>
  <c r="P456" i="25" l="1"/>
  <c r="Y455" i="25"/>
  <c r="Y456" i="25" l="1"/>
  <c r="P457" i="25"/>
  <c r="P458" i="25" l="1"/>
  <c r="Y457" i="25"/>
  <c r="Y458" i="25" l="1"/>
  <c r="P459" i="25"/>
  <c r="P460" i="25" l="1"/>
  <c r="Y459" i="25"/>
  <c r="Y460" i="25" l="1"/>
  <c r="P461" i="25"/>
  <c r="P462" i="25" l="1"/>
  <c r="Y461" i="25"/>
  <c r="Y462" i="25" l="1"/>
  <c r="P463" i="25"/>
  <c r="P464" i="25" l="1"/>
  <c r="Y463" i="25"/>
  <c r="Y464" i="25" l="1"/>
  <c r="P465" i="25"/>
  <c r="P466" i="25" l="1"/>
  <c r="Y465" i="25"/>
  <c r="Y466" i="25" l="1"/>
  <c r="P467" i="25"/>
  <c r="P468" i="25" l="1"/>
  <c r="Y467" i="25"/>
  <c r="Y468" i="25" l="1"/>
  <c r="P469" i="25"/>
  <c r="P470" i="25" l="1"/>
  <c r="Y469" i="25"/>
  <c r="Y470" i="25" l="1"/>
  <c r="P471" i="25"/>
  <c r="P472" i="25" l="1"/>
  <c r="Y471" i="25"/>
  <c r="Y472" i="25" l="1"/>
  <c r="P473" i="25"/>
  <c r="P474" i="25" l="1"/>
  <c r="Y473" i="25"/>
  <c r="Y474" i="25" l="1"/>
  <c r="P475" i="25"/>
  <c r="P476" i="25" l="1"/>
  <c r="Y475" i="25"/>
  <c r="Y476" i="25" l="1"/>
  <c r="P477" i="25"/>
  <c r="P478" i="25" l="1"/>
  <c r="Y477" i="25"/>
  <c r="Y478" i="25" l="1"/>
  <c r="P479" i="25"/>
  <c r="P480" i="25" l="1"/>
  <c r="Y479" i="25"/>
  <c r="Y480" i="25" l="1"/>
  <c r="P481" i="25"/>
  <c r="P482" i="25" l="1"/>
  <c r="Y481" i="25"/>
  <c r="Y482" i="25" l="1"/>
  <c r="P483" i="25"/>
  <c r="P484" i="25" l="1"/>
  <c r="Y483" i="25"/>
  <c r="Y484" i="25" l="1"/>
  <c r="P485" i="25"/>
  <c r="P486" i="25" l="1"/>
  <c r="Y485" i="25"/>
  <c r="Y486" i="25" l="1"/>
  <c r="P487" i="25"/>
  <c r="P488" i="25" l="1"/>
  <c r="Y487" i="25"/>
  <c r="Y488" i="25" l="1"/>
  <c r="P489" i="25"/>
  <c r="P490" i="25" l="1"/>
  <c r="Y489" i="25"/>
  <c r="Y490" i="25" l="1"/>
  <c r="P491" i="25"/>
  <c r="P492" i="25" l="1"/>
  <c r="Y491" i="25"/>
  <c r="Y492" i="25" l="1"/>
  <c r="P493" i="25"/>
  <c r="P494" i="25" l="1"/>
  <c r="Y493" i="25"/>
  <c r="Y494" i="25" l="1"/>
  <c r="P495" i="25"/>
  <c r="P496" i="25" l="1"/>
  <c r="Y495" i="25"/>
  <c r="Y496" i="25" l="1"/>
  <c r="P497" i="25"/>
  <c r="P498" i="25" l="1"/>
  <c r="Y497" i="25"/>
  <c r="Y498" i="25" l="1"/>
  <c r="P499" i="25"/>
  <c r="P500" i="25" l="1"/>
  <c r="Y499" i="25"/>
  <c r="Y500" i="25" l="1"/>
  <c r="P501" i="25"/>
  <c r="P502" i="25" l="1"/>
  <c r="Y501" i="25"/>
  <c r="Y502" i="25" l="1"/>
  <c r="P503" i="25"/>
  <c r="P504" i="25" l="1"/>
  <c r="Y504" i="25" s="1"/>
  <c r="Y503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B19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Martin: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&amp;strFileName&amp;" type="6" refreshedVersion="0" background="1">
    <textPr prompt="0" sourceFile="&amp;strFileName&amp;">
      <textFields>
        <textField/>
      </textFields>
    </textPr>
  </connection>
  <connection id="2" xr16:uid="{00000000-0015-0000-FFFF-FFFF01000000}" name="103947_2018-07-31-22-17-15" type="6" refreshedVersion="5" background="1" saveData="1">
    <textPr prompt="0" codePage="850" sourceFile="C:\Users\Alison Fryatt\Downloads\103947_2018-07-31-22-17-15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103947_2018-08-12-19-51-35-rev" type="6" refreshedVersion="5" background="1" saveData="1">
    <textPr prompt="0" codePage="850" sourceFile="C:\Users\Alison Fryatt\Downloads\103947_2018-08-12-19-51-35-rev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103947_2018-08-18-13-40-24" type="6" refreshedVersion="5" background="1" saveData="1">
    <textPr prompt="0" codePage="850" sourceFile="C:\Users\Alison Fryatt\Downloads\103947_2018-08-18-13-40-24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103947_2018-08-20-13-40-43" type="6" refreshedVersion="5" background="1" saveData="1">
    <textPr prompt="0" codePage="850" sourceFile="C:\Users\Alison Fryatt\Downloads\103947_2018-08-20-13-40-43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103947_2018-08-21-21-42-21" type="6" refreshedVersion="5" background="1" saveData="1">
    <textPr prompt="0" codePage="850" sourceFile="C:\Users\Alison Fryatt\Downloads\103947_2018-08-21-21-42-21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103947_2018-08-22-08-30-55" type="6" refreshedVersion="5" background="1" saveData="1">
    <textPr prompt="0" codePage="850" sourceFile="C:\Users\Alison Fryatt\Downloads\103947_2018-08-22-08-30-55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103947_2018-08-22-17-49-50" type="6" refreshedVersion="5" background="1" saveData="1">
    <textPr prompt="0" codePage="850" sourceFile="C:\Users\Alison Fryatt\Downloads\103947_2018-08-22-17-49-50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103947_2018-08-23-22-11-06" type="6" refreshedVersion="5" background="1" saveData="1">
    <textPr prompt="0" codePage="850" sourceFile="C:\Users\Alison Fryatt\Downloads\103947_2018-08-23-22-11-06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103965_2016-09-23-00-33-17" type="6" refreshedVersion="4" background="1" saveData="1">
    <textPr prompt="0" codePage="850" sourceFile="C:\Users\Jonathan\Pictures\uncle Jim\103965_2016-09-23-00-33-1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103965_2016-09-23-00-33-171" type="6" refreshedVersion="4" background="1" saveData="1">
    <textPr prompt="0" codePage="850" sourceFile="C:\Users\Jonathan\Documents\ELR\103965_2016-09-23-00-33-1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104114_2015-10-10-13-01-46" type="6" refreshedVersion="0" background="1" saveData="1">
    <textPr prompt="0" sourceFile="C:\Users\Martin\Desktop\104114_2015-10-10-13-01-46.csv">
      <textFields>
        <textField/>
      </textFields>
    </textPr>
  </connection>
  <connection id="13" xr16:uid="{00000000-0015-0000-FFFF-FFFF0C000000}" name="104114_2015-10-10-13-01-461" type="6" refreshedVersion="0" background="1" saveData="1">
    <textPr prompt="0" sourceFile="C:\Users\Martin\Desktop\104114_2015-10-10-13-01-46.csv">
      <textFields>
        <textField/>
      </textFields>
    </textPr>
  </connection>
  <connection id="14" xr16:uid="{00000000-0015-0000-FFFF-FFFF0D000000}" name="104114_2015-10-10-13-01-4610" type="6" refreshedVersion="4" deleted="1" background="1" saveData="1">
    <textPr prompt="0" codePage="850" sourceFile="C:\Users\Martin\Desktop\104114_2015-10-10-13-01-46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104114_2015-10-10-13-01-4616" type="6" refreshedVersion="4" deleted="1" background="1" saveData="1">
    <textPr prompt="0" codePage="850" sourceFile="C:\Users\Martin\Desktop\104114_2015-10-10-13-01-46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104114_2015-10-10-13-01-465" type="6" refreshedVersion="4" deleted="1" background="1" saveData="1">
    <textPr prompt="0" codePage="850" sourceFile="C:\Users\Martin\Desktop\104114_2015-10-10-13-01-46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xr16:uid="{00000000-0015-0000-FFFF-FFFF10000000}" name="104114_2015-11-22-22-25-27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xr16:uid="{00000000-0015-0000-FFFF-FFFF11000000}" name="104114_2015-11-22-22-25-271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xr16:uid="{00000000-0015-0000-FFFF-FFFF12000000}" name="104114_2015-11-22-22-25-2710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xr16:uid="{00000000-0015-0000-FFFF-FFFF13000000}" name="104114_2015-11-22-22-25-2711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xr16:uid="{00000000-0015-0000-FFFF-FFFF14000000}" name="104114_2015-11-22-22-25-272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xr16:uid="{00000000-0015-0000-FFFF-FFFF15000000}" name="104114_2015-11-22-22-25-273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xr16:uid="{00000000-0015-0000-FFFF-FFFF16000000}" name="104114_2015-11-22-22-25-274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xr16:uid="{00000000-0015-0000-FFFF-FFFF17000000}" name="104114_2015-11-22-22-25-275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xr16:uid="{00000000-0015-0000-FFFF-FFFF18000000}" name="104114_2015-11-22-22-25-276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xr16:uid="{00000000-0015-0000-FFFF-FFFF19000000}" name="104114_2015-11-22-22-25-277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xr16:uid="{00000000-0015-0000-FFFF-FFFF1A000000}" name="104114_2015-11-22-22-25-278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xr16:uid="{00000000-0015-0000-FFFF-FFFF1B000000}" name="104114_2015-11-22-22-25-279" type="6" refreshedVersion="4" background="1" saveData="1">
    <textPr prompt="0" codePage="850" sourceFile="C:\Users\Martin\Desktop\104114_2015-11-22-22-25-2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xr16:uid="{00000000-0015-0000-FFFF-FFFF1C000000}" name="104114_2015-11-25-20-50-18" type="6" refreshedVersion="4" background="1" saveData="1">
    <textPr prompt="0" codePage="850" sourceFile="C:\Users\Martin\Desktop\104114_2015-11-25-20-50-18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xr16:uid="{00000000-0015-0000-FFFF-FFFF1D000000}" name="104114_2015-12-02-18-04-20" type="6" refreshedVersion="4" background="1" saveData="1">
    <textPr prompt="0" codePage="850" sourceFile="C:\Users\Martin\Desktop\104114_2015-12-02-18-04-20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xr16:uid="{00000000-0015-0000-FFFF-FFFF1E000000}" name="104114_2015-12-02-18-04-201" type="6" refreshedVersion="4" background="1" saveData="1">
    <textPr prompt="0" codePage="850" sourceFile="C:\Users\Martin\Desktop\104114_2015-12-02-18-04-20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xr16:uid="{00000000-0015-0000-FFFF-FFFF1F000000}" name="104114_2015-12-14-13-04-57" type="6" refreshedVersion="5" background="1" saveData="1">
    <textPr prompt="0" codePage="850" sourceFile="C:\Users\Nicola\Documents\Ten Miler\104114_2015-12-14-13-04-5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xr16:uid="{00000000-0015-0000-FFFF-FFFF20000000}" name="104114_2015-12-14-13-11-57" type="6" refreshedVersion="5" background="1" saveData="1">
    <textPr prompt="0" codePage="850" sourceFile="C:\Users\Nicola\Documents\Ilford 10\104114_2015-12-14-13-11-57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xr16:uid="{00000000-0015-0000-FFFF-FFFF21000000}" name="104114_2015-12-21-22-36-55" type="6" refreshedVersion="5" background="1" saveData="1">
    <textPr prompt="0" codePage="850" sourceFile="C:\Users\Nicola\Documents\Ilford 10\104114_2015-12-21-22-36-55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xr16:uid="{00000000-0015-0000-FFFF-FFFF22000000}" name="104114_2015-12-24-19-15-19" type="6" refreshedVersion="4" background="1" saveData="1">
    <textPr prompt="0" codePage="850" sourceFile="C:\Users\Martin\Desktop\104114_2015-12-24-19-15-19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xr16:uid="{00000000-0015-0000-FFFF-FFFF23000000}" name="105015_2016-07-04-17-02-43" type="6" refreshedVersion="5" background="1" saveData="1">
    <textPr prompt="0" codePage="850" sourceFile="C:\Users\Nicola\Documents\Newman Hilly 2016\105015_2016-07-04-17-02-43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xr16:uid="{00000000-0015-0000-FFFF-FFFF24000000}" name="105015_2016-07-08-22-24-40" type="6" refreshedVersion="5" background="1" saveData="1">
    <textPr prompt="0" codePage="850" sourceFile="C:\Users\Nicola\Documents\Newman Hilly 2016\105015_2016-07-08-22-24-40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xr16:uid="{00000000-0015-0000-FFFF-FFFF25000000}" name="105015_2016-07-08-22-24-401" type="6" refreshedVersion="5" background="1" saveData="1">
    <textPr prompt="0" codePage="850" sourceFile="C:\Users\Nicola\Documents\Newman Hilly 2016\105015_2016-07-08-22-24-40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xr16:uid="{00000000-0015-0000-FFFF-FFFF26000000}" name="105015_2016-07-08-22-24-402" type="6" refreshedVersion="5" background="1" saveData="1">
    <textPr prompt="0" codePage="850" sourceFile="C:\Users\Nicola\Documents\Newman Hilly 2016\105015_2016-07-08-22-24-40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xr16:uid="{00000000-0015-0000-FFFF-FFFF27000000}" name="105015_2016-07-09-12-15-42  uploaded" type="6" refreshedVersion="5" background="1" saveData="1">
    <textPr prompt="0" codePage="850" sourceFile="C:\Users\Nicola\Documents\Newman Hilly 2016\105015_2016-07-09-12-15-42  uploaded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xr16:uid="{00000000-0015-0000-FFFF-FFFF28000000}" name="105015_2016-07-11-17-05-29 uploaded" type="6" refreshedVersion="5" background="1" saveData="1">
    <textPr prompt="0" codePage="850" sourceFile="C:\Users\Nicola\Documents\Newman Hilly 2016\105015_2016-07-11-17-05-29 uploaded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xr16:uid="{00000000-0015-0000-FFFF-FFFF29000000}" name="105015_2017-07-09-14-17-05" type="6" refreshedVersion="5" background="1" saveData="1">
    <textPr prompt="0" codePage="850" sourceFile="C:\Users\Owner\Documents\Newman Hilly 2017\105015_2017-07-09-14-17-05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xr16:uid="{00000000-0015-0000-FFFF-FFFF2A000000}" name="Book1" type="6" refreshedVersion="5" background="1" saveData="1">
    <textPr prompt="0" codePage="850" sourceFile="C:\Users\Alison Fryatt\Documents\Alison's files\BRR\BH5K 2018\Book1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xr16:uid="{00000000-0015-0000-FFFF-FFFF2B000000}" name="H90J entries  alphabetical 2018" type="6" refreshedVersion="4" background="1" saveData="1">
    <textPr prompt="0" codePage="850" sourceFile="C:\Users\Martin\Desktop\H90J entries  alphabetical 2018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xr16:uid="{00000000-0015-0000-FFFF-FFFF2C000000}" name="H90J entries  alphabetical 20181" type="6" refreshedVersion="4" background="1" saveData="1">
    <textPr prompt="0" codePage="850" sourceFile="C:\Users\Martin\Desktop\H90J entries  alphabetical 2018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xr16:uid="{00000000-0015-0000-FFFF-FFFF2D000000}" name="H90J entries 2018" type="6" refreshedVersion="4" background="1" saveData="1">
    <textPr prompt="0" codePage="850" sourceFile="C:\Users\Martin\Desktop\H90J entries 2018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xr16:uid="{00000000-0015-0000-FFFF-FFFF2E000000}" name="H90J entries 20181" type="6" refreshedVersion="4" background="1" saveData="1">
    <textPr prompt="0" codePage="850" sourceFile="C:\Users\Martin\Desktop\H90J entries 2018.csv" comma="1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<sst xmlns="http://schemas.openxmlformats.org/spreadsheetml/2006/main" count="20184" uniqueCount="3741">
  <si>
    <t>Pos</t>
  </si>
  <si>
    <t>Age Gp</t>
  </si>
  <si>
    <t>Name</t>
  </si>
  <si>
    <t>Team</t>
  </si>
  <si>
    <t>Time</t>
  </si>
  <si>
    <t>Points</t>
  </si>
  <si>
    <t>No</t>
  </si>
  <si>
    <t>Group</t>
  </si>
  <si>
    <t>Number</t>
  </si>
  <si>
    <t>Check</t>
  </si>
  <si>
    <t>U/A</t>
  </si>
  <si>
    <t>Great Bentley RC</t>
  </si>
  <si>
    <t>East London Runners</t>
  </si>
  <si>
    <t>Tiptree Road Runners</t>
  </si>
  <si>
    <t>Orion Harriers</t>
  </si>
  <si>
    <t>Pitsea RC</t>
  </si>
  <si>
    <t>Male - V40</t>
  </si>
  <si>
    <t>Male - V50</t>
  </si>
  <si>
    <t>Male - V60</t>
  </si>
  <si>
    <t>Female - V35</t>
  </si>
  <si>
    <t>Female - V45</t>
  </si>
  <si>
    <t>Female - V55</t>
  </si>
  <si>
    <t>Sex</t>
  </si>
  <si>
    <t>F</t>
  </si>
  <si>
    <t>M</t>
  </si>
  <si>
    <r>
      <t>Male</t>
    </r>
    <r>
      <rPr>
        <sz val="12"/>
        <rFont val="Garamond"/>
        <family val="1"/>
      </rPr>
      <t xml:space="preserve"> -overall</t>
    </r>
  </si>
  <si>
    <r>
      <t>Female</t>
    </r>
    <r>
      <rPr>
        <sz val="12"/>
        <rFont val="Garamond"/>
        <family val="1"/>
      </rPr>
      <t xml:space="preserve"> -overall</t>
    </r>
  </si>
  <si>
    <t>G Pos</t>
  </si>
  <si>
    <t>Trans</t>
  </si>
  <si>
    <t>OAPos</t>
  </si>
  <si>
    <t>OATrans</t>
  </si>
  <si>
    <t>M,1</t>
  </si>
  <si>
    <t>M,2</t>
  </si>
  <si>
    <t>M,3</t>
  </si>
  <si>
    <t>F,1</t>
  </si>
  <si>
    <t>F,2</t>
  </si>
  <si>
    <t>F,3</t>
  </si>
  <si>
    <t>Age</t>
  </si>
  <si>
    <t>Havering 90 Joggers</t>
  </si>
  <si>
    <t>Billericay Striders</t>
  </si>
  <si>
    <t>St. Albans Striders</t>
  </si>
  <si>
    <t>London Front Runners</t>
  </si>
  <si>
    <t>Gp</t>
  </si>
  <si>
    <t>Barking Road Runners</t>
  </si>
  <si>
    <t>Woodford Green AC</t>
  </si>
  <si>
    <t>Ford Fitness</t>
  </si>
  <si>
    <t>Thrift Green Trotters</t>
  </si>
  <si>
    <t>Springfield Striders</t>
  </si>
  <si>
    <t>City of London Police</t>
  </si>
  <si>
    <t>Purple Patch RC</t>
  </si>
  <si>
    <t>Womens Running Network</t>
  </si>
  <si>
    <t>Benfleet RC</t>
  </si>
  <si>
    <t>Serpentine</t>
  </si>
  <si>
    <t>Walthamstow A.C.</t>
  </si>
  <si>
    <t>Ware Joggers</t>
  </si>
  <si>
    <t>Swanley &amp; District AC</t>
  </si>
  <si>
    <t>Chelmsford A C</t>
  </si>
  <si>
    <t>Stafford Harriers</t>
  </si>
  <si>
    <t>City of Derry AC</t>
  </si>
  <si>
    <t>shelton striders</t>
  </si>
  <si>
    <t>kingston &amp; polytechnic ac</t>
  </si>
  <si>
    <t>Stragglers</t>
  </si>
  <si>
    <t>East London Tri</t>
  </si>
  <si>
    <t>East End Road Runners</t>
  </si>
  <si>
    <t>Valley Striders</t>
  </si>
  <si>
    <t>Basildon AC</t>
  </si>
  <si>
    <t>Bourneville harriers</t>
  </si>
  <si>
    <t>SM</t>
  </si>
  <si>
    <t>Southend AC</t>
  </si>
  <si>
    <t>U18M,1</t>
  </si>
  <si>
    <t>U20M,1</t>
  </si>
  <si>
    <t>U20F,1</t>
  </si>
  <si>
    <t>U18F,1</t>
  </si>
  <si>
    <t>RESM</t>
  </si>
  <si>
    <t>RESF</t>
  </si>
  <si>
    <t>Sex / Team</t>
  </si>
  <si>
    <t>Club PosM/F</t>
  </si>
  <si>
    <t>Run Total</t>
  </si>
  <si>
    <t>Team Pos</t>
  </si>
  <si>
    <t>Male Team</t>
  </si>
  <si>
    <t>To Score</t>
  </si>
  <si>
    <t>Prize winners</t>
  </si>
  <si>
    <t>ScoresM</t>
  </si>
  <si>
    <t>ScoresF</t>
  </si>
  <si>
    <t>Female Team</t>
  </si>
  <si>
    <t>Team Index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</si>
  <si>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</si>
  <si>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</si>
  <si>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</si>
  <si>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</si>
  <si>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</si>
  <si>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</si>
  <si>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</si>
  <si>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</si>
  <si>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</si>
  <si>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</si>
  <si>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</si>
  <si>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</si>
  <si>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</si>
  <si>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</si>
  <si>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</si>
  <si>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</si>
  <si>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</si>
  <si>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</si>
  <si>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</si>
  <si>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</si>
  <si>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TPosM</t>
  </si>
  <si>
    <t>TPosF</t>
  </si>
  <si>
    <t>Ilford AC</t>
  </si>
  <si>
    <t>Harwich Runners</t>
  </si>
  <si>
    <t>Cambuslang Harriers</t>
  </si>
  <si>
    <t>Saffron Striders AC</t>
  </si>
  <si>
    <t>Halstead Road Runners</t>
  </si>
  <si>
    <t>Eastern Vets</t>
  </si>
  <si>
    <t>Colchester Harriers AC</t>
  </si>
  <si>
    <t>Universityt of Essex AC</t>
  </si>
  <si>
    <t>Uttlesford Harriers</t>
  </si>
  <si>
    <t>Bishops Stortford RC</t>
  </si>
  <si>
    <t>Herts Phoenix AC</t>
  </si>
  <si>
    <t>Harlow AC</t>
  </si>
  <si>
    <t>Latton Runners</t>
  </si>
  <si>
    <t>Broxbourne Runners</t>
  </si>
  <si>
    <t>Epping Runners</t>
  </si>
  <si>
    <t>Grange Farm &amp; Dunmow Runners</t>
  </si>
  <si>
    <t>Flitch Green Runners</t>
  </si>
  <si>
    <t>Little Baddow Ridge Runners</t>
  </si>
  <si>
    <t>Essex Police</t>
  </si>
  <si>
    <t>Dengie 100 Runners</t>
  </si>
  <si>
    <t>Tri Sport Epping</t>
  </si>
  <si>
    <t xml:space="preserve">Loughton </t>
  </si>
  <si>
    <t>Castle Point Joggers</t>
  </si>
  <si>
    <t>Mid Essex Casuals</t>
  </si>
  <si>
    <t>Phoenix Striders</t>
  </si>
  <si>
    <t>Horndon Joggers</t>
  </si>
  <si>
    <t>Thurrock Harriers</t>
  </si>
  <si>
    <t>Upminster Joggers</t>
  </si>
  <si>
    <t>Leigh-on-Sea Striders</t>
  </si>
  <si>
    <t>Male U20 no award</t>
  </si>
  <si>
    <t>Male U18 no award</t>
  </si>
  <si>
    <t>Resident Male - no award</t>
  </si>
  <si>
    <t>Female U20 no award</t>
  </si>
  <si>
    <t>Female U18 no award</t>
  </si>
  <si>
    <t>Resident Female - no award</t>
  </si>
  <si>
    <t>Scoring Team</t>
  </si>
  <si>
    <t>Name1</t>
  </si>
  <si>
    <t>Name2</t>
  </si>
  <si>
    <t>Name3</t>
  </si>
  <si>
    <t>Name4</t>
  </si>
  <si>
    <t>Runner 1</t>
  </si>
  <si>
    <t>Runner2</t>
  </si>
  <si>
    <t>Runner 3</t>
  </si>
  <si>
    <t>Runner 4</t>
  </si>
  <si>
    <t>Total</t>
  </si>
  <si>
    <t>Club</t>
  </si>
  <si>
    <t>Eton Manor AC</t>
  </si>
  <si>
    <t>Dagenham 88 Runners</t>
  </si>
  <si>
    <t>SF</t>
  </si>
  <si>
    <t>VF35</t>
  </si>
  <si>
    <t>VF45</t>
  </si>
  <si>
    <t>VF55</t>
  </si>
  <si>
    <t>VM40</t>
  </si>
  <si>
    <t>VM50</t>
  </si>
  <si>
    <t>VM60</t>
  </si>
  <si>
    <t>VM40,1</t>
  </si>
  <si>
    <t>VM50,1</t>
  </si>
  <si>
    <t>VM60,1</t>
  </si>
  <si>
    <t>VF35,1</t>
  </si>
  <si>
    <t>VF45,1</t>
  </si>
  <si>
    <t>VF55,1</t>
  </si>
  <si>
    <t xml:space="preserve"> Race</t>
  </si>
  <si>
    <t>Date</t>
  </si>
  <si>
    <t>Make sure macros are enabled for this workbook</t>
  </si>
  <si>
    <t>Race 6</t>
  </si>
  <si>
    <t>Race 7</t>
  </si>
  <si>
    <t>Fiona Day</t>
  </si>
  <si>
    <t>Patrick Brown</t>
  </si>
  <si>
    <t>Craig Livermore</t>
  </si>
  <si>
    <t>Richard Guest</t>
  </si>
  <si>
    <t>Mark Wyatt</t>
  </si>
  <si>
    <t>Diana Rexhepaj</t>
  </si>
  <si>
    <t>Paul Thompson</t>
  </si>
  <si>
    <t>Maud Hodson</t>
  </si>
  <si>
    <t>Jason Levy</t>
  </si>
  <si>
    <t>Karen Levison</t>
  </si>
  <si>
    <t>Christopher Bull</t>
  </si>
  <si>
    <t>Bernadett Kalmar</t>
  </si>
  <si>
    <t>Shailesh Patel</t>
  </si>
  <si>
    <t>Neil Crisp</t>
  </si>
  <si>
    <t>Jenni Sheehan</t>
  </si>
  <si>
    <t>Alison Fryatt</t>
  </si>
  <si>
    <t>Barry Culling</t>
  </si>
  <si>
    <t>Vicky Cooper</t>
  </si>
  <si>
    <t>Pam Jones</t>
  </si>
  <si>
    <t>Amanda Heslegrave</t>
  </si>
  <si>
    <t>Carol Muir</t>
  </si>
  <si>
    <t>Sukhbindar Jandu</t>
  </si>
  <si>
    <t>Stephen Cheal</t>
  </si>
  <si>
    <t>Spencer Evans</t>
  </si>
  <si>
    <t>Maya Goodwin</t>
  </si>
  <si>
    <t>David Fribbins</t>
  </si>
  <si>
    <t>Christina Clementson</t>
  </si>
  <si>
    <t>Laura Dobie</t>
  </si>
  <si>
    <t>Claire Keech</t>
  </si>
  <si>
    <t>David Evans</t>
  </si>
  <si>
    <t>Tony Galea</t>
  </si>
  <si>
    <t>John Gregory</t>
  </si>
  <si>
    <t>Yvonne Hagan</t>
  </si>
  <si>
    <t>Roger Hagan</t>
  </si>
  <si>
    <t>Roy Hendley</t>
  </si>
  <si>
    <t>Andrew Lutterloch</t>
  </si>
  <si>
    <t>Daniel Noonan</t>
  </si>
  <si>
    <t>Brian Parish</t>
  </si>
  <si>
    <t>Keith Penfold</t>
  </si>
  <si>
    <t>Joanne Reeves</t>
  </si>
  <si>
    <t>Bernard Savage</t>
  </si>
  <si>
    <t>Mark Duncan</t>
  </si>
  <si>
    <t>David Skinner</t>
  </si>
  <si>
    <t>Gemma Slade</t>
  </si>
  <si>
    <t>Brian Slade</t>
  </si>
  <si>
    <t>Chris Thomas</t>
  </si>
  <si>
    <t>Colin Turner</t>
  </si>
  <si>
    <t>Clive Tweedie</t>
  </si>
  <si>
    <t>Hazel Winston</t>
  </si>
  <si>
    <t>Mumbi Keinamma</t>
  </si>
  <si>
    <t>Victoria Bryant</t>
  </si>
  <si>
    <t>Denise Broom</t>
  </si>
  <si>
    <t>David Bacon</t>
  </si>
  <si>
    <t>Peter Brand</t>
  </si>
  <si>
    <t>Julia Galea</t>
  </si>
  <si>
    <t>Breege Nordin</t>
  </si>
  <si>
    <t>Russell Price</t>
  </si>
  <si>
    <t>Paul Hutchins</t>
  </si>
  <si>
    <t>Simon Maley</t>
  </si>
  <si>
    <t>Neil Moses</t>
  </si>
  <si>
    <t>Tony Hyde</t>
  </si>
  <si>
    <t>Fiona Bishop</t>
  </si>
  <si>
    <t>Woking AC</t>
  </si>
  <si>
    <t>Peter Ryan</t>
  </si>
  <si>
    <t>Andrew Gwilliam</t>
  </si>
  <si>
    <t>Dervish Bartlett</t>
  </si>
  <si>
    <t>Theresa Doole</t>
  </si>
  <si>
    <t>Alexander Ward</t>
  </si>
  <si>
    <t>Neil Ansell</t>
  </si>
  <si>
    <t>Brian Graham</t>
  </si>
  <si>
    <t>Ian Pithouse</t>
  </si>
  <si>
    <t>Asad Muzammal</t>
  </si>
  <si>
    <t>David Thurtle</t>
  </si>
  <si>
    <t>David Elsom</t>
  </si>
  <si>
    <t>Patrick Seaman</t>
  </si>
  <si>
    <t>Ruth Ansell</t>
  </si>
  <si>
    <t>Sherry Moran</t>
  </si>
  <si>
    <t>Sarah Bemand</t>
  </si>
  <si>
    <t>Ravindra Akinlawon</t>
  </si>
  <si>
    <t>Sarah Wixey</t>
  </si>
  <si>
    <t>Lucy Johnson</t>
  </si>
  <si>
    <t>Ramesh Pala</t>
  </si>
  <si>
    <t>Shylesh Aravindan</t>
  </si>
  <si>
    <t>Joanna Graham</t>
  </si>
  <si>
    <t>Caroline Moore</t>
  </si>
  <si>
    <t>Doug Mansell</t>
  </si>
  <si>
    <t>Ava Lee</t>
  </si>
  <si>
    <t>Roger Stubbs</t>
  </si>
  <si>
    <t>Katherine Jones</t>
  </si>
  <si>
    <t>Saheb Yousefi</t>
  </si>
  <si>
    <t>Grant Conway</t>
  </si>
  <si>
    <t>Kevin Newell</t>
  </si>
  <si>
    <t>Sue Howson</t>
  </si>
  <si>
    <t>Paul Cates</t>
  </si>
  <si>
    <t>Kieron Chapman</t>
  </si>
  <si>
    <t>Ronald Vialls</t>
  </si>
  <si>
    <t>Colin Jones</t>
  </si>
  <si>
    <t>Paula Bedford</t>
  </si>
  <si>
    <t>James Nichols</t>
  </si>
  <si>
    <t>Krystle Balogun</t>
  </si>
  <si>
    <t>Paul Jackson</t>
  </si>
  <si>
    <t>George Sceats</t>
  </si>
  <si>
    <t>Lisa Naylor</t>
  </si>
  <si>
    <t>Adam Dent</t>
  </si>
  <si>
    <t>Susan Bannocks</t>
  </si>
  <si>
    <t>Sharon Honey</t>
  </si>
  <si>
    <t>Louise Chappell</t>
  </si>
  <si>
    <t>Rahana Islam</t>
  </si>
  <si>
    <t>Nigel Swinburne</t>
  </si>
  <si>
    <t>Ian Cummins</t>
  </si>
  <si>
    <t>Rachel Brittle</t>
  </si>
  <si>
    <t>Dave Daugirda</t>
  </si>
  <si>
    <t>John Stichbury</t>
  </si>
  <si>
    <t>Susan Godfrey</t>
  </si>
  <si>
    <t>Amy Kingston</t>
  </si>
  <si>
    <t>Joanne Kingston</t>
  </si>
  <si>
    <t>Louise Ward</t>
  </si>
  <si>
    <t>Sheetal Dandgey</t>
  </si>
  <si>
    <t>Manjit Bedi</t>
  </si>
  <si>
    <t>Robert Antoine</t>
  </si>
  <si>
    <t>Michael Ball</t>
  </si>
  <si>
    <t>Simon Gill</t>
  </si>
  <si>
    <t>Laura Thomas</t>
  </si>
  <si>
    <t>Fiona Rutland</t>
  </si>
  <si>
    <t>Julie Gillender</t>
  </si>
  <si>
    <t>Nicola Chester</t>
  </si>
  <si>
    <t>Kevin Wotton</t>
  </si>
  <si>
    <t>Robert Sommerville</t>
  </si>
  <si>
    <t>Stephen Philcox</t>
  </si>
  <si>
    <t>David Baldwin</t>
  </si>
  <si>
    <t>Usamah Patel</t>
  </si>
  <si>
    <t>Kieran McKenna</t>
  </si>
  <si>
    <t>Gerry Pells</t>
  </si>
  <si>
    <t>Yuk Ling Lai</t>
  </si>
  <si>
    <t>Charlie Routley</t>
  </si>
  <si>
    <t>James Shillito</t>
  </si>
  <si>
    <t>Melinda Jones</t>
  </si>
  <si>
    <t>Paul Boddey</t>
  </si>
  <si>
    <t>Brian Thomas</t>
  </si>
  <si>
    <t>Joseph Browne</t>
  </si>
  <si>
    <t>Declan Cullen</t>
  </si>
  <si>
    <t>Sophie Edwards</t>
  </si>
  <si>
    <t>Joe Happe</t>
  </si>
  <si>
    <t>Giles Hopkinson</t>
  </si>
  <si>
    <t>Billy Green</t>
  </si>
  <si>
    <t>Stephen Dunn</t>
  </si>
  <si>
    <t>Claire Dugvid</t>
  </si>
  <si>
    <t>Andy Preston</t>
  </si>
  <si>
    <t>James Wilson</t>
  </si>
  <si>
    <t>Robert Woodgate</t>
  </si>
  <si>
    <t>Toni Woodgate</t>
  </si>
  <si>
    <t>Gareth Tucker</t>
  </si>
  <si>
    <t>Mark Dillon</t>
  </si>
  <si>
    <t>Robin Booputh</t>
  </si>
  <si>
    <t>Brian Longman</t>
  </si>
  <si>
    <t>Natalie Longman</t>
  </si>
  <si>
    <t>Aaron Browne</t>
  </si>
  <si>
    <t>Phil Enright</t>
  </si>
  <si>
    <t>Richard Potter</t>
  </si>
  <si>
    <t>Parminder Gill</t>
  </si>
  <si>
    <t>Clare Tyler</t>
  </si>
  <si>
    <t>Thomas Grimes</t>
  </si>
  <si>
    <t>Tom Gardner</t>
  </si>
  <si>
    <t>Rohan Alexander</t>
  </si>
  <si>
    <t>Sylvia Brown</t>
  </si>
  <si>
    <t>Eoin Cogan</t>
  </si>
  <si>
    <t>Peter Hatley</t>
  </si>
  <si>
    <t>Michael Cerny</t>
  </si>
  <si>
    <t>Saved Menu Details</t>
  </si>
  <si>
    <t>Race</t>
  </si>
  <si>
    <t>Host</t>
  </si>
  <si>
    <t>W/Team#</t>
  </si>
  <si>
    <t>M/Team#</t>
  </si>
  <si>
    <t>Team #s</t>
  </si>
  <si>
    <t xml:space="preserve">Name </t>
  </si>
  <si>
    <t xml:space="preserve">Race 2 </t>
  </si>
  <si>
    <t xml:space="preserve">Race 3 </t>
  </si>
  <si>
    <t xml:space="preserve">Race 4 </t>
  </si>
  <si>
    <t xml:space="preserve">Race 5 </t>
  </si>
  <si>
    <t>Martin Page</t>
  </si>
  <si>
    <t>Euan Brown</t>
  </si>
  <si>
    <t>Paul Dennis</t>
  </si>
  <si>
    <t>Claire Parker</t>
  </si>
  <si>
    <t>Kieran Brown</t>
  </si>
  <si>
    <t>Claire Emery</t>
  </si>
  <si>
    <t>Thames Valley Harriers</t>
  </si>
  <si>
    <t>Starting Bib No</t>
  </si>
  <si>
    <t>Name/Bibno switch</t>
  </si>
  <si>
    <t>Braintree &amp; Deistrict AC</t>
  </si>
  <si>
    <t>Ciaran Canavan</t>
  </si>
  <si>
    <t>Mark Boulton</t>
  </si>
  <si>
    <t>Kate Malcolm</t>
  </si>
  <si>
    <t>Andrew Baxter</t>
  </si>
  <si>
    <t>Andy Catton</t>
  </si>
  <si>
    <t>Bradley Brown</t>
  </si>
  <si>
    <t>Jason Crispin</t>
  </si>
  <si>
    <t>Rodney Baldwin</t>
  </si>
  <si>
    <t>Gary Cardnell</t>
  </si>
  <si>
    <t>Manjit Singh</t>
  </si>
  <si>
    <t>Zoe Woodward</t>
  </si>
  <si>
    <t>Tony Lobo</t>
  </si>
  <si>
    <t>Nicola Hopkinson</t>
  </si>
  <si>
    <t>Louise Vacher</t>
  </si>
  <si>
    <t>Jennifer Akroyd</t>
  </si>
  <si>
    <t>Peter Grant</t>
  </si>
  <si>
    <t>Sarah Burns</t>
  </si>
  <si>
    <t>Natalie Traylen</t>
  </si>
  <si>
    <t>Louise Sinon</t>
  </si>
  <si>
    <t>David Wyatt</t>
  </si>
  <si>
    <t>Belgin Durmush</t>
  </si>
  <si>
    <t>Caroline Cummins</t>
  </si>
  <si>
    <t>Jayne Browne</t>
  </si>
  <si>
    <t>Don Bennett</t>
  </si>
  <si>
    <t>Christina Kelekun</t>
  </si>
  <si>
    <t>John Ford</t>
  </si>
  <si>
    <t>Robert Maggio</t>
  </si>
  <si>
    <t>Blair McWhirter</t>
  </si>
  <si>
    <t>Crispian Bloomfield</t>
  </si>
  <si>
    <t>Robert Warner</t>
  </si>
  <si>
    <t>Iain Campbell</t>
  </si>
  <si>
    <t>Alex Bee</t>
  </si>
  <si>
    <t>Paul Grange</t>
  </si>
  <si>
    <t>Nuno Andrade</t>
  </si>
  <si>
    <t>James McLellan</t>
  </si>
  <si>
    <t>Nick Ranklin</t>
  </si>
  <si>
    <t>Robbie Grange</t>
  </si>
  <si>
    <t>Billy Parker-Brown</t>
  </si>
  <si>
    <t>Steven Cornew</t>
  </si>
  <si>
    <t>Bobby Seagull</t>
  </si>
  <si>
    <t>Robert Trevor</t>
  </si>
  <si>
    <t>Richard Flutter</t>
  </si>
  <si>
    <t>Michael Horsey</t>
  </si>
  <si>
    <t>Ian Lambert</t>
  </si>
  <si>
    <t>Russell Abrey</t>
  </si>
  <si>
    <t>Jamie Zucker</t>
  </si>
  <si>
    <t>Alex Haward</t>
  </si>
  <si>
    <t>Gary Mellish</t>
  </si>
  <si>
    <t>Shahib Ali</t>
  </si>
  <si>
    <t>Malcolm Savage</t>
  </si>
  <si>
    <t>Terry Knightley</t>
  </si>
  <si>
    <t>Peter Salmon</t>
  </si>
  <si>
    <t>Andrew Thomas</t>
  </si>
  <si>
    <t>Jeremy Wilkes</t>
  </si>
  <si>
    <t>Hiren Amin</t>
  </si>
  <si>
    <t>James Creed</t>
  </si>
  <si>
    <t>Tom Secretan</t>
  </si>
  <si>
    <t>Sharon Springfield</t>
  </si>
  <si>
    <t>Bob Jousiffe</t>
  </si>
  <si>
    <t>Didier Raffray</t>
  </si>
  <si>
    <t>Paul Eagles</t>
  </si>
  <si>
    <t>Liz Hall</t>
  </si>
  <si>
    <t>Katherine Kimber</t>
  </si>
  <si>
    <t>Stuart Doman</t>
  </si>
  <si>
    <t>Gary Hunt</t>
  </si>
  <si>
    <t>Bernie Dawson</t>
  </si>
  <si>
    <t>Taryne Mcpherson</t>
  </si>
  <si>
    <t>John Grocock</t>
  </si>
  <si>
    <t>David Scourfield</t>
  </si>
  <si>
    <t>Jonathan Wooldridge</t>
  </si>
  <si>
    <t>Natasha Tweedie</t>
  </si>
  <si>
    <t>Rolston Lecointe</t>
  </si>
  <si>
    <t>Mahbub Khan</t>
  </si>
  <si>
    <t>Mary Armitage</t>
  </si>
  <si>
    <t>Frank Brownlie</t>
  </si>
  <si>
    <t>Nick Searle</t>
  </si>
  <si>
    <t>Laura Jenkin</t>
  </si>
  <si>
    <t>Adam Shaikh</t>
  </si>
  <si>
    <t>Celine Homsey</t>
  </si>
  <si>
    <t>Mark Gillam</t>
  </si>
  <si>
    <t>Andy Hiller</t>
  </si>
  <si>
    <t>Saheed Shabbir</t>
  </si>
  <si>
    <t>Geoff Chamberlain</t>
  </si>
  <si>
    <t>Stan Coleman</t>
  </si>
  <si>
    <t>Jon Rands</t>
  </si>
  <si>
    <t>Suzanne Bench</t>
  </si>
  <si>
    <t>Kim Mondesir</t>
  </si>
  <si>
    <t>William Clissold</t>
  </si>
  <si>
    <t>Dennis Sherwood</t>
  </si>
  <si>
    <t>Andrea Waller</t>
  </si>
  <si>
    <t>Peter Spelman</t>
  </si>
  <si>
    <t>Roger Sana</t>
  </si>
  <si>
    <t>Lisa Thorn</t>
  </si>
  <si>
    <t>Gabriel Ellenberg</t>
  </si>
  <si>
    <t>Frances Webster</t>
  </si>
  <si>
    <t>Ian Cooper</t>
  </si>
  <si>
    <t>Wayne Kelly</t>
  </si>
  <si>
    <t>Lyndsey Jones</t>
  </si>
  <si>
    <t>Colin Denwood</t>
  </si>
  <si>
    <t>Alan Woodroof</t>
  </si>
  <si>
    <t>Isabel Oakes</t>
  </si>
  <si>
    <t>Dave Knight</t>
  </si>
  <si>
    <t>Rachel Holmes</t>
  </si>
  <si>
    <t>Claire Adamson</t>
  </si>
  <si>
    <t>Barry Freeman</t>
  </si>
  <si>
    <t>Vicki Groves</t>
  </si>
  <si>
    <t>Anne Harris</t>
  </si>
  <si>
    <t>Stephanie Valentine</t>
  </si>
  <si>
    <t>Jeffrey Clark</t>
  </si>
  <si>
    <t>Baldev Singh</t>
  </si>
  <si>
    <t>Emma Tangye</t>
  </si>
  <si>
    <t>Andrew Barham</t>
  </si>
  <si>
    <t>Jane Stichbury</t>
  </si>
  <si>
    <t>Fen Coles</t>
  </si>
  <si>
    <t>Nichola Fairbairn</t>
  </si>
  <si>
    <t>Ninette Fernandes</t>
  </si>
  <si>
    <t>Monica Secretan</t>
  </si>
  <si>
    <t>Suzanne Castle</t>
  </si>
  <si>
    <t>Carlos Bastidas</t>
  </si>
  <si>
    <t>Richard Ash</t>
  </si>
  <si>
    <t>Graham Barthel</t>
  </si>
  <si>
    <t>Emma Baldwin</t>
  </si>
  <si>
    <t>Ron Barnes</t>
  </si>
  <si>
    <t>Lyndsey Savage</t>
  </si>
  <si>
    <t>Geraldine Kelly</t>
  </si>
  <si>
    <t>Emma Ley</t>
  </si>
  <si>
    <t>Ann Seers</t>
  </si>
  <si>
    <t>Michael Linstead</t>
  </si>
  <si>
    <t>Helen Mackenzie-Cardy</t>
  </si>
  <si>
    <t>Allyson Johnson</t>
  </si>
  <si>
    <t>Janet Campbell</t>
  </si>
  <si>
    <t>Sharon Dooner</t>
  </si>
  <si>
    <t>Maria Bartlett</t>
  </si>
  <si>
    <t>Carol Dooner</t>
  </si>
  <si>
    <t>Arlette Wiggins</t>
  </si>
  <si>
    <t>Collette Dooner</t>
  </si>
  <si>
    <t>Joanne Barker</t>
  </si>
  <si>
    <t>Hazel Dooner</t>
  </si>
  <si>
    <t>Debbie Khaled</t>
  </si>
  <si>
    <t>Dara Khaled</t>
  </si>
  <si>
    <t>Havering Mayesbrook AC</t>
  </si>
  <si>
    <t>Metropolitan Police</t>
  </si>
  <si>
    <t>Unattached</t>
  </si>
  <si>
    <t>Portsmouth Joggers</t>
  </si>
  <si>
    <t>Sikhs In The City</t>
  </si>
  <si>
    <t>Dianne Crisp</t>
  </si>
  <si>
    <t>Christina Watson</t>
  </si>
  <si>
    <t>Julie Creffield</t>
  </si>
  <si>
    <t>Sheila Kennedy</t>
  </si>
  <si>
    <t>Karen Lawlor</t>
  </si>
  <si>
    <t>Tina Nieman Da Costa</t>
  </si>
  <si>
    <t>Laura Owen</t>
  </si>
  <si>
    <t>Natalie Powell</t>
  </si>
  <si>
    <t>Katie Mansfield</t>
  </si>
  <si>
    <t>Timi Selon Veerasamy</t>
  </si>
  <si>
    <t>Lydia Fenny</t>
  </si>
  <si>
    <t>Heather Mclarnon</t>
  </si>
  <si>
    <t>Dini Patel</t>
  </si>
  <si>
    <t>Vanessa Stead-Clyne</t>
  </si>
  <si>
    <t>Sam Rahman</t>
  </si>
  <si>
    <t>Gary Fairbairn</t>
  </si>
  <si>
    <t>Colin Wilkins</t>
  </si>
  <si>
    <t>Kresh Veerasamy</t>
  </si>
  <si>
    <t>Keith Green</t>
  </si>
  <si>
    <t>Colin Douglas</t>
  </si>
  <si>
    <t>Edward Skinner</t>
  </si>
  <si>
    <t>Rob Sargent</t>
  </si>
  <si>
    <t>John Murphy</t>
  </si>
  <si>
    <t>Emmet Fitzgibbon</t>
  </si>
  <si>
    <t>Andy Jenkins</t>
  </si>
  <si>
    <t>Gareth Jones</t>
  </si>
  <si>
    <t>Will Pearce</t>
  </si>
  <si>
    <t>Kamol Saha</t>
  </si>
  <si>
    <t>Dan Slipper</t>
  </si>
  <si>
    <t>Dan Spinks</t>
  </si>
  <si>
    <t>John White</t>
  </si>
  <si>
    <t>David Dixon</t>
  </si>
  <si>
    <t>Richard Heath</t>
  </si>
  <si>
    <t>Sam Veerasamy</t>
  </si>
  <si>
    <t>Doug Adams</t>
  </si>
  <si>
    <t>Malcolm Muir</t>
  </si>
  <si>
    <t>Phil Hudson</t>
  </si>
  <si>
    <t>William Metcalfe</t>
  </si>
  <si>
    <t>Bill Bennett</t>
  </si>
  <si>
    <t>Roger Green</t>
  </si>
  <si>
    <t>Philip Hernon</t>
  </si>
  <si>
    <t>Paul Williams</t>
  </si>
  <si>
    <t>David Cato</t>
  </si>
  <si>
    <t>Grant Corton</t>
  </si>
  <si>
    <t>Bryan Newman</t>
  </si>
  <si>
    <t>Michael Wilson</t>
  </si>
  <si>
    <t>Olivia Sanchez</t>
  </si>
  <si>
    <t>Max Wood</t>
  </si>
  <si>
    <t>Paul Prior</t>
  </si>
  <si>
    <t>Steve Adams</t>
  </si>
  <si>
    <t>Luke Elliott</t>
  </si>
  <si>
    <t>Alan Rugg</t>
  </si>
  <si>
    <t>Claire Wagh</t>
  </si>
  <si>
    <t>Jasmin Nayar</t>
  </si>
  <si>
    <t>Jayan Nayar</t>
  </si>
  <si>
    <t>Clive Stephenson</t>
  </si>
  <si>
    <t>Sonia Silva</t>
  </si>
  <si>
    <t>Liviu Ionita</t>
  </si>
  <si>
    <t>Sacha Ackland</t>
  </si>
  <si>
    <t>Adrian Frost</t>
  </si>
  <si>
    <t>Len Welson</t>
  </si>
  <si>
    <t>Christine Munden</t>
  </si>
  <si>
    <t>Tim Breyer</t>
  </si>
  <si>
    <t>Zoltan Fodor</t>
  </si>
  <si>
    <t>Tim Smith</t>
  </si>
  <si>
    <t>Christopher Reid</t>
  </si>
  <si>
    <t>Brian Kavanagh</t>
  </si>
  <si>
    <t>Pippa Dowswell</t>
  </si>
  <si>
    <t>Jazz Dawswell</t>
  </si>
  <si>
    <t>Russell Peters</t>
  </si>
  <si>
    <t>Cristina Cooper</t>
  </si>
  <si>
    <t>Morgan Francis</t>
  </si>
  <si>
    <t>skyrac</t>
  </si>
  <si>
    <t>u/a</t>
  </si>
  <si>
    <t>Richard Ellis</t>
  </si>
  <si>
    <t>Ella Loc</t>
  </si>
  <si>
    <t>Joel Denning</t>
  </si>
  <si>
    <t>Ahmed Abdulle</t>
  </si>
  <si>
    <t>Alan Murphy</t>
  </si>
  <si>
    <t>Cat</t>
  </si>
  <si>
    <t>Club List</t>
  </si>
  <si>
    <t>Vivienne Eka</t>
  </si>
  <si>
    <t>Nick Papavassiliou</t>
  </si>
  <si>
    <t/>
  </si>
  <si>
    <t>Donatas Tumaitis</t>
  </si>
  <si>
    <t>Neil McGoun</t>
  </si>
  <si>
    <t>Josh Seager</t>
  </si>
  <si>
    <t>Simon Phillips</t>
  </si>
  <si>
    <t>Paul Quinton</t>
  </si>
  <si>
    <t>Alex Gounelas</t>
  </si>
  <si>
    <t>Gareth Marshall</t>
  </si>
  <si>
    <t>David Wilson</t>
  </si>
  <si>
    <t>Qamil Ifusaj</t>
  </si>
  <si>
    <t>Jo Singer</t>
  </si>
  <si>
    <t>Glenn Gosling</t>
  </si>
  <si>
    <t>Chris Steller</t>
  </si>
  <si>
    <t>Phillip Minns</t>
  </si>
  <si>
    <t>Alex Folch</t>
  </si>
  <si>
    <t>Glen Irwin</t>
  </si>
  <si>
    <t>Simon Deville</t>
  </si>
  <si>
    <t>Jose Nunes</t>
  </si>
  <si>
    <t>Antony Leckerman</t>
  </si>
  <si>
    <t>Antony Lawson</t>
  </si>
  <si>
    <t>Gary Bartlett</t>
  </si>
  <si>
    <t>David Thomas</t>
  </si>
  <si>
    <t>Raju Maran</t>
  </si>
  <si>
    <t>Kelly Westfall</t>
  </si>
  <si>
    <t>Lennox Lecointe</t>
  </si>
  <si>
    <t>Danny Coyle</t>
  </si>
  <si>
    <t>Julie Robinson</t>
  </si>
  <si>
    <t>Alan Godbold</t>
  </si>
  <si>
    <t>Helen Cook</t>
  </si>
  <si>
    <t>Johnny Leroux</t>
  </si>
  <si>
    <t>Paul Skerritt</t>
  </si>
  <si>
    <t>George Fernandes</t>
  </si>
  <si>
    <t>Pete Bulaitis</t>
  </si>
  <si>
    <t>Roger Albury</t>
  </si>
  <si>
    <t>Sara O-Garstecka</t>
  </si>
  <si>
    <t>Bisi Imafidon</t>
  </si>
  <si>
    <t>Katrina Anderson</t>
  </si>
  <si>
    <t>Jonathan Navanayagam</t>
  </si>
  <si>
    <t>Felicity Price-Thomas</t>
  </si>
  <si>
    <t>Pathrose Louis</t>
  </si>
  <si>
    <t>Steve Stone</t>
  </si>
  <si>
    <t>Lee Evans</t>
  </si>
  <si>
    <t>Tracey George</t>
  </si>
  <si>
    <t>Oliver Folaranmi</t>
  </si>
  <si>
    <t>Titi Windapo</t>
  </si>
  <si>
    <t>Lennetta Gayle</t>
  </si>
  <si>
    <t>Orla Cooney</t>
  </si>
  <si>
    <t>Julie Cardnell</t>
  </si>
  <si>
    <t>Shirley Green</t>
  </si>
  <si>
    <t>Jane Evans</t>
  </si>
  <si>
    <t>Dudu Ndebele</t>
  </si>
  <si>
    <t>Linda Marsham</t>
  </si>
  <si>
    <t>Claire Hurrell</t>
  </si>
  <si>
    <t>Gemma Mackenzie-Cardy</t>
  </si>
  <si>
    <t>Rebecca Smith</t>
  </si>
  <si>
    <t>Deneise Bramble</t>
  </si>
  <si>
    <t>Ravens City of London</t>
  </si>
  <si>
    <t>London Heathside Runners</t>
  </si>
  <si>
    <t>Victoria Park Harriers</t>
  </si>
  <si>
    <t>unattached</t>
  </si>
  <si>
    <t>Darren Flight</t>
  </si>
  <si>
    <t>Bradley Waghl</t>
  </si>
  <si>
    <t>VPH&amp;THAC</t>
  </si>
  <si>
    <t>Woodford Green</t>
  </si>
  <si>
    <t>Eton Manor</t>
  </si>
  <si>
    <t>Mornington Chasers</t>
  </si>
  <si>
    <t>Unaffiliated</t>
  </si>
  <si>
    <t>Garden City Runners</t>
  </si>
  <si>
    <t>Dulwich Runners</t>
  </si>
  <si>
    <t>South London Harriers</t>
  </si>
  <si>
    <t>Trent Park</t>
  </si>
  <si>
    <t>RG Active</t>
  </si>
  <si>
    <t>Mark Sciberras</t>
  </si>
  <si>
    <t>Duncan Steen</t>
  </si>
  <si>
    <t>Sam Duggan</t>
  </si>
  <si>
    <t>Amadeus Furlong</t>
  </si>
  <si>
    <t>Mila Jordi</t>
  </si>
  <si>
    <t>Fabrizio Sidoli</t>
  </si>
  <si>
    <t>Robert Lay</t>
  </si>
  <si>
    <t>Darren Stettel</t>
  </si>
  <si>
    <t>Andrew Lay</t>
  </si>
  <si>
    <t>Tim Cooke</t>
  </si>
  <si>
    <t>Pritesh Patel</t>
  </si>
  <si>
    <t>Mark Hughes</t>
  </si>
  <si>
    <t>Faye Spooner</t>
  </si>
  <si>
    <t>Sam Parkin</t>
  </si>
  <si>
    <t>Jennifer Towiah</t>
  </si>
  <si>
    <t>Andy Gajbutowicz</t>
  </si>
  <si>
    <t>Marlis Haase</t>
  </si>
  <si>
    <t>Ebolum Mordi</t>
  </si>
  <si>
    <t>Anna Tebelius</t>
  </si>
  <si>
    <t>Nichola Smalley</t>
  </si>
  <si>
    <t>Dennis Spencer-Perkins</t>
  </si>
  <si>
    <t>Graham Tuttle</t>
  </si>
  <si>
    <t>Sam Humphrey</t>
  </si>
  <si>
    <t>Neil Cook</t>
  </si>
  <si>
    <t>Joe Egan</t>
  </si>
  <si>
    <t>Julian Hazeldine</t>
  </si>
  <si>
    <t>Andrew Hutson</t>
  </si>
  <si>
    <t>Dan Gritton</t>
  </si>
  <si>
    <t>Colin Read</t>
  </si>
  <si>
    <t>Neil Swift</t>
  </si>
  <si>
    <t>Gary Bagnall</t>
  </si>
  <si>
    <t>Rupert Rowling</t>
  </si>
  <si>
    <t>George Banbury</t>
  </si>
  <si>
    <t>Stewart Pepper</t>
  </si>
  <si>
    <t>John Lynch</t>
  </si>
  <si>
    <t>Steve Sadler</t>
  </si>
  <si>
    <t>Andrew Holloway</t>
  </si>
  <si>
    <t>Kevin Long</t>
  </si>
  <si>
    <t>John Cope</t>
  </si>
  <si>
    <t>Jason Reeve</t>
  </si>
  <si>
    <t>Fiona Russell</t>
  </si>
  <si>
    <t>Richard Sidlin</t>
  </si>
  <si>
    <t>Rachel Morison</t>
  </si>
  <si>
    <t>George Joseph</t>
  </si>
  <si>
    <t>Robin Baker</t>
  </si>
  <si>
    <t>Nikkii Barnett</t>
  </si>
  <si>
    <t>Roger Berry</t>
  </si>
  <si>
    <t>Terence Curran</t>
  </si>
  <si>
    <t>Agata Slota</t>
  </si>
  <si>
    <t>Camilla Ray</t>
  </si>
  <si>
    <t>Matthew Ladds</t>
  </si>
  <si>
    <t>Catherine Hoffman</t>
  </si>
  <si>
    <t>Joyce Berry</t>
  </si>
  <si>
    <t>Hayley Barron</t>
  </si>
  <si>
    <t>Imke Siegerist</t>
  </si>
  <si>
    <t>Claire Pepper</t>
  </si>
  <si>
    <t>Geoff Lunn</t>
  </si>
  <si>
    <t>Karen Allworthy</t>
  </si>
  <si>
    <t>Andrew Newman</t>
  </si>
  <si>
    <t>Karen Macaulay</t>
  </si>
  <si>
    <t>Melissa O'hare</t>
  </si>
  <si>
    <t>Joe Burton</t>
  </si>
  <si>
    <t>Dermot O'neill</t>
  </si>
  <si>
    <t>David Edwards</t>
  </si>
  <si>
    <t>Oliver Brady</t>
  </si>
  <si>
    <t>Mervyn Gilham</t>
  </si>
  <si>
    <t>Gareth Greene</t>
  </si>
  <si>
    <t>Denis Mole</t>
  </si>
  <si>
    <t>Frank Merrigan</t>
  </si>
  <si>
    <t>Jane Moss</t>
  </si>
  <si>
    <t>Maki Kimura</t>
  </si>
  <si>
    <t>Les Austin</t>
  </si>
  <si>
    <t>Brenda Puech</t>
  </si>
  <si>
    <t>John Barrett</t>
  </si>
  <si>
    <t>Tara Potier</t>
  </si>
  <si>
    <t>Paul Robinson</t>
  </si>
  <si>
    <t>Anna Epishcheva</t>
  </si>
  <si>
    <t>Rich Hepworth</t>
  </si>
  <si>
    <t>Emma Hunt</t>
  </si>
  <si>
    <t>Ruth Atkins</t>
  </si>
  <si>
    <t>Rafaele Lamour</t>
  </si>
  <si>
    <t>Alison Pepper</t>
  </si>
  <si>
    <t>Walter Thurman</t>
  </si>
  <si>
    <t>Abby Thurman</t>
  </si>
  <si>
    <t>Alexander Stewart</t>
  </si>
  <si>
    <t>Laura Stewart</t>
  </si>
  <si>
    <t>Andrea Macqueen</t>
  </si>
  <si>
    <t>Chris Mcgowan</t>
  </si>
  <si>
    <t>Konstantin Babanakov</t>
  </si>
  <si>
    <t>Troy Da costa</t>
  </si>
  <si>
    <t>Jolekha Shasha</t>
  </si>
  <si>
    <t>Kay Holford</t>
  </si>
  <si>
    <t>Joanne McFarlane</t>
  </si>
  <si>
    <t>Sharon Robinson</t>
  </si>
  <si>
    <t>Jane Swanson-Sprent</t>
  </si>
  <si>
    <t>Alison Wells</t>
  </si>
  <si>
    <t>Thomas Beedell</t>
  </si>
  <si>
    <t>Kurtis Swan</t>
  </si>
  <si>
    <t>Paul Hart</t>
  </si>
  <si>
    <t>Dave Cox</t>
  </si>
  <si>
    <t>Hannah Oldroyd</t>
  </si>
  <si>
    <t>Steve Darby</t>
  </si>
  <si>
    <t>Dominique Ballard</t>
  </si>
  <si>
    <t>Sam Jackson</t>
  </si>
  <si>
    <t>James Lowndes</t>
  </si>
  <si>
    <t>Paul Suett</t>
  </si>
  <si>
    <t>Keiron McGill</t>
  </si>
  <si>
    <t>Luke Jackson</t>
  </si>
  <si>
    <t>Luke Prod</t>
  </si>
  <si>
    <t>Neill Collins</t>
  </si>
  <si>
    <t>Marcus Elwes</t>
  </si>
  <si>
    <t>Lisa Webb</t>
  </si>
  <si>
    <t>Chris Scott</t>
  </si>
  <si>
    <t>Iain James Knight</t>
  </si>
  <si>
    <t>Boguslaw Mikolajczyk</t>
  </si>
  <si>
    <t>Gary Randle</t>
  </si>
  <si>
    <t>Tony Collins</t>
  </si>
  <si>
    <t>Jeff Webster</t>
  </si>
  <si>
    <t>Carlton D'Souza</t>
  </si>
  <si>
    <t>Katherine Harris</t>
  </si>
  <si>
    <t>Sara Luck</t>
  </si>
  <si>
    <t>Dean Bates</t>
  </si>
  <si>
    <t>Gary Howard</t>
  </si>
  <si>
    <t>Stuart Bastidas</t>
  </si>
  <si>
    <t>Dan Bouskila</t>
  </si>
  <si>
    <t>Danny White</t>
  </si>
  <si>
    <t>Mick Staines</t>
  </si>
  <si>
    <t>Stephen West</t>
  </si>
  <si>
    <t>Trevor Powell</t>
  </si>
  <si>
    <t>Nigel Zucker</t>
  </si>
  <si>
    <t>Dennis Williams</t>
  </si>
  <si>
    <t>Natalie Crisp</t>
  </si>
  <si>
    <t>Nazia Islam</t>
  </si>
  <si>
    <t>Rebecca Chappell</t>
  </si>
  <si>
    <t>John Lang</t>
  </si>
  <si>
    <t>Teresa Jane Flannigan</t>
  </si>
  <si>
    <t>Peter Flannigan</t>
  </si>
  <si>
    <t>Stephen Easley</t>
  </si>
  <si>
    <t>David Sears</t>
  </si>
  <si>
    <t>Derek Earney</t>
  </si>
  <si>
    <t>Kay Newman</t>
  </si>
  <si>
    <t>Christopher Tilson</t>
  </si>
  <si>
    <t>Ingrid Dias</t>
  </si>
  <si>
    <t>Luiz Bastidas</t>
  </si>
  <si>
    <t>Catrina Evans</t>
  </si>
  <si>
    <t>Peter Cameron</t>
  </si>
  <si>
    <t>Jacqui Elliott</t>
  </si>
  <si>
    <t>Sebastian Bastidas</t>
  </si>
  <si>
    <t>Maria Bastidas</t>
  </si>
  <si>
    <t>Irving Bell</t>
  </si>
  <si>
    <t>Lesley Young</t>
  </si>
  <si>
    <t>East Essex Tri Club</t>
  </si>
  <si>
    <t>Uk Netrunner</t>
  </si>
  <si>
    <t>Barnsley AC</t>
  </si>
  <si>
    <t>Havering AC</t>
  </si>
  <si>
    <t>unaffiliated</t>
  </si>
  <si>
    <t>Bromley Vets</t>
  </si>
  <si>
    <t>Shaftesbury Barnet Harriers</t>
  </si>
  <si>
    <t>Hercules Wimbledon</t>
  </si>
  <si>
    <t>Dulwich Park Runners</t>
  </si>
  <si>
    <t>Sam Browne</t>
  </si>
  <si>
    <t>Simon Wadey</t>
  </si>
  <si>
    <t>James Traylen</t>
  </si>
  <si>
    <t>Hgareth Jones</t>
  </si>
  <si>
    <t>Jeremy Moore</t>
  </si>
  <si>
    <t>Paul Finney</t>
  </si>
  <si>
    <t>Bob Abrey</t>
  </si>
  <si>
    <t>Gary Harford</t>
  </si>
  <si>
    <t>Clare Foreman</t>
  </si>
  <si>
    <t>Katrina Dixon</t>
  </si>
  <si>
    <t>Colin DeSous</t>
  </si>
  <si>
    <t>Samantha Wadey</t>
  </si>
  <si>
    <t>Sophie Denijer</t>
  </si>
  <si>
    <t>Nathan Summerfield</t>
  </si>
  <si>
    <t>Monica Vadher</t>
  </si>
  <si>
    <t>Orlean Douglas</t>
  </si>
  <si>
    <t>Vinodini Patel</t>
  </si>
  <si>
    <t>Maria Young</t>
  </si>
  <si>
    <t>Roger Winston</t>
  </si>
  <si>
    <t>Rosemary Abrey</t>
  </si>
  <si>
    <t>Hannah Bockley</t>
  </si>
  <si>
    <t>Dagenham 88 Runners (Havering)</t>
  </si>
  <si>
    <t xml:space="preserve">Race 1 </t>
  </si>
  <si>
    <t>Martin Clarke</t>
  </si>
  <si>
    <t>Ilford AC &amp; Harwich Runners</t>
  </si>
  <si>
    <t>Overall</t>
  </si>
  <si>
    <t>Num</t>
  </si>
  <si>
    <t>Power of 10</t>
  </si>
  <si>
    <t>f</t>
  </si>
  <si>
    <t>m</t>
  </si>
  <si>
    <t>Alain Cooper</t>
  </si>
  <si>
    <t>Ben Wells</t>
  </si>
  <si>
    <t>Diane Parsons</t>
  </si>
  <si>
    <t>Ken Summerfield</t>
  </si>
  <si>
    <t>Robert Courtier</t>
  </si>
  <si>
    <t>Catherine Campen</t>
  </si>
  <si>
    <t>Charlotte Banks</t>
  </si>
  <si>
    <t>David O'Brien</t>
  </si>
  <si>
    <t>Jane Houston</t>
  </si>
  <si>
    <t>Jayne Kendall</t>
  </si>
  <si>
    <t>John Power</t>
  </si>
  <si>
    <t>Karen Empson</t>
  </si>
  <si>
    <t>Lee Duggan</t>
  </si>
  <si>
    <t>Lorraine Scott</t>
  </si>
  <si>
    <t>Michael Pegnall</t>
  </si>
  <si>
    <t>Paul Pickford</t>
  </si>
  <si>
    <t>Pippa-Anne Ridall</t>
  </si>
  <si>
    <t>Richele Cockley</t>
  </si>
  <si>
    <t>Steve Whitfield</t>
  </si>
  <si>
    <t>Tony Woodgate</t>
  </si>
  <si>
    <t>Alain Mbe</t>
  </si>
  <si>
    <t>Michael Potter</t>
  </si>
  <si>
    <t>Allison Tynan</t>
  </si>
  <si>
    <t>Amma Ukachuku</t>
  </si>
  <si>
    <t>Animesh Rastogi</t>
  </si>
  <si>
    <t>Audrey Hunt</t>
  </si>
  <si>
    <t>Rebecca White</t>
  </si>
  <si>
    <t>Danny Glebocki</t>
  </si>
  <si>
    <t>Elzbieta Loc</t>
  </si>
  <si>
    <t>Gerard Bailey</t>
  </si>
  <si>
    <t>Hugh Barnard</t>
  </si>
  <si>
    <t>John Lofting</t>
  </si>
  <si>
    <t>Katherine Bellinger</t>
  </si>
  <si>
    <t>Kenny Wilson</t>
  </si>
  <si>
    <t>Martin Quinlan</t>
  </si>
  <si>
    <t>Rhoda Sell</t>
  </si>
  <si>
    <t>Sandy Fitzgerald</t>
  </si>
  <si>
    <t>Yanar Alkayat</t>
  </si>
  <si>
    <t>Alex Day</t>
  </si>
  <si>
    <t>Antonio Martin Romero</t>
  </si>
  <si>
    <t>Ashley Faria</t>
  </si>
  <si>
    <t>Bozena Myslinska</t>
  </si>
  <si>
    <t>Daniel Lee</t>
  </si>
  <si>
    <t>Diccon Loy</t>
  </si>
  <si>
    <t>Gemma Foxall</t>
  </si>
  <si>
    <t>Graham Peacock</t>
  </si>
  <si>
    <t>Jamee Gould</t>
  </si>
  <si>
    <t>James Clarke</t>
  </si>
  <si>
    <t>Jennifer Ansell</t>
  </si>
  <si>
    <t>Lucy Jarvis</t>
  </si>
  <si>
    <t>Peter Craik</t>
  </si>
  <si>
    <t>Rebecca Young</t>
  </si>
  <si>
    <t>Roisin Archer</t>
  </si>
  <si>
    <t>Steve Bywater</t>
  </si>
  <si>
    <t>Tim Aylett</t>
  </si>
  <si>
    <t>Simon King</t>
  </si>
  <si>
    <t>Anne Herbert</t>
  </si>
  <si>
    <t>Sally Gillam</t>
  </si>
  <si>
    <t>Andrew Wright</t>
  </si>
  <si>
    <t>Barry Searles</t>
  </si>
  <si>
    <t>Louise Churchill</t>
  </si>
  <si>
    <t>Lucy Burdett</t>
  </si>
  <si>
    <t>Peter Anderson</t>
  </si>
  <si>
    <t>Doris Gaga</t>
  </si>
  <si>
    <t>John Mackenzie</t>
  </si>
  <si>
    <t>Paul Holloway</t>
  </si>
  <si>
    <t>Rachel Halpin</t>
  </si>
  <si>
    <t>Stuart Bennett</t>
  </si>
  <si>
    <t>Craig Horsburgh</t>
  </si>
  <si>
    <t>Victoria Morgan</t>
  </si>
  <si>
    <t>Newham and Essex Beagles AC</t>
  </si>
  <si>
    <t>Havering / Dagenham 88 Runners</t>
  </si>
  <si>
    <t>James Mith</t>
  </si>
  <si>
    <t>Havering AC / Dagenham 88 Runners</t>
  </si>
  <si>
    <t>Stuart Barton</t>
  </si>
  <si>
    <t>Paul Marshall</t>
  </si>
  <si>
    <t>Amita Morse</t>
  </si>
  <si>
    <t>Simon Cottle</t>
  </si>
  <si>
    <t>Sean Flynn</t>
  </si>
  <si>
    <t>Harlow RC</t>
  </si>
  <si>
    <t>Graham McCarthy</t>
  </si>
  <si>
    <t>Janet Bunce</t>
  </si>
  <si>
    <t>Brian Jenkins</t>
  </si>
  <si>
    <t>Kym Hudson</t>
  </si>
  <si>
    <t>Daniel O'Sullivan</t>
  </si>
  <si>
    <t>Rob Pitkethly</t>
  </si>
  <si>
    <t>Bairbre Doyle</t>
  </si>
  <si>
    <t>Mandy Dohren</t>
  </si>
  <si>
    <t>Chris Watkeys</t>
  </si>
  <si>
    <t>Michael Warminger</t>
  </si>
  <si>
    <t>Demis Sousa</t>
  </si>
  <si>
    <t>Inga Hayden-Cooper</t>
  </si>
  <si>
    <t>Michelle Donnelly</t>
  </si>
  <si>
    <t>Gill Hopkins</t>
  </si>
  <si>
    <t>Paul Charters</t>
  </si>
  <si>
    <t>Robert Hammond</t>
  </si>
  <si>
    <t>Rakesh Sandhu</t>
  </si>
  <si>
    <t>Andrew Dongworth</t>
  </si>
  <si>
    <t>Anne Duggan</t>
  </si>
  <si>
    <t>Dagenham 88 runners</t>
  </si>
  <si>
    <t>Beverley Eagles</t>
  </si>
  <si>
    <t>Mary O'Connor</t>
  </si>
  <si>
    <t>Marino Agudelo</t>
  </si>
  <si>
    <t>Nathalie Epo</t>
  </si>
  <si>
    <t>Seth Healey</t>
  </si>
  <si>
    <t>Theresa Healey</t>
  </si>
  <si>
    <t>Shaun DeSena</t>
  </si>
  <si>
    <t>Patrick Farren</t>
  </si>
  <si>
    <t>George Georgiou</t>
  </si>
  <si>
    <t>Iain Mackie</t>
  </si>
  <si>
    <t>Katy Taylor</t>
  </si>
  <si>
    <t>Stephanie Oatridge</t>
  </si>
  <si>
    <t>Heather Majid</t>
  </si>
  <si>
    <t>Paul Manson</t>
  </si>
  <si>
    <t>Sue Unsworth</t>
  </si>
  <si>
    <t>Christine Willis</t>
  </si>
  <si>
    <t>Kevin Flower</t>
  </si>
  <si>
    <t>Matthew Keyworth</t>
  </si>
  <si>
    <t>Lauren Mackie</t>
  </si>
  <si>
    <t>Elizabeth Preston</t>
  </si>
  <si>
    <t>John Rozee</t>
  </si>
  <si>
    <t>Daniel Tudor</t>
  </si>
  <si>
    <t>Guy Wade</t>
  </si>
  <si>
    <t>Steven Wesson</t>
  </si>
  <si>
    <t>John Whan</t>
  </si>
  <si>
    <t>Kim Baxter</t>
  </si>
  <si>
    <t>Natalie Felix</t>
  </si>
  <si>
    <t>Lauri Kytomaa</t>
  </si>
  <si>
    <t>London Fields Triathlon Club</t>
  </si>
  <si>
    <t>Eamon Byrne</t>
  </si>
  <si>
    <t>Paul Bolton</t>
  </si>
  <si>
    <t>Deborah Bumfrey</t>
  </si>
  <si>
    <t>Esther Campbell</t>
  </si>
  <si>
    <t>Stuart Colley</t>
  </si>
  <si>
    <t>Carole Cross</t>
  </si>
  <si>
    <t>Suzanne Cushway</t>
  </si>
  <si>
    <t>George Day</t>
  </si>
  <si>
    <t>John Hanlon</t>
  </si>
  <si>
    <t>Christine Inch</t>
  </si>
  <si>
    <t>Paola Sandrinelli</t>
  </si>
  <si>
    <t>Anna McEwen</t>
  </si>
  <si>
    <t>Hayley Stilwell</t>
  </si>
  <si>
    <t>Maria Chaldize</t>
  </si>
  <si>
    <t>Bernat Gual-Ricart</t>
  </si>
  <si>
    <t>Daniel Mutlow</t>
  </si>
  <si>
    <t>Minna Harrison</t>
  </si>
  <si>
    <t>Calvin Bobin</t>
  </si>
  <si>
    <t>Raymond Booth</t>
  </si>
  <si>
    <t>Patricia Handley</t>
  </si>
  <si>
    <t>John Neighbour</t>
  </si>
  <si>
    <t>Minaxi Patel</t>
  </si>
  <si>
    <t>Mike Ward</t>
  </si>
  <si>
    <t>Frances Wilson</t>
  </si>
  <si>
    <t>Eric Paul</t>
  </si>
  <si>
    <t>Stanley Greening</t>
  </si>
  <si>
    <t>Scott Dryden</t>
  </si>
  <si>
    <t>Laura Morgan</t>
  </si>
  <si>
    <t>Robin McNelis</t>
  </si>
  <si>
    <t>Matt Jessop</t>
  </si>
  <si>
    <t>Gerry Shaw</t>
  </si>
  <si>
    <t>Ruth Rose</t>
  </si>
  <si>
    <t>Gary Homewood</t>
  </si>
  <si>
    <t>Adam Hosfal</t>
  </si>
  <si>
    <t>Andrew Lam</t>
  </si>
  <si>
    <t>Michael Davison</t>
  </si>
  <si>
    <t>Paul Johnson</t>
  </si>
  <si>
    <t>Gill Clarke</t>
  </si>
  <si>
    <t>Paul Stockings</t>
  </si>
  <si>
    <t>Matthew Gasper</t>
  </si>
  <si>
    <t>Ruth Mercer</t>
  </si>
  <si>
    <t>Lloyd Miles</t>
  </si>
  <si>
    <t>Ruth Fontaine</t>
  </si>
  <si>
    <t>Joe Feltham</t>
  </si>
  <si>
    <t>Gemma Duncol</t>
  </si>
  <si>
    <t>Sheila O'Brien</t>
  </si>
  <si>
    <t>Oliver Lynch</t>
  </si>
  <si>
    <t>Fulva Giust</t>
  </si>
  <si>
    <t>David Campbell</t>
  </si>
  <si>
    <t>Stephen Parker</t>
  </si>
  <si>
    <t>Gina Radford</t>
  </si>
  <si>
    <t>Scott McMillan</t>
  </si>
  <si>
    <t>Nancy McCarthy</t>
  </si>
  <si>
    <t>Joseph Botham</t>
  </si>
  <si>
    <t>Samuel McCarthy</t>
  </si>
  <si>
    <t>Tom Simpson</t>
  </si>
  <si>
    <t>Neil Barrett</t>
  </si>
  <si>
    <t>Peter McKerrell</t>
  </si>
  <si>
    <t>Phillip Higgins</t>
  </si>
  <si>
    <t>Wilma Henderson</t>
  </si>
  <si>
    <t>Jane Roche</t>
  </si>
  <si>
    <t>Louise Taylor</t>
  </si>
  <si>
    <t>Lucy Barron</t>
  </si>
  <si>
    <t>Thomas Hardy</t>
  </si>
  <si>
    <t>Dermot Hughes</t>
  </si>
  <si>
    <t>Emma Roebuck</t>
  </si>
  <si>
    <t>John McCormack</t>
  </si>
  <si>
    <t>Paul Banks</t>
  </si>
  <si>
    <t>Martin Hockey</t>
  </si>
  <si>
    <t>Nikki Smith</t>
  </si>
  <si>
    <t>Kathy Stapleton</t>
  </si>
  <si>
    <t>Nick Samson</t>
  </si>
  <si>
    <t>Stuart Adamson</t>
  </si>
  <si>
    <t>Jerry Mahon</t>
  </si>
  <si>
    <t>Fiona Critchley</t>
  </si>
  <si>
    <t>Rita Bewley</t>
  </si>
  <si>
    <t>Naomi Dews</t>
  </si>
  <si>
    <t>Sarah Giles</t>
  </si>
  <si>
    <t>Peter Martin</t>
  </si>
  <si>
    <t>Meredith Floate</t>
  </si>
  <si>
    <t>Robin Sorflaten</t>
  </si>
  <si>
    <t>Vennisa Chowdhury</t>
  </si>
  <si>
    <t>Janice Horslen</t>
  </si>
  <si>
    <t>Regis Martin</t>
  </si>
  <si>
    <t>23 Mile Club</t>
  </si>
  <si>
    <t>We Run</t>
  </si>
  <si>
    <t>Gary Floate</t>
  </si>
  <si>
    <t>Christian Newton</t>
  </si>
  <si>
    <t>Maran Raju</t>
  </si>
  <si>
    <t>Katie Rellis</t>
  </si>
  <si>
    <t>Muhammad Iqbal</t>
  </si>
  <si>
    <t>Christian Turnbull</t>
  </si>
  <si>
    <t>Stephen Low</t>
  </si>
  <si>
    <t>Miia Ben Amara</t>
  </si>
  <si>
    <t>Irene Campen</t>
  </si>
  <si>
    <t>Victoria Charlesworth</t>
  </si>
  <si>
    <t>Morag Campbell</t>
  </si>
  <si>
    <t>Basildon</t>
  </si>
  <si>
    <t>Aaron Williams</t>
  </si>
  <si>
    <t>James Huddart</t>
  </si>
  <si>
    <t>Ernie Forsyth</t>
  </si>
  <si>
    <t>Josy Hughes</t>
  </si>
  <si>
    <t>Alan Wicks</t>
  </si>
  <si>
    <t>Jeff Fenton</t>
  </si>
  <si>
    <t>Eleanor Mole</t>
  </si>
  <si>
    <t>Graham Williams</t>
  </si>
  <si>
    <t>Peter Godbee</t>
  </si>
  <si>
    <t>Derek Wright</t>
  </si>
  <si>
    <t>Victoria Carter</t>
  </si>
  <si>
    <t>JC Maley</t>
  </si>
  <si>
    <t>Wendy Saunders</t>
  </si>
  <si>
    <t>Marina Montanari</t>
  </si>
  <si>
    <t>Brian Lloyd</t>
  </si>
  <si>
    <t>Samuel Ghebreab</t>
  </si>
  <si>
    <t>Lucy Kemish</t>
  </si>
  <si>
    <t>Richard Gunner</t>
  </si>
  <si>
    <t>Alan Moran</t>
  </si>
  <si>
    <t>Lauren Aston</t>
  </si>
  <si>
    <t>Andy Bolderstone</t>
  </si>
  <si>
    <t>Gary Joy</t>
  </si>
  <si>
    <t>Stuart Kelly</t>
  </si>
  <si>
    <t>Tina Randall</t>
  </si>
  <si>
    <t>Karen Shah</t>
  </si>
  <si>
    <t>Martin Mason</t>
  </si>
  <si>
    <t>Trevor Jason</t>
  </si>
  <si>
    <t>Will Schwer</t>
  </si>
  <si>
    <t>Felixstowe</t>
  </si>
  <si>
    <t>John McGowan</t>
  </si>
  <si>
    <t>Sandra Corbyn</t>
  </si>
  <si>
    <t>Lauren Johnson</t>
  </si>
  <si>
    <t>Philip Ellul</t>
  </si>
  <si>
    <t>Pauline Tester</t>
  </si>
  <si>
    <t>Emma Wing</t>
  </si>
  <si>
    <t>Kate Williamson</t>
  </si>
  <si>
    <t>Jane Wren</t>
  </si>
  <si>
    <t>David Gridley</t>
  </si>
  <si>
    <t>James Blogg</t>
  </si>
  <si>
    <t>Paul Withyman</t>
  </si>
  <si>
    <t>Chesterfield Hector</t>
  </si>
  <si>
    <t>Anne Wright</t>
  </si>
  <si>
    <t>Diarmuid Mac Donnell</t>
  </si>
  <si>
    <t>Robert Newton</t>
  </si>
  <si>
    <t>Debbie Ennis</t>
  </si>
  <si>
    <t>Andy Lambeth</t>
  </si>
  <si>
    <t>Lisa Gaskin</t>
  </si>
  <si>
    <t>Clive Burrow</t>
  </si>
  <si>
    <t>Matthew Bland</t>
  </si>
  <si>
    <t>Maria Barrera</t>
  </si>
  <si>
    <t>Amin Koikai</t>
  </si>
  <si>
    <t>Zuzana Sinalova</t>
  </si>
  <si>
    <t>Barton and District AC</t>
  </si>
  <si>
    <t>Lara Harradine</t>
  </si>
  <si>
    <t>Barbara Dandy</t>
  </si>
  <si>
    <t>Natalie Joyce</t>
  </si>
  <si>
    <t>Abdi Berleen</t>
  </si>
  <si>
    <t>Emily Neilan</t>
  </si>
  <si>
    <t>Serpentine Running Club</t>
  </si>
  <si>
    <t>Shantelle Keech</t>
  </si>
  <si>
    <t>Michelle French</t>
  </si>
  <si>
    <t>Sheila Sinclair</t>
  </si>
  <si>
    <t>Hayley Pegg</t>
  </si>
  <si>
    <t>Chris Groves</t>
  </si>
  <si>
    <t>Gavin Haynes</t>
  </si>
  <si>
    <t>Janice Murphy</t>
  </si>
  <si>
    <t>George Hanmore</t>
  </si>
  <si>
    <t>Kieran Hayles</t>
  </si>
  <si>
    <t>Sudbury Joggers</t>
  </si>
  <si>
    <t>Kate Hipwell</t>
  </si>
  <si>
    <t>Darren Barfield</t>
  </si>
  <si>
    <t>Debbie Cattermole</t>
  </si>
  <si>
    <t>Viorel Mih</t>
  </si>
  <si>
    <t>Leigh Moring</t>
  </si>
  <si>
    <t>Katie Grove</t>
  </si>
  <si>
    <t>Trevor Cooper</t>
  </si>
  <si>
    <t>James Rutherford</t>
  </si>
  <si>
    <t>Katie Williamson</t>
  </si>
  <si>
    <t>Lucy Spencer</t>
  </si>
  <si>
    <t>Rosina Salmon</t>
  </si>
  <si>
    <t>Colin St.Helien</t>
  </si>
  <si>
    <t>Andrew Biddle</t>
  </si>
  <si>
    <t>Richard Matthews</t>
  </si>
  <si>
    <t>Brad Morland</t>
  </si>
  <si>
    <t>David Godfrey</t>
  </si>
  <si>
    <t>Peter Watson</t>
  </si>
  <si>
    <t>Sarah Norton</t>
  </si>
  <si>
    <t>Dan Meredith</t>
  </si>
  <si>
    <t>Nick Shasha</t>
  </si>
  <si>
    <t>David Shortridge</t>
  </si>
  <si>
    <t>Joyce Golder</t>
  </si>
  <si>
    <t>Laura Kelly</t>
  </si>
  <si>
    <t>Sandra Dobie</t>
  </si>
  <si>
    <t>Amy Wakerley</t>
  </si>
  <si>
    <t>Zoe Allnutt</t>
  </si>
  <si>
    <t>Sarah Wilson</t>
  </si>
  <si>
    <t>Christine Howson</t>
  </si>
  <si>
    <t>Michelle Long</t>
  </si>
  <si>
    <t>Patricia O'Neill</t>
  </si>
  <si>
    <t>Stephen Gilson</t>
  </si>
  <si>
    <t>Martin Chester</t>
  </si>
  <si>
    <t>Melanie Wiltshire</t>
  </si>
  <si>
    <t>Catherine Jane Apps</t>
  </si>
  <si>
    <t>Alison Sale</t>
  </si>
  <si>
    <t>Kirsten Hiller</t>
  </si>
  <si>
    <t>Isobel Sale</t>
  </si>
  <si>
    <t>Jamie Page</t>
  </si>
  <si>
    <t>Faye Fullerton</t>
  </si>
  <si>
    <t>Thomas Glasock</t>
  </si>
  <si>
    <t>Wayne McAllister</t>
  </si>
  <si>
    <t>David Groves</t>
  </si>
  <si>
    <t>Leigh Wood</t>
  </si>
  <si>
    <t>Vernon Davies</t>
  </si>
  <si>
    <t>Peter Burdett</t>
  </si>
  <si>
    <t>Jack Stroud</t>
  </si>
  <si>
    <t>Helen Mottram</t>
  </si>
  <si>
    <t>Toni Lacey</t>
  </si>
  <si>
    <t>Jordan Lacey</t>
  </si>
  <si>
    <t>Dawn Blake</t>
  </si>
  <si>
    <t>Jennifer Birch</t>
  </si>
  <si>
    <t>Michael Croft</t>
  </si>
  <si>
    <t>Daniel Moses</t>
  </si>
  <si>
    <t>Emma Hobbs</t>
  </si>
  <si>
    <t>Sukhuear Singh</t>
  </si>
  <si>
    <t>Havering 90 Joggers / havering AC</t>
  </si>
  <si>
    <t>#Sc</t>
  </si>
  <si>
    <t>Tot</t>
  </si>
  <si>
    <t>Runner 2</t>
  </si>
  <si>
    <t>Runner 5</t>
  </si>
  <si>
    <t>Runner 6</t>
  </si>
  <si>
    <t>Forename</t>
  </si>
  <si>
    <t>Surname</t>
  </si>
  <si>
    <t>Gender</t>
  </si>
  <si>
    <t>DOB</t>
  </si>
  <si>
    <t>Address1</t>
  </si>
  <si>
    <t>Address2</t>
  </si>
  <si>
    <t>Town/City</t>
  </si>
  <si>
    <t>Region</t>
  </si>
  <si>
    <t>Postcode</t>
  </si>
  <si>
    <t>USState</t>
  </si>
  <si>
    <t>Country</t>
  </si>
  <si>
    <t>email</t>
  </si>
  <si>
    <t>phone</t>
  </si>
  <si>
    <t>entryFee</t>
  </si>
  <si>
    <t>EntryCentral_fee</t>
  </si>
  <si>
    <t>TotalPaid</t>
  </si>
  <si>
    <t>enteredByOrganiser</t>
  </si>
  <si>
    <t>Age_on_Race_Day</t>
  </si>
  <si>
    <t>DateEntered</t>
  </si>
  <si>
    <t>UniqueID</t>
  </si>
  <si>
    <t>ProductID</t>
  </si>
  <si>
    <t>Male</t>
  </si>
  <si>
    <t>GB</t>
  </si>
  <si>
    <t xml:space="preserve"> </t>
  </si>
  <si>
    <t>Alice Rose Running Club Walthamstow</t>
  </si>
  <si>
    <t>karen Reed</t>
  </si>
  <si>
    <t>Gemma Hockett</t>
  </si>
  <si>
    <t>Alison Clifford</t>
  </si>
  <si>
    <t>Jon Warren</t>
  </si>
  <si>
    <t>Simon Hart</t>
  </si>
  <si>
    <t>Dob</t>
  </si>
  <si>
    <t>South Cyprus Flyers</t>
  </si>
  <si>
    <t>Res</t>
  </si>
  <si>
    <t>Petra Knight</t>
  </si>
  <si>
    <t>Witham RC</t>
  </si>
  <si>
    <t>Brigid Wallen</t>
  </si>
  <si>
    <t>Tony Wallen</t>
  </si>
  <si>
    <t>Danny Crean</t>
  </si>
  <si>
    <t>Helen Croydon</t>
  </si>
  <si>
    <t>08/07/1977</t>
  </si>
  <si>
    <t>John Paul Healy</t>
  </si>
  <si>
    <t>Joe Dale</t>
  </si>
  <si>
    <t>16/03/1981</t>
  </si>
  <si>
    <t>21/02/1972</t>
  </si>
  <si>
    <t>04/10/1964</t>
  </si>
  <si>
    <t>Elvis Scores for Race</t>
  </si>
  <si>
    <t>Vet/Sex /Team</t>
  </si>
  <si>
    <t>Sex /Team</t>
  </si>
  <si>
    <t>Position</t>
  </si>
  <si>
    <t>Vet</t>
  </si>
  <si>
    <t>Club ScoreM</t>
  </si>
  <si>
    <t>Club ScoreF</t>
  </si>
  <si>
    <t>Scoring vet</t>
  </si>
  <si>
    <t>Scoring Sen</t>
  </si>
  <si>
    <t>Scorer</t>
  </si>
  <si>
    <t>Max/Sex/K1</t>
  </si>
  <si>
    <t>Max/Sex/K2</t>
  </si>
  <si>
    <t>Rank</t>
  </si>
  <si>
    <t>Elvis Clubs</t>
  </si>
  <si>
    <t>#Scorers</t>
  </si>
  <si>
    <t>Runner1</t>
  </si>
  <si>
    <t>Runner3</t>
  </si>
  <si>
    <t>Runner4</t>
  </si>
  <si>
    <t>Runner5</t>
  </si>
  <si>
    <t>Runner6</t>
  </si>
  <si>
    <t>Rank Factor</t>
  </si>
  <si>
    <t>Rank adj</t>
  </si>
  <si>
    <t>Men</t>
  </si>
  <si>
    <t>Women</t>
  </si>
  <si>
    <t>Finishers Men</t>
  </si>
  <si>
    <t>Finishers Women</t>
  </si>
  <si>
    <t>Total Finishers</t>
  </si>
  <si>
    <t xml:space="preserve">Elvis Team Totals </t>
  </si>
  <si>
    <t xml:space="preserve">Results for Elvis Race 1 hosted by </t>
  </si>
  <si>
    <t>AccPos</t>
  </si>
  <si>
    <t>Acc Score P/S</t>
  </si>
  <si>
    <t xml:space="preserve">Acc Score </t>
  </si>
  <si>
    <t>R1 Pos</t>
  </si>
  <si>
    <t>R2 Pos</t>
  </si>
  <si>
    <t>R3 Pos</t>
  </si>
  <si>
    <t>R4 Pos</t>
  </si>
  <si>
    <t>R5 Pos</t>
  </si>
  <si>
    <t>R6 Pos</t>
  </si>
  <si>
    <t>R7 Pos</t>
  </si>
  <si>
    <t>R1Score</t>
  </si>
  <si>
    <t>R2Score</t>
  </si>
  <si>
    <t>R3Score</t>
  </si>
  <si>
    <t>R4Score</t>
  </si>
  <si>
    <t>R5Score</t>
  </si>
  <si>
    <t>R6Score</t>
  </si>
  <si>
    <t>R7Score</t>
  </si>
  <si>
    <t>R1 P/S</t>
  </si>
  <si>
    <t>R2 P/S</t>
  </si>
  <si>
    <t>R3 P/S</t>
  </si>
  <si>
    <t>R4 P/S</t>
  </si>
  <si>
    <t>R5 P/S</t>
  </si>
  <si>
    <t>R6 P/S</t>
  </si>
  <si>
    <t>R7 P/S</t>
  </si>
  <si>
    <t>Race 1</t>
  </si>
  <si>
    <t>Race 2</t>
  </si>
  <si>
    <t>Race 3</t>
  </si>
  <si>
    <t>Race 4</t>
  </si>
  <si>
    <t>Race 5</t>
  </si>
  <si>
    <t>Score</t>
  </si>
  <si>
    <t xml:space="preserve">Pos </t>
  </si>
  <si>
    <t>Elvis Hosts</t>
  </si>
  <si>
    <t xml:space="preserve">Results for Elvis Race 7 hosted by </t>
  </si>
  <si>
    <t xml:space="preserve">Results for Elvis Race 2 hosted by </t>
  </si>
  <si>
    <t xml:space="preserve">Results for Elvis Race 3 hosted by </t>
  </si>
  <si>
    <t xml:space="preserve">Results for Elvis Race 4 hosted by </t>
  </si>
  <si>
    <t xml:space="preserve">Results for Elvis Race 5 hosted by </t>
  </si>
  <si>
    <t xml:space="preserve">Results for Elvis Race 6 hosted by </t>
  </si>
  <si>
    <t>David Radford</t>
  </si>
  <si>
    <t>Eleanor Wilkinson</t>
  </si>
  <si>
    <t>VPHTH&amp;AC</t>
  </si>
  <si>
    <t>Springfield Striders RC</t>
  </si>
  <si>
    <t>Alexandra Brown</t>
  </si>
  <si>
    <t>Ceilia Payaneeandee</t>
  </si>
  <si>
    <t>Newham and Essex Beagles</t>
  </si>
  <si>
    <t>Thrift Green</t>
  </si>
  <si>
    <t>Marianne Cronin</t>
  </si>
  <si>
    <t>Nicholas Knight</t>
  </si>
  <si>
    <t>Jan Webb</t>
  </si>
  <si>
    <t>Sara Prior</t>
  </si>
  <si>
    <t>Lisa Maughan</t>
  </si>
  <si>
    <t>Ulrike Gerstenberg</t>
  </si>
  <si>
    <t>Josh Stephens</t>
  </si>
  <si>
    <t>Robert Rayworth</t>
  </si>
  <si>
    <t>Gavin Hodgson</t>
  </si>
  <si>
    <t>Jennifer Ford</t>
  </si>
  <si>
    <t>Judith Vonberg</t>
  </si>
  <si>
    <t>Katie Ford</t>
  </si>
  <si>
    <t>Marcella Toth</t>
  </si>
  <si>
    <t>Dyfan Garmon</t>
  </si>
  <si>
    <t>Joanne Sullivan</t>
  </si>
  <si>
    <t>Dan Senior</t>
  </si>
  <si>
    <t>Carol Nelson</t>
  </si>
  <si>
    <t>Margaret Score</t>
  </si>
  <si>
    <t>John Atkinson</t>
  </si>
  <si>
    <t>Stephen Cole</t>
  </si>
  <si>
    <t>Alan Randall</t>
  </si>
  <si>
    <t>Daniel Cogan</t>
  </si>
  <si>
    <t>Neil Gage</t>
  </si>
  <si>
    <t>Alexandra Wilkinson</t>
  </si>
  <si>
    <t>Carey Luke</t>
  </si>
  <si>
    <t>Yogesh Patel</t>
  </si>
  <si>
    <t>Rishi Patel</t>
  </si>
  <si>
    <t>Billy Rayner</t>
  </si>
  <si>
    <t>John Booth</t>
  </si>
  <si>
    <t>Janet Bywater</t>
  </si>
  <si>
    <t>David Keeley</t>
  </si>
  <si>
    <t>Simon Leung-Chester</t>
  </si>
  <si>
    <t>Sandra Hiller</t>
  </si>
  <si>
    <t>Lucy Seaman</t>
  </si>
  <si>
    <t>Martina Lee</t>
  </si>
  <si>
    <t>Rory Tregaskis</t>
  </si>
  <si>
    <t>Melanie Green</t>
  </si>
  <si>
    <t>Dominic Dragonetti</t>
  </si>
  <si>
    <t>Vanessa Lawrence</t>
  </si>
  <si>
    <t>Mark Dalby</t>
  </si>
  <si>
    <t>Mick Brown</t>
  </si>
  <si>
    <t>Louise Pollock</t>
  </si>
  <si>
    <t>Peter Kelly</t>
  </si>
  <si>
    <t>Michael Bamford</t>
  </si>
  <si>
    <t>Anna Johnson</t>
  </si>
  <si>
    <t>Ben Fisher</t>
  </si>
  <si>
    <t>Pam Howard</t>
  </si>
  <si>
    <t>Amy Boorn</t>
  </si>
  <si>
    <t>Laura Woodhouse</t>
  </si>
  <si>
    <t>Daniel Levicki</t>
  </si>
  <si>
    <t>Robyn Turtle</t>
  </si>
  <si>
    <t>Greg Turtle</t>
  </si>
  <si>
    <t>Trish Kelly</t>
  </si>
  <si>
    <t>Gary Tunstall</t>
  </si>
  <si>
    <t>Robert Howe</t>
  </si>
  <si>
    <t>Rachel Crapnell</t>
  </si>
  <si>
    <t>Jonny Shaw</t>
  </si>
  <si>
    <t>Sonia Cheadle</t>
  </si>
  <si>
    <t>Susannah McLaren</t>
  </si>
  <si>
    <t>Gary Coombes</t>
  </si>
  <si>
    <t>Anbarasu Govindasamy</t>
  </si>
  <si>
    <t>Nige Swaby</t>
  </si>
  <si>
    <t>Leanna Romano</t>
  </si>
  <si>
    <t>Geoff Bench</t>
  </si>
  <si>
    <t>Daniel Plawiak</t>
  </si>
  <si>
    <t>Daniel Ryan</t>
  </si>
  <si>
    <t>Ravinder Bassi</t>
  </si>
  <si>
    <t>Jenna Davies</t>
  </si>
  <si>
    <t>Mary O'Brien</t>
  </si>
  <si>
    <t>Chris Sohail</t>
  </si>
  <si>
    <t>Drax All Stars</t>
  </si>
  <si>
    <t>Tiverton Harriers</t>
  </si>
  <si>
    <t>Andrew Ennis</t>
  </si>
  <si>
    <t>Pavish Karnik</t>
  </si>
  <si>
    <t>Callum Cockley</t>
  </si>
  <si>
    <t>Carol Moring</t>
  </si>
  <si>
    <t>Jamie Austin</t>
  </si>
  <si>
    <t>Trevor Robinson</t>
  </si>
  <si>
    <t>Chris Chilton</t>
  </si>
  <si>
    <t>Zakir Hussain</t>
  </si>
  <si>
    <t>Nick Gorman</t>
  </si>
  <si>
    <t>Alice Ridgway</t>
  </si>
  <si>
    <t>Peter Webb</t>
  </si>
  <si>
    <t>Tina Bennett</t>
  </si>
  <si>
    <t>Katherine Gardner</t>
  </si>
  <si>
    <t>Liz O'Donnell</t>
  </si>
  <si>
    <t>Shameem Ahmed</t>
  </si>
  <si>
    <t>Elaine Richardson</t>
  </si>
  <si>
    <t>Jodie Schubert</t>
  </si>
  <si>
    <t>Yvonne Forsyth</t>
  </si>
  <si>
    <t>Luke Summers</t>
  </si>
  <si>
    <t>John Barker</t>
  </si>
  <si>
    <t>Byron McKinney</t>
  </si>
  <si>
    <t>Keith Bishop</t>
  </si>
  <si>
    <t>Andrew Jackson</t>
  </si>
  <si>
    <t>Debbie Jones</t>
  </si>
  <si>
    <t>Johann Le Roux</t>
  </si>
  <si>
    <t>Drax</t>
  </si>
  <si>
    <t>27/07/1968</t>
  </si>
  <si>
    <t>20/11/1981</t>
  </si>
  <si>
    <t>06/04/1974</t>
  </si>
  <si>
    <t>09/01/1999</t>
  </si>
  <si>
    <t>16/04/1987</t>
  </si>
  <si>
    <t>23/12/1991</t>
  </si>
  <si>
    <t>12/12/1985</t>
  </si>
  <si>
    <t>15/07/1982</t>
  </si>
  <si>
    <t>08/12/1951</t>
  </si>
  <si>
    <t>21/06/1971</t>
  </si>
  <si>
    <t>10/10/1980</t>
  </si>
  <si>
    <t>28/08/1970</t>
  </si>
  <si>
    <t>25/04/1952</t>
  </si>
  <si>
    <t>23/08/1986</t>
  </si>
  <si>
    <t>Peter Apps</t>
  </si>
  <si>
    <t>Marcio Baena</t>
  </si>
  <si>
    <t>Mary Ballantine</t>
  </si>
  <si>
    <t>Liam Ballantine</t>
  </si>
  <si>
    <t>Veronica Barikor</t>
  </si>
  <si>
    <t>Greg Bassam</t>
  </si>
  <si>
    <t>Gina Bianchi</t>
  </si>
  <si>
    <t>Carl Brown</t>
  </si>
  <si>
    <t>Emily Clarke</t>
  </si>
  <si>
    <t>Lucy Cline</t>
  </si>
  <si>
    <t>Vanessa Clyne</t>
  </si>
  <si>
    <t>Mark Cuschieri</t>
  </si>
  <si>
    <t>Andre Dahlkamp</t>
  </si>
  <si>
    <t>Hayley Dalton</t>
  </si>
  <si>
    <t>Joan Dandy</t>
  </si>
  <si>
    <t>Jack Davey</t>
  </si>
  <si>
    <t>Jon Dennis</t>
  </si>
  <si>
    <t>Shannon Diggory</t>
  </si>
  <si>
    <t>Gavin Duke</t>
  </si>
  <si>
    <t>Cheryl Evans</t>
  </si>
  <si>
    <t>Kate Ford</t>
  </si>
  <si>
    <t>John George</t>
  </si>
  <si>
    <t>Martin Gevaux</t>
  </si>
  <si>
    <t>David Hallybone</t>
  </si>
  <si>
    <t>Abdi Harouma</t>
  </si>
  <si>
    <t>Alison Hawkes</t>
  </si>
  <si>
    <t>Nils Hollmann</t>
  </si>
  <si>
    <t>Nick Howes</t>
  </si>
  <si>
    <t>Alex Jameson</t>
  </si>
  <si>
    <t>Martin Jeeves</t>
  </si>
  <si>
    <t>Manpreet Johal</t>
  </si>
  <si>
    <t>Andy Kumar</t>
  </si>
  <si>
    <t>Kirstie Long</t>
  </si>
  <si>
    <t>Matt Lucas</t>
  </si>
  <si>
    <t>Gavin Mackay</t>
  </si>
  <si>
    <t>Angus McPhee</t>
  </si>
  <si>
    <t>Paul Morley</t>
  </si>
  <si>
    <t>Naomi Nathan</t>
  </si>
  <si>
    <t>Charlotte Nohavicka</t>
  </si>
  <si>
    <t>Finn Palmason</t>
  </si>
  <si>
    <t>Jacob Radford</t>
  </si>
  <si>
    <t>Frank Schubert</t>
  </si>
  <si>
    <t>Stephen Sheekey</t>
  </si>
  <si>
    <t>Mark Sheraton</t>
  </si>
  <si>
    <t>Cheryl St Jean-Ellis</t>
  </si>
  <si>
    <t>Sarah Stephens</t>
  </si>
  <si>
    <t>Tim Stevenson</t>
  </si>
  <si>
    <t>Jacqui Surridge</t>
  </si>
  <si>
    <t>Reena Varu</t>
  </si>
  <si>
    <t>Phillippa Walker</t>
  </si>
  <si>
    <t>Stephen Walsh</t>
  </si>
  <si>
    <t>Hannah White</t>
  </si>
  <si>
    <t>Lucy Williams</t>
  </si>
  <si>
    <t>Jamie Xavier</t>
  </si>
  <si>
    <t>Anthony Young</t>
  </si>
  <si>
    <t>Naomi Zetter</t>
  </si>
  <si>
    <t>Havering '90 Joggers</t>
  </si>
  <si>
    <t>Victoria Park Harriers and Tower Hamlets AC</t>
  </si>
  <si>
    <t>East Grinstead Triathlon Club</t>
  </si>
  <si>
    <t>London Heathside</t>
  </si>
  <si>
    <t>Petts Wood Runners</t>
  </si>
  <si>
    <t>Hercules Wimbledon AC</t>
  </si>
  <si>
    <t>MemberOf</t>
  </si>
  <si>
    <t xml:space="preserve"> MembershipId</t>
  </si>
  <si>
    <t>EA</t>
  </si>
  <si>
    <t>Jane Niewczasinski</t>
  </si>
  <si>
    <t>Sally Faulkner</t>
  </si>
  <si>
    <t>Claire Huggins</t>
  </si>
  <si>
    <t>Caroline Mcgirr</t>
  </si>
  <si>
    <t>Hannah Sheikh</t>
  </si>
  <si>
    <t>Ravindra Luggah</t>
  </si>
  <si>
    <t>Launa Broadley</t>
  </si>
  <si>
    <t>Kelly Drake-Tapscott</t>
  </si>
  <si>
    <t>Paul Drury-Bradey</t>
  </si>
  <si>
    <t>Amanda Keasley</t>
  </si>
  <si>
    <t>Kali Smith</t>
  </si>
  <si>
    <t>Viktor Szabadi</t>
  </si>
  <si>
    <t>Christopher Sewell</t>
  </si>
  <si>
    <t>Female</t>
  </si>
  <si>
    <t>London</t>
  </si>
  <si>
    <t>Dan Green</t>
  </si>
  <si>
    <t>Dave Brock</t>
  </si>
  <si>
    <t>22/04/1960</t>
  </si>
  <si>
    <t>17/09/1960</t>
  </si>
  <si>
    <t>Alex Richards</t>
  </si>
  <si>
    <t>Chyavan Rees</t>
  </si>
  <si>
    <t>Carl Fiford</t>
  </si>
  <si>
    <t>Graham Smith</t>
  </si>
  <si>
    <t>Simeon Bennett</t>
  </si>
  <si>
    <t>Seamus Costello</t>
  </si>
  <si>
    <t>Philip Duggan</t>
  </si>
  <si>
    <t>Ben Rowlands</t>
  </si>
  <si>
    <t>Adrian Smith</t>
  </si>
  <si>
    <t>George Pallecaros</t>
  </si>
  <si>
    <t>Gill Bland</t>
  </si>
  <si>
    <t>Stuart Chandler</t>
  </si>
  <si>
    <t>Scott Reid</t>
  </si>
  <si>
    <t>Stuart Manktelow</t>
  </si>
  <si>
    <t>Malachy Wolohan</t>
  </si>
  <si>
    <t>Matt Walker</t>
  </si>
  <si>
    <t>David Easey</t>
  </si>
  <si>
    <t>Nemera Mamo</t>
  </si>
  <si>
    <t>Susan Bint</t>
  </si>
  <si>
    <t>John Sherwood</t>
  </si>
  <si>
    <t>Adam Hayes</t>
  </si>
  <si>
    <t>Alison Trauttmansdorff-Weinsberg</t>
  </si>
  <si>
    <t>Neil Douglas</t>
  </si>
  <si>
    <t>Michael Davies</t>
  </si>
  <si>
    <t>Gareth Davies</t>
  </si>
  <si>
    <t>Faye Jeacocke</t>
  </si>
  <si>
    <t>Marco Maserati</t>
  </si>
  <si>
    <t>Stephen Bennett</t>
  </si>
  <si>
    <t>Olga Stignii</t>
  </si>
  <si>
    <t>Stuart Hardy</t>
  </si>
  <si>
    <t>Simon Dent</t>
  </si>
  <si>
    <t>David Wilkey</t>
  </si>
  <si>
    <t>Tom Bedwell</t>
  </si>
  <si>
    <t>Victoria Fabbri</t>
  </si>
  <si>
    <t>Edouard Guidon</t>
  </si>
  <si>
    <t>Matas Vala</t>
  </si>
  <si>
    <t>Lizzie Rumble</t>
  </si>
  <si>
    <t>Chris Snipp</t>
  </si>
  <si>
    <t>June Barrow-Green</t>
  </si>
  <si>
    <t>Terry Alabaster</t>
  </si>
  <si>
    <t>Lucy Humphreys</t>
  </si>
  <si>
    <t>Gary Tovey</t>
  </si>
  <si>
    <t>Nick Webb</t>
  </si>
  <si>
    <t>Martin McColgan</t>
  </si>
  <si>
    <t>Jay Sangha</t>
  </si>
  <si>
    <t>Satha Alaganandasundaram</t>
  </si>
  <si>
    <t>Brendan O'Mahony</t>
  </si>
  <si>
    <t>Sharon Wood</t>
  </si>
  <si>
    <t>Anna Liebmann</t>
  </si>
  <si>
    <t>Lance Fuller</t>
  </si>
  <si>
    <t>Emma Dudman</t>
  </si>
  <si>
    <t>Alison Tay</t>
  </si>
  <si>
    <t>Michael Simpkins</t>
  </si>
  <si>
    <t>Philippa Cockman</t>
  </si>
  <si>
    <t>Sophie Vowden</t>
  </si>
  <si>
    <t>Declan Phelan</t>
  </si>
  <si>
    <t>Janice Page</t>
  </si>
  <si>
    <t>David Page</t>
  </si>
  <si>
    <t>Martina McGowan</t>
  </si>
  <si>
    <t>Louise Cootes</t>
  </si>
  <si>
    <t>Peter Walker</t>
  </si>
  <si>
    <t>Jane Guidon</t>
  </si>
  <si>
    <t>Susan Leese</t>
  </si>
  <si>
    <t>Chloe Millan</t>
  </si>
  <si>
    <t>Hannah Walsh</t>
  </si>
  <si>
    <t>Kate Brett</t>
  </si>
  <si>
    <t>Leonard James</t>
  </si>
  <si>
    <t>Gill Scott</t>
  </si>
  <si>
    <t>Bella Macqueen</t>
  </si>
  <si>
    <t>Nadia Youds</t>
  </si>
  <si>
    <t>Daniel Youds</t>
  </si>
  <si>
    <t>Jacquelyn Adams</t>
  </si>
  <si>
    <t>Sheil Aggarwal</t>
  </si>
  <si>
    <t>Harry Kanagaratnam</t>
  </si>
  <si>
    <t>Olivia Walugembe</t>
  </si>
  <si>
    <t>Claire Taylor</t>
  </si>
  <si>
    <t>Lucy Harry</t>
  </si>
  <si>
    <t>Joanne Joseph</t>
  </si>
  <si>
    <t>Lorna McKenzie</t>
  </si>
  <si>
    <t>Anne De Asha</t>
  </si>
  <si>
    <t>St Albans Striders</t>
  </si>
  <si>
    <t>Woodford</t>
  </si>
  <si>
    <t>BBC Running Club</t>
  </si>
  <si>
    <t>Trent Park RC</t>
  </si>
  <si>
    <t>Enfield &amp; Haringey AC</t>
  </si>
  <si>
    <t>Cardiff University</t>
  </si>
  <si>
    <t>East London Try</t>
  </si>
  <si>
    <t>Witham</t>
  </si>
  <si>
    <t>bosh</t>
  </si>
  <si>
    <t>RG active</t>
  </si>
  <si>
    <t>Serpentine RC</t>
  </si>
  <si>
    <t>CSSC</t>
  </si>
  <si>
    <t>U/a</t>
  </si>
  <si>
    <t>Sue Thomas</t>
  </si>
  <si>
    <t>Suzanne Easley</t>
  </si>
  <si>
    <t>Mark West</t>
  </si>
  <si>
    <t>Havering</t>
  </si>
  <si>
    <t>Christine Lardner</t>
  </si>
  <si>
    <t>Maria Brill</t>
  </si>
  <si>
    <t>Richard Charlwood</t>
  </si>
  <si>
    <t>Sarah Pennington</t>
  </si>
  <si>
    <t>Southend On Sea AC</t>
  </si>
  <si>
    <t>Anna Watt</t>
  </si>
  <si>
    <t>Barnet &amp; District AC</t>
  </si>
  <si>
    <t>Lydia Smith</t>
  </si>
  <si>
    <t>Chelmsford AC</t>
  </si>
  <si>
    <t>Jen Ruffell</t>
  </si>
  <si>
    <t>Vegan Runners UK</t>
  </si>
  <si>
    <t>Georgina Beech</t>
  </si>
  <si>
    <t>Glenhuntly</t>
  </si>
  <si>
    <t>Mobolaji Orisatoki</t>
  </si>
  <si>
    <t>Han Cherry</t>
  </si>
  <si>
    <t>Andrew Leach</t>
  </si>
  <si>
    <t>North Herts RRC</t>
  </si>
  <si>
    <t>Darren Todd</t>
  </si>
  <si>
    <t>Havering Tri</t>
  </si>
  <si>
    <t>Wayne Lyle</t>
  </si>
  <si>
    <t>Mark Gare</t>
  </si>
  <si>
    <t>Lawrence Mansfield</t>
  </si>
  <si>
    <t>Laura Wynn</t>
  </si>
  <si>
    <t>Julies Joggers</t>
  </si>
  <si>
    <t>Stuart Wynn</t>
  </si>
  <si>
    <t>Csaba Gyurik</t>
  </si>
  <si>
    <t>Ian Isherwood</t>
  </si>
  <si>
    <t>Drax AllStars</t>
  </si>
  <si>
    <t>Dennis Briggs</t>
  </si>
  <si>
    <t>Derek Stainsby</t>
  </si>
  <si>
    <t>Maddie Zucker</t>
  </si>
  <si>
    <t>Andrew Howard</t>
  </si>
  <si>
    <t>David Finch</t>
  </si>
  <si>
    <t>Elaine Mitchell</t>
  </si>
  <si>
    <t>Jeffrey Tucker</t>
  </si>
  <si>
    <t>Catherine Barker</t>
  </si>
  <si>
    <t>Madeline Barker</t>
  </si>
  <si>
    <t>James Byers</t>
  </si>
  <si>
    <t>Syed Enam Ahammad</t>
  </si>
  <si>
    <t>Danny Fitzsimons</t>
  </si>
  <si>
    <t>Ruel Ordonid</t>
  </si>
  <si>
    <t>Mushtak Kali</t>
  </si>
  <si>
    <t>Terence Spooner</t>
  </si>
  <si>
    <t>Taffy Mc Taff Taff</t>
  </si>
  <si>
    <t>Mira Patel</t>
  </si>
  <si>
    <t>Drax Allstars</t>
  </si>
  <si>
    <t>Tomas Andrews</t>
  </si>
  <si>
    <t>James Pain</t>
  </si>
  <si>
    <t>Lauren Garvey</t>
  </si>
  <si>
    <t>Paul Garvey</t>
  </si>
  <si>
    <t>25/12/1986</t>
  </si>
  <si>
    <t>William Vana</t>
  </si>
  <si>
    <t>Angela Farfan</t>
  </si>
  <si>
    <t>Sandra</t>
  </si>
  <si>
    <t>Lisa Smith</t>
  </si>
  <si>
    <t>Jayne Stacey</t>
  </si>
  <si>
    <t>Gerry McGovern</t>
  </si>
  <si>
    <t>John Melbourne</t>
  </si>
  <si>
    <t>Alexandra Rutishauser-Perera</t>
  </si>
  <si>
    <t>John Crawley</t>
  </si>
  <si>
    <t>James Perry</t>
  </si>
  <si>
    <t>Stephen Rebel</t>
  </si>
  <si>
    <t>Susan Edwards</t>
  </si>
  <si>
    <t>Lauren Wing</t>
  </si>
  <si>
    <t>Lee Healey</t>
  </si>
  <si>
    <t>Alison Taylor</t>
  </si>
  <si>
    <t>Ella Wilson</t>
  </si>
  <si>
    <t>Julie Campbell</t>
  </si>
  <si>
    <t>Robin Watson</t>
  </si>
  <si>
    <t>Adam Austin</t>
  </si>
  <si>
    <t>Marion Breeze</t>
  </si>
  <si>
    <t>Richard Dudman</t>
  </si>
  <si>
    <t>Richard Coates</t>
  </si>
  <si>
    <t>James Hutchison</t>
  </si>
  <si>
    <t>Laura Tym</t>
  </si>
  <si>
    <t>James Salmon</t>
  </si>
  <si>
    <t>John Black</t>
  </si>
  <si>
    <t>Julian Cordwell</t>
  </si>
  <si>
    <t>Ronald Dobie</t>
  </si>
  <si>
    <t>Stuart Raven</t>
  </si>
  <si>
    <t>Phil Harper</t>
  </si>
  <si>
    <t>Caroline Tuck</t>
  </si>
  <si>
    <t>Elspeth Knott</t>
  </si>
  <si>
    <t>Paul Jeggo</t>
  </si>
  <si>
    <t>Jon Powell</t>
  </si>
  <si>
    <t>James Hart</t>
  </si>
  <si>
    <t>Naomi Bourne</t>
  </si>
  <si>
    <t>Andrew Doig</t>
  </si>
  <si>
    <t>Olivia Littlechild</t>
  </si>
  <si>
    <t>Daniel Ward</t>
  </si>
  <si>
    <t>Anna Crawley</t>
  </si>
  <si>
    <t>Philip Zaloum</t>
  </si>
  <si>
    <t>Mark Portman</t>
  </si>
  <si>
    <t>Jill Catmur</t>
  </si>
  <si>
    <t>Jonathan O'Shea</t>
  </si>
  <si>
    <t>Clair Stockings</t>
  </si>
  <si>
    <t>Martin Blow</t>
  </si>
  <si>
    <t>Richard Parr</t>
  </si>
  <si>
    <t>Lachezar Nikolov</t>
  </si>
  <si>
    <t>Grant Ramsay</t>
  </si>
  <si>
    <t>Darren Botterill</t>
  </si>
  <si>
    <t>Tadworth AC</t>
  </si>
  <si>
    <t>Ravens City of London Running Club</t>
  </si>
  <si>
    <t>Woodford Green and Essex Ladies</t>
  </si>
  <si>
    <t>Woodford Green AC with Essex Ladies</t>
  </si>
  <si>
    <t>RUNARCHY</t>
  </si>
  <si>
    <t>Full Potential</t>
  </si>
  <si>
    <t>Ealing Eagles Running Club</t>
  </si>
  <si>
    <t>25/09/1964</t>
  </si>
  <si>
    <t>05/11/1959</t>
  </si>
  <si>
    <t>15/06/1950</t>
  </si>
  <si>
    <t>05/11/1960</t>
  </si>
  <si>
    <t>Arrow Harriers</t>
  </si>
  <si>
    <t>Havering Tri Club</t>
  </si>
  <si>
    <t>Fairlands Valley Spartans</t>
  </si>
  <si>
    <t>Kirstie Woodgate</t>
  </si>
  <si>
    <t>Spencer Thorogood</t>
  </si>
  <si>
    <t>Kat Maskell</t>
  </si>
  <si>
    <t>Nick Hoult</t>
  </si>
  <si>
    <t>Jacqueline Butler</t>
  </si>
  <si>
    <t>Mala Singh</t>
  </si>
  <si>
    <t>O'Neill Patricia</t>
  </si>
  <si>
    <t>Louis Le Roux</t>
  </si>
  <si>
    <t>Colin Jenkins</t>
  </si>
  <si>
    <t>Kevin Brown</t>
  </si>
  <si>
    <t>Jacqueline Frewin</t>
  </si>
  <si>
    <t>Frieda Keane</t>
  </si>
  <si>
    <t>Samia Choudhury</t>
  </si>
  <si>
    <t>Dauda Ayodele</t>
  </si>
  <si>
    <t>Jacqueline Goh</t>
  </si>
  <si>
    <t>Dani Fletcher</t>
  </si>
  <si>
    <t>Lydia Omodara</t>
  </si>
  <si>
    <t>Toyin Omodara</t>
  </si>
  <si>
    <t>Jamie Smith</t>
  </si>
  <si>
    <t>Helen McGuinness</t>
  </si>
  <si>
    <t>Jacqueline Fernandez</t>
  </si>
  <si>
    <t>Rachel Le roux</t>
  </si>
  <si>
    <t>Mary Connolly</t>
  </si>
  <si>
    <t>Nikki Cranmer</t>
  </si>
  <si>
    <t>Alan Pearl</t>
  </si>
  <si>
    <t>Gopal Gautam</t>
  </si>
  <si>
    <t>Dave Sherman</t>
  </si>
  <si>
    <t>Laura Kimberley</t>
  </si>
  <si>
    <t>Lee Rand</t>
  </si>
  <si>
    <t>Naomi Elliott</t>
  </si>
  <si>
    <t>Stuart Allen</t>
  </si>
  <si>
    <t>Joanna Dorling</t>
  </si>
  <si>
    <t>Susana Da Costa E Silva</t>
  </si>
  <si>
    <t>Adnan Karim</t>
  </si>
  <si>
    <t>Natasha Mansouri</t>
  </si>
  <si>
    <t>Craig Brown</t>
  </si>
  <si>
    <t>Jacqui Bennett</t>
  </si>
  <si>
    <t>Angus Nicholls</t>
  </si>
  <si>
    <t>Julia King</t>
  </si>
  <si>
    <t>Kathryn Hertzberg</t>
  </si>
  <si>
    <t>Janine Durrant</t>
  </si>
  <si>
    <t>Gaetano Ciotola</t>
  </si>
  <si>
    <t>Katie Whitton</t>
  </si>
  <si>
    <t>Claire Drakeford</t>
  </si>
  <si>
    <t>Brennie Gabbidon</t>
  </si>
  <si>
    <t>Rhoan Gabbidon</t>
  </si>
  <si>
    <t>Marc Akers</t>
  </si>
  <si>
    <t>Mark Moir</t>
  </si>
  <si>
    <t>Nathaniel Dye</t>
  </si>
  <si>
    <t>Alex Hardy</t>
  </si>
  <si>
    <t>Liam Dempsey</t>
  </si>
  <si>
    <t>Paul Ward</t>
  </si>
  <si>
    <t>Simone Fonseca</t>
  </si>
  <si>
    <t>Sarah Pascal</t>
  </si>
  <si>
    <t>Brynley Giddings</t>
  </si>
  <si>
    <t>Adele Stach-Kevitz</t>
  </si>
  <si>
    <t>Karen West</t>
  </si>
  <si>
    <t>Suzi Bartlett</t>
  </si>
  <si>
    <t>Lynne Northcott</t>
  </si>
  <si>
    <t>Gurjit Bansal</t>
  </si>
  <si>
    <t>Richard Gatehouse</t>
  </si>
  <si>
    <t>Glen Wisbey</t>
  </si>
  <si>
    <t>Simon Powell</t>
  </si>
  <si>
    <t>Rotimi Oyegunle</t>
  </si>
  <si>
    <t>Ruth Solomons</t>
  </si>
  <si>
    <t>Samuel Anderson</t>
  </si>
  <si>
    <t>Julie Kitto</t>
  </si>
  <si>
    <t>Harold Wood Running Club</t>
  </si>
  <si>
    <t>Martin Peek</t>
  </si>
  <si>
    <t>David Binge</t>
  </si>
  <si>
    <t>Sebastian Parris</t>
  </si>
  <si>
    <t>Emily Whalan</t>
  </si>
  <si>
    <t>Raymond Shaw</t>
  </si>
  <si>
    <t>Ashley Pogmore</t>
  </si>
  <si>
    <t>Emily Bishop</t>
  </si>
  <si>
    <t>S</t>
  </si>
  <si>
    <t>V</t>
  </si>
  <si>
    <t>No Runner</t>
  </si>
  <si>
    <t>Alan Branch</t>
  </si>
  <si>
    <t>VM70</t>
  </si>
  <si>
    <t>VF65</t>
  </si>
  <si>
    <t>Dan Smith</t>
  </si>
  <si>
    <t>Jason Syrett</t>
  </si>
  <si>
    <t>Louise Juby</t>
  </si>
  <si>
    <t>Christopher King</t>
  </si>
  <si>
    <t>Kevin Clayton</t>
  </si>
  <si>
    <t>James Stubbs</t>
  </si>
  <si>
    <t>Lee Patten</t>
  </si>
  <si>
    <t>Remi Kubar</t>
  </si>
  <si>
    <t>Gerry O'Mahoney</t>
  </si>
  <si>
    <t>Simon Baxter</t>
  </si>
  <si>
    <t>David Lakeman</t>
  </si>
  <si>
    <t>Richard Haidon</t>
  </si>
  <si>
    <t>Mark Fox</t>
  </si>
  <si>
    <t>Tony Little</t>
  </si>
  <si>
    <t>Carlie Qirem</t>
  </si>
  <si>
    <t>Ines Nadal</t>
  </si>
  <si>
    <t>Cassandra Bryant</t>
  </si>
  <si>
    <t>Sally Bridge</t>
  </si>
  <si>
    <t>Mark Durrant</t>
  </si>
  <si>
    <t>Manji Gami</t>
  </si>
  <si>
    <t>Michael Robinson</t>
  </si>
  <si>
    <t>Kate Withyman</t>
  </si>
  <si>
    <t>Louise Szlezinger</t>
  </si>
  <si>
    <t>Vicky Woodhouse</t>
  </si>
  <si>
    <t>Dave Fox</t>
  </si>
  <si>
    <t>Joanna Wood</t>
  </si>
  <si>
    <t>Thomas Coughlan</t>
  </si>
  <si>
    <t>Jennifer Johnson</t>
  </si>
  <si>
    <t>Kate Alexander-Newton</t>
  </si>
  <si>
    <t>Suzanne Green</t>
  </si>
  <si>
    <t>Claire Broadley</t>
  </si>
  <si>
    <t>Carly Obrien</t>
  </si>
  <si>
    <t>Katherine Gibson</t>
  </si>
  <si>
    <t>Thurrock harriers</t>
  </si>
  <si>
    <t>team slug</t>
  </si>
  <si>
    <t>BrightwaterVilla Florida pc</t>
  </si>
  <si>
    <t>Kate Aldersey</t>
  </si>
  <si>
    <t>Isabella Allan</t>
  </si>
  <si>
    <t>Gillian Andrews</t>
  </si>
  <si>
    <t>Debbie Barry</t>
  </si>
  <si>
    <t>Gillian Barton</t>
  </si>
  <si>
    <t>Tom Barton</t>
  </si>
  <si>
    <t>Roselin Boramakot</t>
  </si>
  <si>
    <t>Morgan Campbell</t>
  </si>
  <si>
    <t>Sean Carey</t>
  </si>
  <si>
    <t>Leena Choi</t>
  </si>
  <si>
    <t>Annette Clark</t>
  </si>
  <si>
    <t>Nick Clark</t>
  </si>
  <si>
    <t>Robbie Cooman</t>
  </si>
  <si>
    <t>Martyn Coulter</t>
  </si>
  <si>
    <t>Owain Crispin</t>
  </si>
  <si>
    <t>Jakub Czeczotka</t>
  </si>
  <si>
    <t>Ivor Denbow</t>
  </si>
  <si>
    <t>Caitlin Diniz</t>
  </si>
  <si>
    <t>Jesal Dosa</t>
  </si>
  <si>
    <t>Julian Fabian</t>
  </si>
  <si>
    <t>Paula Fairlamb</t>
  </si>
  <si>
    <t>Peter Fairlamb</t>
  </si>
  <si>
    <t>Richard Fairlamb</t>
  </si>
  <si>
    <t>Claude Gierl</t>
  </si>
  <si>
    <t>Karol Gostomczyk</t>
  </si>
  <si>
    <t>Christopher Gundry</t>
  </si>
  <si>
    <t>Rehila Hamid</t>
  </si>
  <si>
    <t>Kirsty Hannan</t>
  </si>
  <si>
    <t>Jennifer Heymann</t>
  </si>
  <si>
    <t>Catriona Hoult</t>
  </si>
  <si>
    <t>Carol Huggins</t>
  </si>
  <si>
    <t>Brinda Jugessur</t>
  </si>
  <si>
    <t>John Kennedy</t>
  </si>
  <si>
    <t>Sabine Kindel</t>
  </si>
  <si>
    <t>Anita Lomax</t>
  </si>
  <si>
    <t>Faye Mccarthy</t>
  </si>
  <si>
    <t>Dhurmendra Mistry</t>
  </si>
  <si>
    <t>Pravinda Mistry</t>
  </si>
  <si>
    <t>Sandra Montoya</t>
  </si>
  <si>
    <t>Robert Moore</t>
  </si>
  <si>
    <t>Gus Moratorio</t>
  </si>
  <si>
    <t>Carly Mullen</t>
  </si>
  <si>
    <t>Michael Newman</t>
  </si>
  <si>
    <t>Oluwatoyin Omodara</t>
  </si>
  <si>
    <t>Charlotte Owen</t>
  </si>
  <si>
    <t>Kerry Parker</t>
  </si>
  <si>
    <t>Carl Partis</t>
  </si>
  <si>
    <t>Justin Partis</t>
  </si>
  <si>
    <t>James Pilch</t>
  </si>
  <si>
    <t>Diana Quintero</t>
  </si>
  <si>
    <t>Martin Reynolds</t>
  </si>
  <si>
    <t>Hayley Rogerson</t>
  </si>
  <si>
    <t>Tom Sargeant</t>
  </si>
  <si>
    <t>Matthew Sharpe</t>
  </si>
  <si>
    <t>Kay Short</t>
  </si>
  <si>
    <t>Chloe Shrimpton</t>
  </si>
  <si>
    <t>John Smith</t>
  </si>
  <si>
    <t>Stacy Smith</t>
  </si>
  <si>
    <t>Courtney Spittal</t>
  </si>
  <si>
    <t>Stephen Swan</t>
  </si>
  <si>
    <t>David Taylor</t>
  </si>
  <si>
    <t>Tom Timson</t>
  </si>
  <si>
    <t>Chile Uzowuru</t>
  </si>
  <si>
    <t>Sonya Veerasamy</t>
  </si>
  <si>
    <t>Wiliam Watt</t>
  </si>
  <si>
    <t>Chloe Woodhead</t>
  </si>
  <si>
    <t>Giles Bailey</t>
  </si>
  <si>
    <t>Madelaine Zucker</t>
  </si>
  <si>
    <t>None</t>
  </si>
  <si>
    <t>Alice Rose Running Club</t>
  </si>
  <si>
    <t>East Grinstead Tri Club</t>
  </si>
  <si>
    <t>Alice rose Running Club</t>
  </si>
  <si>
    <t>John Phillips</t>
  </si>
  <si>
    <t>Gail Hennessy</t>
  </si>
  <si>
    <t>Esther Shifra</t>
  </si>
  <si>
    <t>Sarah Rajwadkar</t>
  </si>
  <si>
    <t>Stuart Norris</t>
  </si>
  <si>
    <t>10/07/1965</t>
  </si>
  <si>
    <t>Emma O'shea</t>
  </si>
  <si>
    <t>Mark Culshaw</t>
  </si>
  <si>
    <t>Daniel Mansfield</t>
  </si>
  <si>
    <t>Kirk Johnson</t>
  </si>
  <si>
    <t>Alex McKerrell</t>
  </si>
  <si>
    <t>Helen Scott</t>
  </si>
  <si>
    <t>WGEL</t>
  </si>
  <si>
    <t>Amy Jung</t>
  </si>
  <si>
    <t>Simon Thomas</t>
  </si>
  <si>
    <t>Alexandre Lavigne</t>
  </si>
  <si>
    <t>Josselin Polini</t>
  </si>
  <si>
    <t>James Cordwell</t>
  </si>
  <si>
    <t>Victor Sarramian</t>
  </si>
  <si>
    <t>Darren Matussa</t>
  </si>
  <si>
    <t>Stuart Henderson</t>
  </si>
  <si>
    <t>James Gleave</t>
  </si>
  <si>
    <t>Rachel Thomas</t>
  </si>
  <si>
    <t>Michael Woodruff</t>
  </si>
  <si>
    <t>John Armstrong</t>
  </si>
  <si>
    <t>Sophie Donges</t>
  </si>
  <si>
    <t>Steve Bland</t>
  </si>
  <si>
    <t>Philip Chapman</t>
  </si>
  <si>
    <t>Richard Bryant</t>
  </si>
  <si>
    <t>Sarah Flanagan</t>
  </si>
  <si>
    <t>Roy Perrott</t>
  </si>
  <si>
    <t>Robin Norton-Hale</t>
  </si>
  <si>
    <t>Gavriel Hollander</t>
  </si>
  <si>
    <t>Tracey Carro Noya</t>
  </si>
  <si>
    <t>Chris Burgess</t>
  </si>
  <si>
    <t>Richard Jousiffe</t>
  </si>
  <si>
    <t>Martin Haigh</t>
  </si>
  <si>
    <t>James Beauvais</t>
  </si>
  <si>
    <t>Emilia Vynnycky</t>
  </si>
  <si>
    <t>Simon Haigh</t>
  </si>
  <si>
    <t>Niki Read</t>
  </si>
  <si>
    <t>Tim Freeland</t>
  </si>
  <si>
    <t>Bradley Deacon</t>
  </si>
  <si>
    <t>Lorraine Gosling</t>
  </si>
  <si>
    <t>Paul O'Connor</t>
  </si>
  <si>
    <t>Martine Shareck</t>
  </si>
  <si>
    <t>Daniel Broadhead</t>
  </si>
  <si>
    <t>Lucia Gomez Rodriguez</t>
  </si>
  <si>
    <t>Vito Mennelia</t>
  </si>
  <si>
    <t>Liz Rossberg</t>
  </si>
  <si>
    <t>John Perkins</t>
  </si>
  <si>
    <t>Roger Lee</t>
  </si>
  <si>
    <t>Christina Long</t>
  </si>
  <si>
    <t>Francine Bennett</t>
  </si>
  <si>
    <t>Jo Sargent</t>
  </si>
  <si>
    <t>Alexandre Vessiere</t>
  </si>
  <si>
    <t>Mick Conway</t>
  </si>
  <si>
    <t>Helen Nichols</t>
  </si>
  <si>
    <t>Spencer Rayment</t>
  </si>
  <si>
    <t>Robin Defoe</t>
  </si>
  <si>
    <t>Alice Sullivan</t>
  </si>
  <si>
    <t>Denise Harding</t>
  </si>
  <si>
    <t>Debbie Tulloch</t>
  </si>
  <si>
    <t>Richard Hale</t>
  </si>
  <si>
    <t>Abigail Watling</t>
  </si>
  <si>
    <t>Anna Dingle</t>
  </si>
  <si>
    <t>Daniela Witten</t>
  </si>
  <si>
    <t>Charlie Massey-Reed</t>
  </si>
  <si>
    <t>Lucy Footman</t>
  </si>
  <si>
    <t>Lynne Ali</t>
  </si>
  <si>
    <t>Jessica Trayler-Moore</t>
  </si>
  <si>
    <t>Julia Newcomb</t>
  </si>
  <si>
    <t>Barbara Hilton</t>
  </si>
  <si>
    <t>Diane Deacon</t>
  </si>
  <si>
    <t>Zahid Ali</t>
  </si>
  <si>
    <t>Claire Smithson</t>
  </si>
  <si>
    <t>Joe Jennings</t>
  </si>
  <si>
    <t>Eleanor Williams</t>
  </si>
  <si>
    <t>Coureur Nordique</t>
  </si>
  <si>
    <t>Harrow AC</t>
  </si>
  <si>
    <t>RunFit Essex</t>
  </si>
  <si>
    <t>London Heathside Runners AC</t>
  </si>
  <si>
    <t>Leigh On Sea Striders</t>
  </si>
  <si>
    <t>Royal Sutton Coldfield Athletic Club</t>
  </si>
  <si>
    <t>Gary C</t>
  </si>
  <si>
    <t>Leslie Adler</t>
  </si>
  <si>
    <t>Lisa Deneen</t>
  </si>
  <si>
    <t>06/07/1974</t>
  </si>
  <si>
    <t>Ali Sheppard</t>
  </si>
  <si>
    <t>Stuart Shepherd</t>
  </si>
  <si>
    <t>St Edmund Pacers</t>
  </si>
  <si>
    <t>Ian Budge</t>
  </si>
  <si>
    <t>Emma Budge</t>
  </si>
  <si>
    <t>31/08/1979</t>
  </si>
  <si>
    <t>Sara Gatsizi</t>
  </si>
  <si>
    <t>Chris Chew</t>
  </si>
  <si>
    <t>Tracy Giddings</t>
  </si>
  <si>
    <t>Debbie Joy</t>
  </si>
  <si>
    <t>Martina Murphy</t>
  </si>
  <si>
    <t>Laura Sherman</t>
  </si>
  <si>
    <t>Lynsey Mann</t>
  </si>
  <si>
    <t>James Coker</t>
  </si>
  <si>
    <t>Emma Bolton</t>
  </si>
  <si>
    <t>Alex Jeremy</t>
  </si>
  <si>
    <t>Drax All-Stars</t>
  </si>
  <si>
    <t>Thomas Burrard-Lucas</t>
  </si>
  <si>
    <t>05/03/1986</t>
  </si>
  <si>
    <t>David Bell</t>
  </si>
  <si>
    <t>20/08/1985</t>
  </si>
  <si>
    <t>29/03/1973</t>
  </si>
  <si>
    <t>Rob Langston</t>
  </si>
  <si>
    <t>28/08/1982</t>
  </si>
  <si>
    <t>07/03/1965</t>
  </si>
  <si>
    <t>Peter Goodwin</t>
  </si>
  <si>
    <t>02/03/1973</t>
  </si>
  <si>
    <t>Derek James</t>
  </si>
  <si>
    <t>16/04/1943</t>
  </si>
  <si>
    <t>Kim Whitby</t>
  </si>
  <si>
    <t>07/12/1977</t>
  </si>
  <si>
    <t>18/06/1954</t>
  </si>
  <si>
    <t>Victoria Hiscock</t>
  </si>
  <si>
    <t>13/05/1998</t>
  </si>
  <si>
    <t>James Hiscock</t>
  </si>
  <si>
    <t>22/06/1985</t>
  </si>
  <si>
    <t>Wis Wang-Koh</t>
  </si>
  <si>
    <t>12/08/1960</t>
  </si>
  <si>
    <t>Annette Johnson</t>
  </si>
  <si>
    <t>11/02/1967</t>
  </si>
  <si>
    <t>Ian Pike</t>
  </si>
  <si>
    <t>05/06/1972</t>
  </si>
  <si>
    <t>08/08/1971</t>
  </si>
  <si>
    <t>Neal Pal</t>
  </si>
  <si>
    <t>Southville Running Club</t>
  </si>
  <si>
    <t>03/11/1962</t>
  </si>
  <si>
    <t>Bruce Knowles</t>
  </si>
  <si>
    <t>03/11/1975</t>
  </si>
  <si>
    <t>30/10/1975</t>
  </si>
  <si>
    <t>Andrew Fitzgerald</t>
  </si>
  <si>
    <t>19/02/1983</t>
  </si>
  <si>
    <t>Carolyn Edwards</t>
  </si>
  <si>
    <t>02/09/1982</t>
  </si>
  <si>
    <t>Paul Martin</t>
  </si>
  <si>
    <t>03/05/1979</t>
  </si>
  <si>
    <t>17/09/1947</t>
  </si>
  <si>
    <t>02/08/1957</t>
  </si>
  <si>
    <t>20/08/1961</t>
  </si>
  <si>
    <t>Paul Lawrence</t>
  </si>
  <si>
    <t>19/04/1969</t>
  </si>
  <si>
    <t>Stephanie Rashbrook</t>
  </si>
  <si>
    <t>12/04/1987</t>
  </si>
  <si>
    <t>Alan Costar</t>
  </si>
  <si>
    <t>13/11/1953</t>
  </si>
  <si>
    <t>Aaron Samuel</t>
  </si>
  <si>
    <t>06/06/2003</t>
  </si>
  <si>
    <t>10/01/1998</t>
  </si>
  <si>
    <t>Soo Yau</t>
  </si>
  <si>
    <t>Wimbledon Windmilers</t>
  </si>
  <si>
    <t>06/03/1965</t>
  </si>
  <si>
    <t>01/05/1999</t>
  </si>
  <si>
    <t>Brian Butcher</t>
  </si>
  <si>
    <t>M.E Casuals</t>
  </si>
  <si>
    <t>10/07/1949</t>
  </si>
  <si>
    <t>Jason Purle</t>
  </si>
  <si>
    <t>12/01/1980</t>
  </si>
  <si>
    <t>19/08/1956</t>
  </si>
  <si>
    <t>11/10/1955</t>
  </si>
  <si>
    <t>16/03/1976</t>
  </si>
  <si>
    <t>27/09/1969</t>
  </si>
  <si>
    <t>01/12/1974</t>
  </si>
  <si>
    <t>22/07/1976</t>
  </si>
  <si>
    <t>Tim Le Rasle</t>
  </si>
  <si>
    <t>Dan Anderson</t>
  </si>
  <si>
    <t>02/02/1978</t>
  </si>
  <si>
    <t>29/04/1976</t>
  </si>
  <si>
    <t>03/03/1949</t>
  </si>
  <si>
    <t>Jag Singh</t>
  </si>
  <si>
    <t>24/09/1988</t>
  </si>
  <si>
    <t>Nicholas Wilson</t>
  </si>
  <si>
    <t>24/03/1988</t>
  </si>
  <si>
    <t>17/09/1967</t>
  </si>
  <si>
    <t>Richard Rowe</t>
  </si>
  <si>
    <t>13/06/1986</t>
  </si>
  <si>
    <t>19/04/1986</t>
  </si>
  <si>
    <t>Jon Whitehouse</t>
  </si>
  <si>
    <t>Loughton AC</t>
  </si>
  <si>
    <t>18/11/1972</t>
  </si>
  <si>
    <t>16/04/1958</t>
  </si>
  <si>
    <t>QBE Running Club</t>
  </si>
  <si>
    <t>Colin Dryland</t>
  </si>
  <si>
    <t>Suzanne Cubitt</t>
  </si>
  <si>
    <t>Bruce Mail</t>
  </si>
  <si>
    <t>Frank Mcgowan</t>
  </si>
  <si>
    <t>Maggie Bavington</t>
  </si>
  <si>
    <t>VM70,1</t>
  </si>
  <si>
    <t>VF65,1</t>
  </si>
  <si>
    <t>Male - V70 optional award</t>
  </si>
  <si>
    <t>Female - V65 optional award</t>
  </si>
  <si>
    <t>Caroline Frith</t>
  </si>
  <si>
    <t>Donna Ball</t>
  </si>
  <si>
    <t>Peter Ballard</t>
  </si>
  <si>
    <t>Stuart Ballard</t>
  </si>
  <si>
    <t>Tamsin Briggs</t>
  </si>
  <si>
    <t>Gemma Catlin</t>
  </si>
  <si>
    <t>Linda Day</t>
  </si>
  <si>
    <t>Bhaswar Dutta</t>
  </si>
  <si>
    <t>James Eggleton</t>
  </si>
  <si>
    <t>Enes Ergul</t>
  </si>
  <si>
    <t>Lysette Fenton</t>
  </si>
  <si>
    <t>Larissa Howard</t>
  </si>
  <si>
    <t>Daniel Karaiskou</t>
  </si>
  <si>
    <t>Amit Marks</t>
  </si>
  <si>
    <t>Callum Millward</t>
  </si>
  <si>
    <t>Rachel Mullaney</t>
  </si>
  <si>
    <t>Joanna Neville</t>
  </si>
  <si>
    <t>Geoffrey Nicholls</t>
  </si>
  <si>
    <t>Louise Norris</t>
  </si>
  <si>
    <t>Salar Rida</t>
  </si>
  <si>
    <t>Emma Ruggles</t>
  </si>
  <si>
    <t>Kautuk Shet</t>
  </si>
  <si>
    <t>Barry Smith</t>
  </si>
  <si>
    <t>Charissa Taylor</t>
  </si>
  <si>
    <t>Stephen Taylor</t>
  </si>
  <si>
    <t>Suzanne Taylor</t>
  </si>
  <si>
    <t>Zuzana Urbanova</t>
  </si>
  <si>
    <t>Joe Watts</t>
  </si>
  <si>
    <t>Cynthia Wood</t>
  </si>
  <si>
    <t>Tim Wood</t>
  </si>
  <si>
    <t>Rosalba Zucca</t>
  </si>
  <si>
    <t>Jag Bassi</t>
  </si>
  <si>
    <t>Melissa Lowndes</t>
  </si>
  <si>
    <t>Gaye Van Der Vyver</t>
  </si>
  <si>
    <t>Roman Caban</t>
  </si>
  <si>
    <t>Andrew Grix</t>
  </si>
  <si>
    <t>Michael Summers</t>
  </si>
  <si>
    <t>Scott Summers</t>
  </si>
  <si>
    <t>Trish Groves</t>
  </si>
  <si>
    <t>Michael Sharpe</t>
  </si>
  <si>
    <t>Anthony Verran</t>
  </si>
  <si>
    <t>George Mears</t>
  </si>
  <si>
    <t>Ampthill &amp; Flitwick Flyers Running Club</t>
  </si>
  <si>
    <t>Sikhs in the city</t>
  </si>
  <si>
    <t xml:space="preserve">Great Bentley </t>
  </si>
  <si>
    <t>Race 8</t>
  </si>
  <si>
    <t>30/05/2018</t>
  </si>
  <si>
    <t>12/06/2018</t>
  </si>
  <si>
    <t>21/06/2018</t>
  </si>
  <si>
    <t>18/07/2018</t>
  </si>
  <si>
    <t>01/08/2018</t>
  </si>
  <si>
    <t>11/08/2018</t>
  </si>
  <si>
    <t>27/08/2018</t>
  </si>
  <si>
    <t>30/09/2018</t>
  </si>
  <si>
    <t xml:space="preserve">Results for Elvis Race 8 hosted by </t>
  </si>
  <si>
    <t>Best 6 of 8 Races</t>
  </si>
  <si>
    <t>best 6 of 8</t>
  </si>
  <si>
    <t>R8 Pos</t>
  </si>
  <si>
    <t>R8Score</t>
  </si>
  <si>
    <t>R8 P/S</t>
  </si>
  <si>
    <t>Havering 90 Joggers on 12/06/2018</t>
  </si>
  <si>
    <t>East End Road Runners on 21/06/2018</t>
  </si>
  <si>
    <t>Ilford AC on 18/07/2018</t>
  </si>
  <si>
    <t>Harold Wood Running Club on 01/08/2018</t>
  </si>
  <si>
    <t>Orion Harriers on 11/08/2018</t>
  </si>
  <si>
    <t>Barking Road Runners on 27/08/2018</t>
  </si>
  <si>
    <t>East London Runners on 30/09/2018</t>
  </si>
  <si>
    <t>Dagenham 88 Runners on 30/05/2018</t>
  </si>
  <si>
    <t>Angelo Pieris</t>
  </si>
  <si>
    <t>Adam Bartlett</t>
  </si>
  <si>
    <t>Jimmi Lee</t>
  </si>
  <si>
    <t>Nathan Jones</t>
  </si>
  <si>
    <t>Danny Holeyman</t>
  </si>
  <si>
    <t>Josh Jenner</t>
  </si>
  <si>
    <t>Daniel Elwood</t>
  </si>
  <si>
    <t>In-Yong Hwang</t>
  </si>
  <si>
    <t>Tony Panton</t>
  </si>
  <si>
    <t>Tom Howourth</t>
  </si>
  <si>
    <t>Gary Flint</t>
  </si>
  <si>
    <t>Adam Coals</t>
  </si>
  <si>
    <t>Nick Clarke</t>
  </si>
  <si>
    <t>Brian Fry</t>
  </si>
  <si>
    <t>Terry Lewsey</t>
  </si>
  <si>
    <t>Ian Grant</t>
  </si>
  <si>
    <t>Jimmy Dale</t>
  </si>
  <si>
    <t xml:space="preserve">Manjit Singh </t>
  </si>
  <si>
    <t>Robert Lewis</t>
  </si>
  <si>
    <t>Emily Risness</t>
  </si>
  <si>
    <t>Anthony Maplesden</t>
  </si>
  <si>
    <t>Gary Binder</t>
  </si>
  <si>
    <t>Tony Rawson</t>
  </si>
  <si>
    <t>Gaye van der Vyver</t>
  </si>
  <si>
    <t>Rosie Hatch</t>
  </si>
  <si>
    <t>Martin Hawker</t>
  </si>
  <si>
    <t>Ruth Quince</t>
  </si>
  <si>
    <t>Eain Begg</t>
  </si>
  <si>
    <t>Tom Woods</t>
  </si>
  <si>
    <t>Tony Brooks</t>
  </si>
  <si>
    <t>Charlie Fisher</t>
  </si>
  <si>
    <t>Kate Pettit</t>
  </si>
  <si>
    <t>Hayley Smith</t>
  </si>
  <si>
    <t>Danielle Last</t>
  </si>
  <si>
    <t>Nikhelesh Chowdhury</t>
  </si>
  <si>
    <t>Lynda Gale</t>
  </si>
  <si>
    <t>Georgie Hooper</t>
  </si>
  <si>
    <t>Mark Wiltshire</t>
  </si>
  <si>
    <t>Kate Frost</t>
  </si>
  <si>
    <t>Alexandra Rutishauser-perera</t>
  </si>
  <si>
    <t>Rachel le Roux</t>
  </si>
  <si>
    <t>Darren Radford</t>
  </si>
  <si>
    <t>Helen Jenner</t>
  </si>
  <si>
    <t>Andrew Beazeley</t>
  </si>
  <si>
    <t>Louise Hawker</t>
  </si>
  <si>
    <t>Helen Mcguinness</t>
  </si>
  <si>
    <t>Dennis Spencer Perkins</t>
  </si>
  <si>
    <t>Sarah Pepper</t>
  </si>
  <si>
    <t>Grace McCorry</t>
  </si>
  <si>
    <t>Michelle Baxter-Wickham</t>
  </si>
  <si>
    <t>Brigid Mallee</t>
  </si>
  <si>
    <t>Leslie Jay</t>
  </si>
  <si>
    <t>Kim Parker</t>
  </si>
  <si>
    <t>Nicolette Middleton</t>
  </si>
  <si>
    <t>Keith Monaghan</t>
  </si>
  <si>
    <t>Nick Reeve</t>
  </si>
  <si>
    <t>Caroline Nicholson</t>
  </si>
  <si>
    <t>Alice Barrett</t>
  </si>
  <si>
    <t>Chris Anastasi</t>
  </si>
  <si>
    <t>Lee Davies</t>
  </si>
  <si>
    <t>Brooke Stephenson</t>
  </si>
  <si>
    <t>East London runners</t>
  </si>
  <si>
    <t>Paul Dupree</t>
  </si>
  <si>
    <t>Ford Cadiogan</t>
  </si>
  <si>
    <t>Kate White</t>
  </si>
  <si>
    <t>Vikki Harler</t>
  </si>
  <si>
    <t>AgeGroup</t>
  </si>
  <si>
    <t>Age_on_1_Jan_2018</t>
  </si>
  <si>
    <t>Age_on_31_12_2018</t>
  </si>
  <si>
    <t>OrganiserNote</t>
  </si>
  <si>
    <t>east london runners</t>
  </si>
  <si>
    <t>Clapham Chasers</t>
  </si>
  <si>
    <t>ilford A.C.</t>
  </si>
  <si>
    <t>UKRunChat Running Club</t>
  </si>
  <si>
    <t>Haveting 90 Johgers</t>
  </si>
  <si>
    <t>Brian Cross</t>
  </si>
  <si>
    <t>Stephanie Keyworth</t>
  </si>
  <si>
    <t>Danny Allen</t>
  </si>
  <si>
    <t>James Smith</t>
  </si>
  <si>
    <t>Lorraine Moor</t>
  </si>
  <si>
    <t>Emma O'Shea</t>
  </si>
  <si>
    <t>Stuart Burr</t>
  </si>
  <si>
    <t>Jenny O'Hanlon</t>
  </si>
  <si>
    <t>Rory Burr</t>
  </si>
  <si>
    <t>Guy Hildreth</t>
  </si>
  <si>
    <t>Marios Pitsialis</t>
  </si>
  <si>
    <t>Kerry Spink</t>
  </si>
  <si>
    <t>Michele Sullivan</t>
  </si>
  <si>
    <t>Karen Joy</t>
  </si>
  <si>
    <t>Kay Sandford</t>
  </si>
  <si>
    <t>Christine James</t>
  </si>
  <si>
    <t>Leanne Mitchell</t>
  </si>
  <si>
    <t>Laurella Noble</t>
  </si>
  <si>
    <t>Martin Vickery</t>
  </si>
  <si>
    <t>Daniel Senior</t>
  </si>
  <si>
    <t>Richard Rockliffe</t>
  </si>
  <si>
    <t>Janet Thomas</t>
  </si>
  <si>
    <t>Jon West</t>
  </si>
  <si>
    <t>Mark P</t>
  </si>
  <si>
    <t>Ray Sparra Everingham</t>
  </si>
  <si>
    <t>Julie Bradd</t>
  </si>
  <si>
    <t>Charlotte Buonaiuto</t>
  </si>
  <si>
    <t>Nicholas Keeble</t>
  </si>
  <si>
    <t>Andrew Houseago</t>
  </si>
  <si>
    <t>Harrison Houseago</t>
  </si>
  <si>
    <t>Reece Barclay</t>
  </si>
  <si>
    <t>Rachel Le Roux</t>
  </si>
  <si>
    <t>Sarah Horne</t>
  </si>
  <si>
    <t>Paul Depree</t>
  </si>
  <si>
    <t>Scott Brown</t>
  </si>
  <si>
    <t>Nico Hills-Pavlou</t>
  </si>
  <si>
    <t>sarah wixey</t>
  </si>
  <si>
    <t>Albert Kurniadi</t>
  </si>
  <si>
    <t>Kaye Jackson</t>
  </si>
  <si>
    <t>Tracey Titley</t>
  </si>
  <si>
    <t>Fraser Smart</t>
  </si>
  <si>
    <t>Robin Mcnelis</t>
  </si>
  <si>
    <t>Scott Mcmillan</t>
  </si>
  <si>
    <t>Mark East</t>
  </si>
  <si>
    <t>Grace Mccorry</t>
  </si>
  <si>
    <t>Harwich runners</t>
  </si>
  <si>
    <t>Simon My</t>
  </si>
  <si>
    <t>Elizabeth O'Donnell</t>
  </si>
  <si>
    <t>Paul Gaimster</t>
  </si>
  <si>
    <t>Jose Rodriguez</t>
  </si>
  <si>
    <t>James Cheseldine</t>
  </si>
  <si>
    <t>John Henry</t>
  </si>
  <si>
    <t>James Howlett</t>
  </si>
  <si>
    <t>Mark Mccolgan</t>
  </si>
  <si>
    <t>Joseph Mainwaring</t>
  </si>
  <si>
    <t>David Sherman</t>
  </si>
  <si>
    <t>Billy Walkington</t>
  </si>
  <si>
    <t>William Crossley</t>
  </si>
  <si>
    <t>Dylan Williams</t>
  </si>
  <si>
    <t>Holly Wood</t>
  </si>
  <si>
    <t>Dan Gilbert</t>
  </si>
  <si>
    <t>Jonathan Shaw</t>
  </si>
  <si>
    <t>Daniel Hall</t>
  </si>
  <si>
    <t>Jane Rukin-White</t>
  </si>
  <si>
    <t>Ged Browne</t>
  </si>
  <si>
    <t>Amy-Louise Bird</t>
  </si>
  <si>
    <t>Jolly Lazar</t>
  </si>
  <si>
    <t>Oliver Stokes</t>
  </si>
  <si>
    <t>Mark Eost</t>
  </si>
  <si>
    <t>Mark Robinson</t>
  </si>
  <si>
    <t>Jonathan Bree</t>
  </si>
  <si>
    <t>Rachel Terry</t>
  </si>
  <si>
    <t>Aditya Patil</t>
  </si>
  <si>
    <t>Gill Holmes</t>
  </si>
  <si>
    <t>Daniel Carroll</t>
  </si>
  <si>
    <t>Belal Aly</t>
  </si>
  <si>
    <t>Sarah Lenton</t>
  </si>
  <si>
    <t>John Mcgowan</t>
  </si>
  <si>
    <t>Lauren Kelly</t>
  </si>
  <si>
    <t>Wayne Mcallister</t>
  </si>
  <si>
    <t>Hope Amor</t>
  </si>
  <si>
    <t>Katie Kelly</t>
  </si>
  <si>
    <t>Imran Patel</t>
  </si>
  <si>
    <t>Adam Nichiporuk</t>
  </si>
  <si>
    <t>Kay Gillett</t>
  </si>
  <si>
    <t>Oliver Purton</t>
  </si>
  <si>
    <t>Jane Pannell</t>
  </si>
  <si>
    <t>Patrick Reid</t>
  </si>
  <si>
    <t>Jennie Ingrey</t>
  </si>
  <si>
    <t>Alice Clilverd</t>
  </si>
  <si>
    <t>Jennifer Hall</t>
  </si>
  <si>
    <t>Lauren Mansfield</t>
  </si>
  <si>
    <t>Carys Parry</t>
  </si>
  <si>
    <t>Samir Younsi</t>
  </si>
  <si>
    <t>Ijeoma Anozie</t>
  </si>
  <si>
    <t>David Dennis</t>
  </si>
  <si>
    <t>F Coles</t>
  </si>
  <si>
    <t>Karen Leung-Chester</t>
  </si>
  <si>
    <t>Fulva Giust Prole</t>
  </si>
  <si>
    <t>Yolanda Ceveira</t>
  </si>
  <si>
    <t>Dora Zsigri</t>
  </si>
  <si>
    <t>Zoya Gokhool</t>
  </si>
  <si>
    <t>Laura Mcnamara</t>
  </si>
  <si>
    <t>Alicia Burton</t>
  </si>
  <si>
    <t>Janet Cassford</t>
  </si>
  <si>
    <t>Hayley Collins</t>
  </si>
  <si>
    <t>Anastasia Luc</t>
  </si>
  <si>
    <t>Evan Snyder</t>
  </si>
  <si>
    <t>Hannah Mccorry</t>
  </si>
  <si>
    <t>Susannah Mclaren</t>
  </si>
  <si>
    <t>Narelle Mcclorey</t>
  </si>
  <si>
    <t>Mark Sawyer</t>
  </si>
  <si>
    <t>Parisa Skeldon</t>
  </si>
  <si>
    <t>Iona Preston</t>
  </si>
  <si>
    <t>Chris Kehoe</t>
  </si>
  <si>
    <t>Susana Minga</t>
  </si>
  <si>
    <t>Michelle Baxter Wickham</t>
  </si>
  <si>
    <t>Billie Coxhead</t>
  </si>
  <si>
    <t>Annette Scholz</t>
  </si>
  <si>
    <t>Mark Barth</t>
  </si>
  <si>
    <t>Abhishek Anand</t>
  </si>
  <si>
    <t>Angus Redfearn</t>
  </si>
  <si>
    <t>Katy Lennon</t>
  </si>
  <si>
    <t>Pet Lee</t>
  </si>
  <si>
    <t>Frances Everingham</t>
  </si>
  <si>
    <t>Shweta Tiwari</t>
  </si>
  <si>
    <t>Paulina Truszkowska</t>
  </si>
  <si>
    <t>Monika Truszkowska</t>
  </si>
  <si>
    <t>Mrs Woolston</t>
  </si>
  <si>
    <t>Michael Walden</t>
  </si>
  <si>
    <t>Abi Taiwo</t>
  </si>
  <si>
    <t>Wendy Everingham</t>
  </si>
  <si>
    <t>Janet Shaw</t>
  </si>
  <si>
    <t>Laura Christie</t>
  </si>
  <si>
    <t>Susan Campbell</t>
  </si>
  <si>
    <t>Kerry Houseago</t>
  </si>
  <si>
    <t>Robert Storey</t>
  </si>
  <si>
    <t>Lindsey Shaurette</t>
  </si>
  <si>
    <t>Marc-Taffy Upton</t>
  </si>
  <si>
    <t>Christopher Anastasi</t>
  </si>
  <si>
    <t>Porthcawl Runners</t>
  </si>
  <si>
    <t>sittingbourne striders</t>
  </si>
  <si>
    <t>Run4Purpose</t>
  </si>
  <si>
    <t>Kenilworth Runners</t>
  </si>
  <si>
    <t>So Lets Go Run</t>
  </si>
  <si>
    <t>Eas Grinstead Tri Club</t>
  </si>
  <si>
    <t>SEN</t>
  </si>
  <si>
    <t>V40</t>
  </si>
  <si>
    <t>V35</t>
  </si>
  <si>
    <t>V50</t>
  </si>
  <si>
    <t>V45</t>
  </si>
  <si>
    <t>V60</t>
  </si>
  <si>
    <t>V65</t>
  </si>
  <si>
    <t>V55</t>
  </si>
  <si>
    <t>U23</t>
  </si>
  <si>
    <t>V70</t>
  </si>
  <si>
    <t xml:space="preserve">   27.49 </t>
  </si>
  <si>
    <t>V75</t>
  </si>
  <si>
    <t xml:space="preserve">   29.48 </t>
  </si>
  <si>
    <t xml:space="preserve">   30.25 </t>
  </si>
  <si>
    <t xml:space="preserve">   32.06 </t>
  </si>
  <si>
    <t xml:space="preserve">   32.27 </t>
  </si>
  <si>
    <t xml:space="preserve">   32.31 </t>
  </si>
  <si>
    <t xml:space="preserve">   32.51 </t>
  </si>
  <si>
    <t xml:space="preserve">   33.30 </t>
  </si>
  <si>
    <t xml:space="preserve">   33.54 </t>
  </si>
  <si>
    <t xml:space="preserve">   37.11 </t>
  </si>
  <si>
    <t>Results for Ilford AC on 18/07/2018</t>
  </si>
  <si>
    <t>john rozee</t>
  </si>
  <si>
    <t>geoffrey nicholls</t>
  </si>
  <si>
    <t>julia galea</t>
  </si>
  <si>
    <t>Janine durrant</t>
  </si>
  <si>
    <t>Andrew Catton</t>
  </si>
  <si>
    <t>Ian Ridgley</t>
  </si>
  <si>
    <t>Matthew Ashford</t>
  </si>
  <si>
    <t>paula bedford</t>
  </si>
  <si>
    <t>stephen sheekey</t>
  </si>
  <si>
    <t>scott mcmillan</t>
  </si>
  <si>
    <t>kate malcolm</t>
  </si>
  <si>
    <t>Mubashar Hussain</t>
  </si>
  <si>
    <t>ernie forsyth</t>
  </si>
  <si>
    <t>emily clarke</t>
  </si>
  <si>
    <t>bruce mail</t>
  </si>
  <si>
    <t>CARLTON D'SOUZA</t>
  </si>
  <si>
    <t>Jane Swanson-sprent</t>
  </si>
  <si>
    <t>Jacob Stevens</t>
  </si>
  <si>
    <t>CARL FIFORD</t>
  </si>
  <si>
    <t>David hallybone</t>
  </si>
  <si>
    <t>Dave Mills</t>
  </si>
  <si>
    <t>Karan Gadhia</t>
  </si>
  <si>
    <t>Jeremy Yeates</t>
  </si>
  <si>
    <t>Henry Monaghan</t>
  </si>
  <si>
    <t>Chinthana Amarasinghe</t>
  </si>
  <si>
    <t>Michael Ashford</t>
  </si>
  <si>
    <t>Steven Bywater</t>
  </si>
  <si>
    <t>Kimberley Burnett</t>
  </si>
  <si>
    <t>martin mason</t>
  </si>
  <si>
    <t>Janet shaw</t>
  </si>
  <si>
    <t>Simon Leung-chester</t>
  </si>
  <si>
    <t>raymond shaw</t>
  </si>
  <si>
    <t>Mani Damodaran</t>
  </si>
  <si>
    <t>Raymond Dzikowski</t>
  </si>
  <si>
    <t>Bob Glasgow</t>
  </si>
  <si>
    <t>Wayne Hick</t>
  </si>
  <si>
    <t>Chris Chapman</t>
  </si>
  <si>
    <t>Jack Longman</t>
  </si>
  <si>
    <t>AndreaWaller</t>
  </si>
  <si>
    <t>Marty Geach</t>
  </si>
  <si>
    <t>Elliot Gorton</t>
  </si>
  <si>
    <t>Amy Geach</t>
  </si>
  <si>
    <t>Grant Gorton</t>
  </si>
  <si>
    <t>Sarah Thomas</t>
  </si>
  <si>
    <t>Mathew Woodman</t>
  </si>
  <si>
    <t>drax allstars</t>
  </si>
  <si>
    <t xml:space="preserve">   29.19 </t>
  </si>
  <si>
    <t xml:space="preserve">   29.40 </t>
  </si>
  <si>
    <t xml:space="preserve">   30.17 </t>
  </si>
  <si>
    <t xml:space="preserve">   30.38 </t>
  </si>
  <si>
    <t xml:space="preserve">   31.02 </t>
  </si>
  <si>
    <t xml:space="preserve">   31.05 </t>
  </si>
  <si>
    <t xml:space="preserve">   31.09 </t>
  </si>
  <si>
    <t xml:space="preserve">   31.12 </t>
  </si>
  <si>
    <t xml:space="preserve">   31.26 </t>
  </si>
  <si>
    <t xml:space="preserve">   31.45 </t>
  </si>
  <si>
    <t xml:space="preserve">   31.59 </t>
  </si>
  <si>
    <t xml:space="preserve">   32.08 </t>
  </si>
  <si>
    <t xml:space="preserve">   32.16 </t>
  </si>
  <si>
    <t xml:space="preserve">   32.23 </t>
  </si>
  <si>
    <t xml:space="preserve">   32.25 </t>
  </si>
  <si>
    <t xml:space="preserve">   32.30 </t>
  </si>
  <si>
    <t xml:space="preserve">   32.32 </t>
  </si>
  <si>
    <t xml:space="preserve">   32.39 </t>
  </si>
  <si>
    <t xml:space="preserve">   32.47 </t>
  </si>
  <si>
    <t xml:space="preserve">   33.08 </t>
  </si>
  <si>
    <t xml:space="preserve">   33.09 </t>
  </si>
  <si>
    <t xml:space="preserve">   33.16 </t>
  </si>
  <si>
    <t xml:space="preserve">   33.27 </t>
  </si>
  <si>
    <t xml:space="preserve">   33.31 </t>
  </si>
  <si>
    <t xml:space="preserve">   33.33 </t>
  </si>
  <si>
    <t xml:space="preserve">   33.35 </t>
  </si>
  <si>
    <t xml:space="preserve">   33.37 </t>
  </si>
  <si>
    <t xml:space="preserve">   33.43 </t>
  </si>
  <si>
    <t xml:space="preserve">   33.48 </t>
  </si>
  <si>
    <t xml:space="preserve">   34.00 </t>
  </si>
  <si>
    <t xml:space="preserve">   34.19 </t>
  </si>
  <si>
    <t xml:space="preserve">   34.28 </t>
  </si>
  <si>
    <t xml:space="preserve">   34.31 </t>
  </si>
  <si>
    <t xml:space="preserve">   34.33 </t>
  </si>
  <si>
    <t xml:space="preserve">   34.49 </t>
  </si>
  <si>
    <t xml:space="preserve">   34.50 </t>
  </si>
  <si>
    <t xml:space="preserve">   34.58 </t>
  </si>
  <si>
    <t xml:space="preserve">   35.24 </t>
  </si>
  <si>
    <t xml:space="preserve">   35.27 </t>
  </si>
  <si>
    <t xml:space="preserve">   35.32 </t>
  </si>
  <si>
    <t xml:space="preserve">   35.34 </t>
  </si>
  <si>
    <t xml:space="preserve">   35.37 </t>
  </si>
  <si>
    <t xml:space="preserve">   35.44 </t>
  </si>
  <si>
    <t xml:space="preserve">   35.48 </t>
  </si>
  <si>
    <t xml:space="preserve">   35.55 </t>
  </si>
  <si>
    <t xml:space="preserve">   36.01 </t>
  </si>
  <si>
    <t xml:space="preserve">   36.07 </t>
  </si>
  <si>
    <t xml:space="preserve">   36.12 </t>
  </si>
  <si>
    <t xml:space="preserve">   36.16 </t>
  </si>
  <si>
    <t xml:space="preserve">   36.27 </t>
  </si>
  <si>
    <t xml:space="preserve">   36.29 </t>
  </si>
  <si>
    <t xml:space="preserve">   36.31 </t>
  </si>
  <si>
    <t xml:space="preserve">   36.32 </t>
  </si>
  <si>
    <t xml:space="preserve">   36.33 </t>
  </si>
  <si>
    <t xml:space="preserve">   36.34 </t>
  </si>
  <si>
    <t xml:space="preserve">   36.44 </t>
  </si>
  <si>
    <t xml:space="preserve">   36.48 </t>
  </si>
  <si>
    <t xml:space="preserve">   37.04 </t>
  </si>
  <si>
    <t xml:space="preserve">   37.05 </t>
  </si>
  <si>
    <t xml:space="preserve">   37.08 </t>
  </si>
  <si>
    <t xml:space="preserve">   37.09 </t>
  </si>
  <si>
    <t xml:space="preserve">   37.15 </t>
  </si>
  <si>
    <t xml:space="preserve">   37.17 </t>
  </si>
  <si>
    <t xml:space="preserve">   37.18 </t>
  </si>
  <si>
    <t xml:space="preserve">   37.19 </t>
  </si>
  <si>
    <t>U17</t>
  </si>
  <si>
    <t xml:space="preserve">   37.20 </t>
  </si>
  <si>
    <t xml:space="preserve">   37.22 </t>
  </si>
  <si>
    <t xml:space="preserve">   37.23 </t>
  </si>
  <si>
    <t xml:space="preserve">   37.37 </t>
  </si>
  <si>
    <t xml:space="preserve">   37.50 </t>
  </si>
  <si>
    <t xml:space="preserve">   37.52 </t>
  </si>
  <si>
    <t xml:space="preserve">   38.09 </t>
  </si>
  <si>
    <t xml:space="preserve">   38.15 </t>
  </si>
  <si>
    <t xml:space="preserve">   38.18 </t>
  </si>
  <si>
    <t xml:space="preserve">   38.21 </t>
  </si>
  <si>
    <t xml:space="preserve">   38.25 </t>
  </si>
  <si>
    <t xml:space="preserve">   38.30 </t>
  </si>
  <si>
    <t xml:space="preserve">   38.31 </t>
  </si>
  <si>
    <t xml:space="preserve">   38.41 </t>
  </si>
  <si>
    <t xml:space="preserve">   38.45 </t>
  </si>
  <si>
    <t xml:space="preserve">   38.56 </t>
  </si>
  <si>
    <t xml:space="preserve">   38.59 </t>
  </si>
  <si>
    <t xml:space="preserve">   39.00 </t>
  </si>
  <si>
    <t xml:space="preserve">   39.02 </t>
  </si>
  <si>
    <t xml:space="preserve">   39.03 </t>
  </si>
  <si>
    <t xml:space="preserve">   39.04 </t>
  </si>
  <si>
    <t xml:space="preserve">   39.09 </t>
  </si>
  <si>
    <t xml:space="preserve">   39.11 </t>
  </si>
  <si>
    <t xml:space="preserve">   39.23 </t>
  </si>
  <si>
    <t xml:space="preserve">   39.27 </t>
  </si>
  <si>
    <t xml:space="preserve">   39.32 </t>
  </si>
  <si>
    <t xml:space="preserve">   39.37 </t>
  </si>
  <si>
    <t xml:space="preserve">   39.38 </t>
  </si>
  <si>
    <t xml:space="preserve">   39.41 </t>
  </si>
  <si>
    <t xml:space="preserve">   39.44 </t>
  </si>
  <si>
    <t xml:space="preserve">   39.48 </t>
  </si>
  <si>
    <t xml:space="preserve">   39.50 </t>
  </si>
  <si>
    <t xml:space="preserve">   39.53 </t>
  </si>
  <si>
    <t xml:space="preserve">   39.55 </t>
  </si>
  <si>
    <t xml:space="preserve">   40.02 </t>
  </si>
  <si>
    <t xml:space="preserve">   40.04 </t>
  </si>
  <si>
    <t xml:space="preserve">   40.07 </t>
  </si>
  <si>
    <t xml:space="preserve">   40.33 </t>
  </si>
  <si>
    <t xml:space="preserve">   40.39 </t>
  </si>
  <si>
    <t xml:space="preserve">   40.59 </t>
  </si>
  <si>
    <t xml:space="preserve">   41.14 </t>
  </si>
  <si>
    <t xml:space="preserve">   41.17 </t>
  </si>
  <si>
    <t xml:space="preserve">   41.18 </t>
  </si>
  <si>
    <t xml:space="preserve">   41.21 </t>
  </si>
  <si>
    <t xml:space="preserve">   41.29 </t>
  </si>
  <si>
    <t xml:space="preserve">   41.31 </t>
  </si>
  <si>
    <t xml:space="preserve">   41.37 </t>
  </si>
  <si>
    <t xml:space="preserve">   41.38 </t>
  </si>
  <si>
    <t xml:space="preserve">   41.40 </t>
  </si>
  <si>
    <t xml:space="preserve">   41.45 </t>
  </si>
  <si>
    <t xml:space="preserve">   41.53 </t>
  </si>
  <si>
    <t xml:space="preserve">   42.00 </t>
  </si>
  <si>
    <t xml:space="preserve">   42.07 </t>
  </si>
  <si>
    <t xml:space="preserve">   42.10 </t>
  </si>
  <si>
    <t xml:space="preserve">   42.16 </t>
  </si>
  <si>
    <t xml:space="preserve">   42.18 </t>
  </si>
  <si>
    <t xml:space="preserve">   42.23 </t>
  </si>
  <si>
    <t xml:space="preserve">   42.24 </t>
  </si>
  <si>
    <t xml:space="preserve">   42.27 </t>
  </si>
  <si>
    <t xml:space="preserve">   42.32 </t>
  </si>
  <si>
    <t xml:space="preserve">   42.34 </t>
  </si>
  <si>
    <t xml:space="preserve">   42.42 </t>
  </si>
  <si>
    <t xml:space="preserve">   42.44 </t>
  </si>
  <si>
    <t xml:space="preserve">   42.46 </t>
  </si>
  <si>
    <t xml:space="preserve">   42.47 </t>
  </si>
  <si>
    <t xml:space="preserve">   42.54 </t>
  </si>
  <si>
    <t xml:space="preserve">   42.58 </t>
  </si>
  <si>
    <t xml:space="preserve">   42.59 </t>
  </si>
  <si>
    <t xml:space="preserve">   43.04 </t>
  </si>
  <si>
    <t xml:space="preserve">   43.10 </t>
  </si>
  <si>
    <t xml:space="preserve">   43.13 </t>
  </si>
  <si>
    <t xml:space="preserve">   43.20 </t>
  </si>
  <si>
    <t xml:space="preserve">   43.23 </t>
  </si>
  <si>
    <t xml:space="preserve">   43.28 </t>
  </si>
  <si>
    <t xml:space="preserve">   43.36 </t>
  </si>
  <si>
    <t xml:space="preserve">   43.37 </t>
  </si>
  <si>
    <t xml:space="preserve">   43.49 </t>
  </si>
  <si>
    <t xml:space="preserve">   43.56 </t>
  </si>
  <si>
    <t xml:space="preserve">   44.03 </t>
  </si>
  <si>
    <t xml:space="preserve">   44.07 </t>
  </si>
  <si>
    <t xml:space="preserve">   44.20 </t>
  </si>
  <si>
    <t xml:space="preserve">   44.25 </t>
  </si>
  <si>
    <t xml:space="preserve">   44.33 </t>
  </si>
  <si>
    <t xml:space="preserve">   44.41 </t>
  </si>
  <si>
    <t xml:space="preserve">   44.47 </t>
  </si>
  <si>
    <t xml:space="preserve">   44.48 </t>
  </si>
  <si>
    <t xml:space="preserve">   44.50 </t>
  </si>
  <si>
    <t xml:space="preserve">   44.57 </t>
  </si>
  <si>
    <t xml:space="preserve">   45.01 </t>
  </si>
  <si>
    <t xml:space="preserve">   45.13 </t>
  </si>
  <si>
    <t xml:space="preserve">   45.17 </t>
  </si>
  <si>
    <t xml:space="preserve">   45.22 </t>
  </si>
  <si>
    <t xml:space="preserve">   45.26 </t>
  </si>
  <si>
    <t xml:space="preserve">   45.27 </t>
  </si>
  <si>
    <t xml:space="preserve">   45.28 </t>
  </si>
  <si>
    <t xml:space="preserve">   45.29 </t>
  </si>
  <si>
    <t xml:space="preserve">   45.41 </t>
  </si>
  <si>
    <t xml:space="preserve">   45.45 </t>
  </si>
  <si>
    <t xml:space="preserve">   45.50 </t>
  </si>
  <si>
    <t xml:space="preserve">   45.51 </t>
  </si>
  <si>
    <t xml:space="preserve">   46.22 </t>
  </si>
  <si>
    <t xml:space="preserve">   46.35 </t>
  </si>
  <si>
    <t xml:space="preserve">   46.39 </t>
  </si>
  <si>
    <t xml:space="preserve">   46.42 </t>
  </si>
  <si>
    <t xml:space="preserve">   46.47 </t>
  </si>
  <si>
    <t xml:space="preserve">   46.57 </t>
  </si>
  <si>
    <t xml:space="preserve">   46.59 </t>
  </si>
  <si>
    <t xml:space="preserve">   47.02 </t>
  </si>
  <si>
    <t xml:space="preserve">   47.03 </t>
  </si>
  <si>
    <t xml:space="preserve">   47.13 </t>
  </si>
  <si>
    <t xml:space="preserve">   47.17 </t>
  </si>
  <si>
    <t xml:space="preserve">   47.20 </t>
  </si>
  <si>
    <t xml:space="preserve">   47.23 </t>
  </si>
  <si>
    <t xml:space="preserve">   47.39 </t>
  </si>
  <si>
    <t xml:space="preserve">   47.40 </t>
  </si>
  <si>
    <t xml:space="preserve">   47.49 </t>
  </si>
  <si>
    <t xml:space="preserve">   47.50 </t>
  </si>
  <si>
    <t xml:space="preserve">   48.00 </t>
  </si>
  <si>
    <t xml:space="preserve">   48.04 </t>
  </si>
  <si>
    <t xml:space="preserve">   48.20 </t>
  </si>
  <si>
    <t xml:space="preserve">   48.25 </t>
  </si>
  <si>
    <t xml:space="preserve">   48.27 </t>
  </si>
  <si>
    <t xml:space="preserve">   48.30 </t>
  </si>
  <si>
    <t xml:space="preserve">   48.35 </t>
  </si>
  <si>
    <t xml:space="preserve">   48.42 </t>
  </si>
  <si>
    <t xml:space="preserve">   48.47 </t>
  </si>
  <si>
    <t xml:space="preserve">   48.48 </t>
  </si>
  <si>
    <t xml:space="preserve">   48.58 </t>
  </si>
  <si>
    <t xml:space="preserve">   49.09 </t>
  </si>
  <si>
    <t xml:space="preserve">   49.17 </t>
  </si>
  <si>
    <t xml:space="preserve">   49.40 </t>
  </si>
  <si>
    <t xml:space="preserve">   49.43 </t>
  </si>
  <si>
    <t xml:space="preserve">   49.45 </t>
  </si>
  <si>
    <t xml:space="preserve">   49.53 </t>
  </si>
  <si>
    <t xml:space="preserve">   49.55 </t>
  </si>
  <si>
    <t xml:space="preserve">   50.02 </t>
  </si>
  <si>
    <t xml:space="preserve">   50.06 </t>
  </si>
  <si>
    <t xml:space="preserve">   50.10 </t>
  </si>
  <si>
    <t xml:space="preserve">   50.19 </t>
  </si>
  <si>
    <t xml:space="preserve">   50.25 </t>
  </si>
  <si>
    <t xml:space="preserve">   50.32 </t>
  </si>
  <si>
    <t xml:space="preserve">   50.35 </t>
  </si>
  <si>
    <t xml:space="preserve">   50.37 </t>
  </si>
  <si>
    <t xml:space="preserve">   50.49 </t>
  </si>
  <si>
    <t xml:space="preserve">   50.54 </t>
  </si>
  <si>
    <t xml:space="preserve">   50.59 </t>
  </si>
  <si>
    <t xml:space="preserve">   51.00 </t>
  </si>
  <si>
    <t xml:space="preserve">   51.47 </t>
  </si>
  <si>
    <t xml:space="preserve">   51.58 </t>
  </si>
  <si>
    <t xml:space="preserve">   52.11 </t>
  </si>
  <si>
    <t xml:space="preserve">   52.15 </t>
  </si>
  <si>
    <t xml:space="preserve">   52.39 </t>
  </si>
  <si>
    <t xml:space="preserve">   52.44 </t>
  </si>
  <si>
    <t xml:space="preserve">   53.02 </t>
  </si>
  <si>
    <t xml:space="preserve">   53.57 </t>
  </si>
  <si>
    <t xml:space="preserve">   54.04 </t>
  </si>
  <si>
    <t xml:space="preserve">   54.32 </t>
  </si>
  <si>
    <t xml:space="preserve">   54.38 </t>
  </si>
  <si>
    <t xml:space="preserve">   54.49 </t>
  </si>
  <si>
    <t xml:space="preserve">   55.05 </t>
  </si>
  <si>
    <t xml:space="preserve">   55.18 </t>
  </si>
  <si>
    <t xml:space="preserve">   56.03 </t>
  </si>
  <si>
    <t xml:space="preserve">   56.54 </t>
  </si>
  <si>
    <t xml:space="preserve">   56.56 </t>
  </si>
  <si>
    <t xml:space="preserve">   57.50 </t>
  </si>
  <si>
    <t xml:space="preserve">   57.52 </t>
  </si>
  <si>
    <t xml:space="preserve">   58.16 </t>
  </si>
  <si>
    <t xml:space="preserve">   58.44 </t>
  </si>
  <si>
    <t xml:space="preserve">   59.03 </t>
  </si>
  <si>
    <t xml:space="preserve">   59.32 </t>
  </si>
  <si>
    <t xml:space="preserve">1.00.11 </t>
  </si>
  <si>
    <t xml:space="preserve">1.00.12 </t>
  </si>
  <si>
    <t xml:space="preserve">1.01.05 </t>
  </si>
  <si>
    <t xml:space="preserve">1.01.10 </t>
  </si>
  <si>
    <t xml:space="preserve">1.01.24 </t>
  </si>
  <si>
    <t xml:space="preserve">1.03.14 </t>
  </si>
  <si>
    <t xml:space="preserve">1.03.53 </t>
  </si>
  <si>
    <t xml:space="preserve">1.04.32 </t>
  </si>
  <si>
    <t xml:space="preserve">1.06.44 </t>
  </si>
  <si>
    <t>Elliot Corton</t>
  </si>
  <si>
    <t>Results for Barking Road Runners on 27/08/2018</t>
  </si>
  <si>
    <t>Emergency_contact_name</t>
  </si>
  <si>
    <t>Emergency_contact_number</t>
  </si>
  <si>
    <t>Kent AC</t>
  </si>
  <si>
    <t>Dennis James Briggs</t>
  </si>
  <si>
    <t>Ben Cook</t>
  </si>
  <si>
    <t>Daniel Holeyman</t>
  </si>
  <si>
    <t>John Griffin</t>
  </si>
  <si>
    <t>michael pegnall</t>
  </si>
  <si>
    <t>ernest forsyth</t>
  </si>
  <si>
    <t>Joy McCormack</t>
  </si>
  <si>
    <t>Alain Fieulaine</t>
  </si>
  <si>
    <t>Carol muir</t>
  </si>
  <si>
    <t>Nuray Shoukri</t>
  </si>
  <si>
    <t>vikki harler</t>
  </si>
  <si>
    <t>TONY COLLINS</t>
  </si>
  <si>
    <t>Malcolm muir</t>
  </si>
  <si>
    <t>Arthur Diaz</t>
  </si>
  <si>
    <t>Chorlton Runners</t>
  </si>
  <si>
    <t>Selon Timi Veerasamy</t>
  </si>
  <si>
    <t>Alan Horne</t>
  </si>
  <si>
    <t>Nicholas Reeve</t>
  </si>
  <si>
    <t>Zoila Gilham-Fernandez</t>
  </si>
  <si>
    <t>Les Adler</t>
  </si>
  <si>
    <t>Peter Bulaitis</t>
  </si>
  <si>
    <t>peter hatley</t>
  </si>
  <si>
    <t>Caroline Cross</t>
  </si>
  <si>
    <t>ray shaw</t>
  </si>
  <si>
    <t>Ilona Alaburda</t>
  </si>
  <si>
    <t>orion harriers</t>
  </si>
  <si>
    <t>jane evans</t>
  </si>
  <si>
    <t>Susan Bushnell</t>
  </si>
  <si>
    <t>Alison Hinton</t>
  </si>
  <si>
    <t>Emdad Rahman</t>
  </si>
  <si>
    <t>George Fernandez</t>
  </si>
  <si>
    <t>stephen philcox</t>
  </si>
  <si>
    <t>Katie Self</t>
  </si>
  <si>
    <t>Uzma Rehman</t>
  </si>
  <si>
    <t>kieran brown</t>
  </si>
  <si>
    <t>Hameera Darr</t>
  </si>
  <si>
    <t>david cato</t>
  </si>
  <si>
    <t>Lee Davis</t>
  </si>
  <si>
    <t>ALAN COSTAR</t>
  </si>
  <si>
    <t>Luvvie Darling</t>
  </si>
  <si>
    <t>RaDA</t>
  </si>
  <si>
    <t>Dougie Barber</t>
  </si>
  <si>
    <t>Coltishall Jaguars RC</t>
  </si>
  <si>
    <t>Katie McInnes</t>
  </si>
  <si>
    <t>Romford</t>
  </si>
  <si>
    <t>Essex</t>
  </si>
  <si>
    <t>(missing code for Age=43)</t>
  </si>
  <si>
    <t>(missing code for Age=33)</t>
  </si>
  <si>
    <t>Mary</t>
  </si>
  <si>
    <t>Armitage</t>
  </si>
  <si>
    <t>Falmer Rd</t>
  </si>
  <si>
    <t>E17 3BH</t>
  </si>
  <si>
    <t>mary.armitage1@outlook.com</t>
  </si>
  <si>
    <t>'02085036513'</t>
  </si>
  <si>
    <t>'Kathleen Alpguner'</t>
  </si>
  <si>
    <t>'07773 454543'</t>
  </si>
  <si>
    <t xml:space="preserve"> '2869741'</t>
  </si>
  <si>
    <t>Radoslaw</t>
  </si>
  <si>
    <t>Michalczuk</t>
  </si>
  <si>
    <t>58 Richmond Road</t>
  </si>
  <si>
    <t>Grays</t>
  </si>
  <si>
    <t>rm176dw</t>
  </si>
  <si>
    <t>mistaad@gmail.com</t>
  </si>
  <si>
    <t>'00447411493778'</t>
  </si>
  <si>
    <t>'nina'</t>
  </si>
  <si>
    <t>'07454874974'</t>
  </si>
  <si>
    <t>Rob</t>
  </si>
  <si>
    <t>Moore</t>
  </si>
  <si>
    <t>123 Smarts Lane</t>
  </si>
  <si>
    <t>Loughton</t>
  </si>
  <si>
    <t>IG104BP</t>
  </si>
  <si>
    <t>robertloum@gmail.com</t>
  </si>
  <si>
    <t>'07905444105'</t>
  </si>
  <si>
    <t>'Maria Moore'</t>
  </si>
  <si>
    <t>'07947584821'</t>
  </si>
  <si>
    <t xml:space="preserve"> '3696314'</t>
  </si>
  <si>
    <t>(missing code for Age=53)</t>
  </si>
  <si>
    <t>Marc Taffy</t>
  </si>
  <si>
    <t>Upton</t>
  </si>
  <si>
    <t>163 Boundary Rd</t>
  </si>
  <si>
    <t>E13 9QF</t>
  </si>
  <si>
    <t>mrtaffy@live.co.uk</t>
  </si>
  <si>
    <t>'07931347734'</t>
  </si>
  <si>
    <t>'June Noel'</t>
  </si>
  <si>
    <t xml:space="preserve"> '3491108'</t>
  </si>
  <si>
    <t>(missing code for Age=48)</t>
  </si>
  <si>
    <t>Prabhakaran</t>
  </si>
  <si>
    <t>Sukumar</t>
  </si>
  <si>
    <t>47  Crownfield Avenue</t>
  </si>
  <si>
    <t>Newbury Park</t>
  </si>
  <si>
    <t>Ilford</t>
  </si>
  <si>
    <t>IG2 7RP</t>
  </si>
  <si>
    <t>suku.gowri@gmail.com</t>
  </si>
  <si>
    <t>'07545450257'</t>
  </si>
  <si>
    <t>'Gowri Sukumar'</t>
  </si>
  <si>
    <t>'07887906393'</t>
  </si>
  <si>
    <t xml:space="preserve"> '3809203'</t>
  </si>
  <si>
    <t>Gowri</t>
  </si>
  <si>
    <t>sukumar_gowri@yahoo.co.uk</t>
  </si>
  <si>
    <t>'Prabhakaran Sukumar'</t>
  </si>
  <si>
    <t xml:space="preserve"> '3809200'</t>
  </si>
  <si>
    <t>Rachel</t>
  </si>
  <si>
    <t>Le Roux</t>
  </si>
  <si>
    <t>64 Downsell Road</t>
  </si>
  <si>
    <t>Stratford</t>
  </si>
  <si>
    <t>E15 2BU</t>
  </si>
  <si>
    <t>rachel.tunbridge@yahoo.com</t>
  </si>
  <si>
    <t>'07960219581'</t>
  </si>
  <si>
    <t>'Louis Le Roux'</t>
  </si>
  <si>
    <t>'07722089765'</t>
  </si>
  <si>
    <t xml:space="preserve"> '3623516'</t>
  </si>
  <si>
    <t>(missing code for Age=36)</t>
  </si>
  <si>
    <t>Megan</t>
  </si>
  <si>
    <t>Davies</t>
  </si>
  <si>
    <t>403 Dollar Bay Point</t>
  </si>
  <si>
    <t>E14 9BX</t>
  </si>
  <si>
    <t>mizzmoo_152@hotmail.com</t>
  </si>
  <si>
    <t>'07557676092'</t>
  </si>
  <si>
    <t>'Karl Raven'</t>
  </si>
  <si>
    <t>'07732462106'</t>
  </si>
  <si>
    <t xml:space="preserve"> '3810589'</t>
  </si>
  <si>
    <t>(missing code for Age=28)</t>
  </si>
  <si>
    <t>Esther</t>
  </si>
  <si>
    <t>Shifra</t>
  </si>
  <si>
    <t>128 Fourth Avenue</t>
  </si>
  <si>
    <t>Manor Park</t>
  </si>
  <si>
    <t>E12 6DR</t>
  </si>
  <si>
    <t>esther@shifra.co.uk</t>
  </si>
  <si>
    <t>'2089118852'</t>
  </si>
  <si>
    <t>'Shirley Sceats'</t>
  </si>
  <si>
    <t>'07854347807'</t>
  </si>
  <si>
    <t xml:space="preserve"> '2816682'</t>
  </si>
  <si>
    <t>(missing code for Age=62)</t>
  </si>
  <si>
    <t>Bisi</t>
  </si>
  <si>
    <t>Imafidon</t>
  </si>
  <si>
    <t>126 Corporation Street</t>
  </si>
  <si>
    <t>E15 3HE</t>
  </si>
  <si>
    <t>olabisi.imafidon@ntlworld.com</t>
  </si>
  <si>
    <t>'07979261647'</t>
  </si>
  <si>
    <t>'Jaiye'</t>
  </si>
  <si>
    <t>'07979828428'</t>
  </si>
  <si>
    <t xml:space="preserve"> '2735575'</t>
  </si>
  <si>
    <t>(missing code for Age=51)</t>
  </si>
  <si>
    <t>Alice</t>
  </si>
  <si>
    <t>Ridgway</t>
  </si>
  <si>
    <t>26 Gurney Close</t>
  </si>
  <si>
    <t>E15 1SJ</t>
  </si>
  <si>
    <t>aliceridgway@hotmail.co.uk</t>
  </si>
  <si>
    <t>'07821618986'</t>
  </si>
  <si>
    <t>'Joanna Ridgway'</t>
  </si>
  <si>
    <t>'07517951640'</t>
  </si>
  <si>
    <t xml:space="preserve"> '3577684'</t>
  </si>
  <si>
    <t>(missing code for Age=29)</t>
  </si>
  <si>
    <t>Claire</t>
  </si>
  <si>
    <t>Adamson</t>
  </si>
  <si>
    <t>41 Oban Street</t>
  </si>
  <si>
    <t>E14 0JA</t>
  </si>
  <si>
    <t>cl.adamson@hotmail.co.uk</t>
  </si>
  <si>
    <t>'07776252809'</t>
  </si>
  <si>
    <t>'Stuart Adamson'</t>
  </si>
  <si>
    <t>'07860749348'</t>
  </si>
  <si>
    <t xml:space="preserve"> '3372264'</t>
  </si>
  <si>
    <t>(missing code for Age=42)</t>
  </si>
  <si>
    <t>Sharon</t>
  </si>
  <si>
    <t>Honey</t>
  </si>
  <si>
    <t>Dalwood</t>
  </si>
  <si>
    <t>Broxhill Road</t>
  </si>
  <si>
    <t>RM4 1QH</t>
  </si>
  <si>
    <t>sharonlhoney@hotmail.com</t>
  </si>
  <si>
    <t>'07972824419'</t>
  </si>
  <si>
    <t>'Roger Honey'</t>
  </si>
  <si>
    <t>'07889785089'</t>
  </si>
  <si>
    <t xml:space="preserve"> '2695645'</t>
  </si>
  <si>
    <t>(missing code for Age=61)</t>
  </si>
  <si>
    <t>Steven</t>
  </si>
  <si>
    <t>Bywater</t>
  </si>
  <si>
    <t>59 Malmesbury Road</t>
  </si>
  <si>
    <t>E18 2NL</t>
  </si>
  <si>
    <t>bywater.sj@gmail.com</t>
  </si>
  <si>
    <t>'07476465382'</t>
  </si>
  <si>
    <t>'Janet Bywater'</t>
  </si>
  <si>
    <t>''</t>
  </si>
  <si>
    <t xml:space="preserve"> '3134969'</t>
  </si>
  <si>
    <t>Aaron</t>
  </si>
  <si>
    <t>Browne</t>
  </si>
  <si>
    <t>13 ravenoak way</t>
  </si>
  <si>
    <t>Chigwell</t>
  </si>
  <si>
    <t>IG74EL</t>
  </si>
  <si>
    <t>aaron.j.browne24-7@hotmail.com</t>
  </si>
  <si>
    <t>'07858595545'</t>
  </si>
  <si>
    <t>'deeniece'</t>
  </si>
  <si>
    <t>'07851153257'</t>
  </si>
  <si>
    <t xml:space="preserve"> '3401348'</t>
  </si>
  <si>
    <t>(missing code for Age=25)</t>
  </si>
  <si>
    <t>Radoslaw Michalczuk</t>
  </si>
  <si>
    <t>Rob Moore</t>
  </si>
  <si>
    <t>Marc Taffy Upton</t>
  </si>
  <si>
    <t>Prabhakaran Sukumar</t>
  </si>
  <si>
    <t>Gowri Sukumar</t>
  </si>
  <si>
    <t>Megan Davies</t>
  </si>
  <si>
    <t>Neil Kirkham</t>
  </si>
  <si>
    <t>Taruna Sharma</t>
  </si>
  <si>
    <t>Adrain frost</t>
  </si>
  <si>
    <t xml:space="preserve">Emily Bullis	</t>
  </si>
  <si>
    <t>Gemma Kersey</t>
  </si>
  <si>
    <t>Veronica Waller</t>
  </si>
  <si>
    <t>Sunander Sarker-Bell</t>
  </si>
  <si>
    <t>Jasmine Bell</t>
  </si>
  <si>
    <t>Steve Constantinou</t>
  </si>
  <si>
    <t>Buddy Green</t>
  </si>
  <si>
    <t>Mark Pearce</t>
  </si>
  <si>
    <t>Nick Wilson</t>
  </si>
  <si>
    <t>Ryan Holeyman</t>
  </si>
  <si>
    <t>John Healy</t>
  </si>
  <si>
    <t>Barney Duly</t>
  </si>
  <si>
    <t>Peter Chaplin</t>
  </si>
  <si>
    <t>,1</t>
  </si>
  <si>
    <t>,2</t>
  </si>
  <si>
    <t>,3</t>
  </si>
  <si>
    <t>SM,1</t>
  </si>
  <si>
    <t>M,4</t>
  </si>
  <si>
    <t>M,5</t>
  </si>
  <si>
    <t>SM,2</t>
  </si>
  <si>
    <t>M,6</t>
  </si>
  <si>
    <t>SM,3</t>
  </si>
  <si>
    <t>M,7</t>
  </si>
  <si>
    <t>SM,4</t>
  </si>
  <si>
    <t>M,8</t>
  </si>
  <si>
    <t>VM40,2</t>
  </si>
  <si>
    <t>M,9</t>
  </si>
  <si>
    <t>,4</t>
  </si>
  <si>
    <t>SM,5</t>
  </si>
  <si>
    <t>M,10</t>
  </si>
  <si>
    <t>SM,6</t>
  </si>
  <si>
    <t>M,11</t>
  </si>
  <si>
    <t>SM,7</t>
  </si>
  <si>
    <t>M,12</t>
  </si>
  <si>
    <t>VM40,3</t>
  </si>
  <si>
    <t>M,13</t>
  </si>
  <si>
    <t>SM,8</t>
  </si>
  <si>
    <t>M,14</t>
  </si>
  <si>
    <t>SM,9</t>
  </si>
  <si>
    <t>M,15</t>
  </si>
  <si>
    <t>SM,10</t>
  </si>
  <si>
    <t>M,16</t>
  </si>
  <si>
    <t>SM,11</t>
  </si>
  <si>
    <t>M,17</t>
  </si>
  <si>
    <t>VM40,4</t>
  </si>
  <si>
    <t>M,18</t>
  </si>
  <si>
    <t>VM40,5</t>
  </si>
  <si>
    <t>M,19</t>
  </si>
  <si>
    <t>M,20</t>
  </si>
  <si>
    <t>VM40,6</t>
  </si>
  <si>
    <t>M,21</t>
  </si>
  <si>
    <t>SM,12</t>
  </si>
  <si>
    <t>M,22</t>
  </si>
  <si>
    <t>SM,13</t>
  </si>
  <si>
    <t>M,23</t>
  </si>
  <si>
    <t>SM,14</t>
  </si>
  <si>
    <t>M,24</t>
  </si>
  <si>
    <t>SM,15</t>
  </si>
  <si>
    <t>M,25</t>
  </si>
  <si>
    <t>VM40,7</t>
  </si>
  <si>
    <t>M,26</t>
  </si>
  <si>
    <t>SM,16</t>
  </si>
  <si>
    <t>M,27</t>
  </si>
  <si>
    <t>,5</t>
  </si>
  <si>
    <t>SM,17</t>
  </si>
  <si>
    <t>M,28</t>
  </si>
  <si>
    <t>VM40,8</t>
  </si>
  <si>
    <t>M,29</t>
  </si>
  <si>
    <t>VM40,9</t>
  </si>
  <si>
    <t>M,30</t>
  </si>
  <si>
    <t>SM,18</t>
  </si>
  <si>
    <t>M,31</t>
  </si>
  <si>
    <t>SM,19</t>
  </si>
  <si>
    <t>M,32</t>
  </si>
  <si>
    <t>SM,20</t>
  </si>
  <si>
    <t>M,33</t>
  </si>
  <si>
    <t>M,34</t>
  </si>
  <si>
    <t>SM,21</t>
  </si>
  <si>
    <t>M,35</t>
  </si>
  <si>
    <t>SM,22</t>
  </si>
  <si>
    <t>M,36</t>
  </si>
  <si>
    <t>SM,23</t>
  </si>
  <si>
    <t>M,37</t>
  </si>
  <si>
    <t>SM,24</t>
  </si>
  <si>
    <t>M,38</t>
  </si>
  <si>
    <t>SM,25</t>
  </si>
  <si>
    <t>M,39</t>
  </si>
  <si>
    <t>VM50,2</t>
  </si>
  <si>
    <t>M,40</t>
  </si>
  <si>
    <t>VM40,10</t>
  </si>
  <si>
    <t>M,41</t>
  </si>
  <si>
    <t>VM40,11</t>
  </si>
  <si>
    <t>M,42</t>
  </si>
  <si>
    <t>SM,26</t>
  </si>
  <si>
    <t>M,43</t>
  </si>
  <si>
    <t>VM40,12</t>
  </si>
  <si>
    <t>M,44</t>
  </si>
  <si>
    <t>VM40,13</t>
  </si>
  <si>
    <t>M,45</t>
  </si>
  <si>
    <t>VM50,3</t>
  </si>
  <si>
    <t>M,46</t>
  </si>
  <si>
    <t>SM,27</t>
  </si>
  <si>
    <t>M,47</t>
  </si>
  <si>
    <t>VM40,14</t>
  </si>
  <si>
    <t>M,48</t>
  </si>
  <si>
    <t>SM,28</t>
  </si>
  <si>
    <t>M,49</t>
  </si>
  <si>
    <t>SM,29</t>
  </si>
  <si>
    <t>M,50</t>
  </si>
  <si>
    <t>SM,30</t>
  </si>
  <si>
    <t>M,51</t>
  </si>
  <si>
    <t>SM,31</t>
  </si>
  <si>
    <t>M,52</t>
  </si>
  <si>
    <t>VM40,15</t>
  </si>
  <si>
    <t>M,53</t>
  </si>
  <si>
    <t>SM,32</t>
  </si>
  <si>
    <t>M,54</t>
  </si>
  <si>
    <t>VM40,16</t>
  </si>
  <si>
    <t>M,55</t>
  </si>
  <si>
    <t>,6</t>
  </si>
  <si>
    <t>VM50,4</t>
  </si>
  <si>
    <t>M,56</t>
  </si>
  <si>
    <t>SM,33</t>
  </si>
  <si>
    <t>M,57</t>
  </si>
  <si>
    <t>VM40,17</t>
  </si>
  <si>
    <t>M,58</t>
  </si>
  <si>
    <t>VM40,18</t>
  </si>
  <si>
    <t>M,59</t>
  </si>
  <si>
    <t>SM,34</t>
  </si>
  <si>
    <t>M,60</t>
  </si>
  <si>
    <t>SM,35</t>
  </si>
  <si>
    <t>M,61</t>
  </si>
  <si>
    <t>SM,36</t>
  </si>
  <si>
    <t>M,62</t>
  </si>
  <si>
    <t>VM50,5</t>
  </si>
  <si>
    <t>M,63</t>
  </si>
  <si>
    <t>VM60,2</t>
  </si>
  <si>
    <t>M,64</t>
  </si>
  <si>
    <t>VM40,19</t>
  </si>
  <si>
    <t>M,65</t>
  </si>
  <si>
    <t>SM,37</t>
  </si>
  <si>
    <t>M,66</t>
  </si>
  <si>
    <t>VM40,20</t>
  </si>
  <si>
    <t>M,67</t>
  </si>
  <si>
    <t>VM40,21</t>
  </si>
  <si>
    <t>M,68</t>
  </si>
  <si>
    <t>VM50,6</t>
  </si>
  <si>
    <t>M,69</t>
  </si>
  <si>
    <t>F,4</t>
  </si>
  <si>
    <t>VM50,7</t>
  </si>
  <si>
    <t>M,70</t>
  </si>
  <si>
    <t>SM,38</t>
  </si>
  <si>
    <t>M,71</t>
  </si>
  <si>
    <t>SM,39</t>
  </si>
  <si>
    <t>M,72</t>
  </si>
  <si>
    <t>VM50,8</t>
  </si>
  <si>
    <t>M,73</t>
  </si>
  <si>
    <t>VM60,3</t>
  </si>
  <si>
    <t>M,74</t>
  </si>
  <si>
    <t>VM60,4</t>
  </si>
  <si>
    <t>M,75</t>
  </si>
  <si>
    <t>VM40,22</t>
  </si>
  <si>
    <t>M,76</t>
  </si>
  <si>
    <t>VM40,23</t>
  </si>
  <si>
    <t>M,77</t>
  </si>
  <si>
    <t>VM40,24</t>
  </si>
  <si>
    <t>M,78</t>
  </si>
  <si>
    <t>VF35,2</t>
  </si>
  <si>
    <t>F,5</t>
  </si>
  <si>
    <t>VM50,9</t>
  </si>
  <si>
    <t>M,79</t>
  </si>
  <si>
    <t>SF,1</t>
  </si>
  <si>
    <t>F,6</t>
  </si>
  <si>
    <t>VM40,25</t>
  </si>
  <si>
    <t>M,80</t>
  </si>
  <si>
    <t>VM40,26</t>
  </si>
  <si>
    <t>M,81</t>
  </si>
  <si>
    <t>SM,40</t>
  </si>
  <si>
    <t>M,82</t>
  </si>
  <si>
    <t>VM50,10</t>
  </si>
  <si>
    <t>M,83</t>
  </si>
  <si>
    <t>VM40,27</t>
  </si>
  <si>
    <t>M,84</t>
  </si>
  <si>
    <t>SM,41</t>
  </si>
  <si>
    <t>M,85</t>
  </si>
  <si>
    <t>VM50,11</t>
  </si>
  <si>
    <t>M,86</t>
  </si>
  <si>
    <t>SM,42</t>
  </si>
  <si>
    <t>M,87</t>
  </si>
  <si>
    <t>SM,43</t>
  </si>
  <si>
    <t>M,88</t>
  </si>
  <si>
    <t>SM,44</t>
  </si>
  <si>
    <t>M,89</t>
  </si>
  <si>
    <t>SM,45</t>
  </si>
  <si>
    <t>M,90</t>
  </si>
  <si>
    <t>VM50,12</t>
  </si>
  <si>
    <t>M,91</t>
  </si>
  <si>
    <t>F,7</t>
  </si>
  <si>
    <t>VM40,28</t>
  </si>
  <si>
    <t>M,92</t>
  </si>
  <si>
    <t>VM60,5</t>
  </si>
  <si>
    <t>M,93</t>
  </si>
  <si>
    <t>VM40,29</t>
  </si>
  <si>
    <t>M,94</t>
  </si>
  <si>
    <t>SM,46</t>
  </si>
  <si>
    <t>M,95</t>
  </si>
  <si>
    <t>VF35,3</t>
  </si>
  <si>
    <t>F,8</t>
  </si>
  <si>
    <t>SM,47</t>
  </si>
  <si>
    <t>M,96</t>
  </si>
  <si>
    <t>VM40,30</t>
  </si>
  <si>
    <t>M,97</t>
  </si>
  <si>
    <t>VM60,6</t>
  </si>
  <si>
    <t>M,98</t>
  </si>
  <si>
    <t>SF,2</t>
  </si>
  <si>
    <t>F,9</t>
  </si>
  <si>
    <t>F,10</t>
  </si>
  <si>
    <t>SM,48</t>
  </si>
  <si>
    <t>M,99</t>
  </si>
  <si>
    <t>VM60,7</t>
  </si>
  <si>
    <t>M,100</t>
  </si>
  <si>
    <t>VM50,13</t>
  </si>
  <si>
    <t>M,101</t>
  </si>
  <si>
    <t>VM40,31</t>
  </si>
  <si>
    <t>M,102</t>
  </si>
  <si>
    <t>VF45,2</t>
  </si>
  <si>
    <t>F,11</t>
  </si>
  <si>
    <t>VF55,2</t>
  </si>
  <si>
    <t>F,12</t>
  </si>
  <si>
    <t>VM50,14</t>
  </si>
  <si>
    <t>M,103</t>
  </si>
  <si>
    <t>VF35,4</t>
  </si>
  <si>
    <t>F,13</t>
  </si>
  <si>
    <t>VM50,15</t>
  </si>
  <si>
    <t>M,104</t>
  </si>
  <si>
    <t>VM50,16</t>
  </si>
  <si>
    <t>M,105</t>
  </si>
  <si>
    <t>SF,3</t>
  </si>
  <si>
    <t>F,14</t>
  </si>
  <si>
    <t>SF,4</t>
  </si>
  <si>
    <t>F,15</t>
  </si>
  <si>
    <t>VF55,3</t>
  </si>
  <si>
    <t>F,16</t>
  </si>
  <si>
    <t>VM40,32</t>
  </si>
  <si>
    <t>M,106</t>
  </si>
  <si>
    <t>SF,5</t>
  </si>
  <si>
    <t>F,17</t>
  </si>
  <si>
    <t>M,107</t>
  </si>
  <si>
    <t>VF55,4</t>
  </si>
  <si>
    <t>F,18</t>
  </si>
  <si>
    <t>VM50,17</t>
  </si>
  <si>
    <t>M,108</t>
  </si>
  <si>
    <t>VM60,8</t>
  </si>
  <si>
    <t>M,109</t>
  </si>
  <si>
    <t>VM50,18</t>
  </si>
  <si>
    <t>M,110</t>
  </si>
  <si>
    <t>SM,49</t>
  </si>
  <si>
    <t>M,111</t>
  </si>
  <si>
    <t>SM,50</t>
  </si>
  <si>
    <t>M,112</t>
  </si>
  <si>
    <t>SM,51</t>
  </si>
  <si>
    <t>M,113</t>
  </si>
  <si>
    <t>VM40,33</t>
  </si>
  <si>
    <t>M,114</t>
  </si>
  <si>
    <t>VF45,3</t>
  </si>
  <si>
    <t>F,19</t>
  </si>
  <si>
    <t>SM,52</t>
  </si>
  <si>
    <t>M,115</t>
  </si>
  <si>
    <t>VM40,34</t>
  </si>
  <si>
    <t>M,116</t>
  </si>
  <si>
    <t>VM40,35</t>
  </si>
  <si>
    <t>M,117</t>
  </si>
  <si>
    <t>VF35,5</t>
  </si>
  <si>
    <t>F,20</t>
  </si>
  <si>
    <t>VF35,6</t>
  </si>
  <si>
    <t>F,21</t>
  </si>
  <si>
    <t>SM,53</t>
  </si>
  <si>
    <t>M,118</t>
  </si>
  <si>
    <t>VF45,4</t>
  </si>
  <si>
    <t>F,22</t>
  </si>
  <si>
    <t>VF45,5</t>
  </si>
  <si>
    <t>F,23</t>
  </si>
  <si>
    <t>VF45,6</t>
  </si>
  <si>
    <t>F,24</t>
  </si>
  <si>
    <t>VM70,2</t>
  </si>
  <si>
    <t>M,119</t>
  </si>
  <si>
    <t>VM40,36</t>
  </si>
  <si>
    <t>M,120</t>
  </si>
  <si>
    <t>VM60,9</t>
  </si>
  <si>
    <t>M,121</t>
  </si>
  <si>
    <t>SF,6</t>
  </si>
  <si>
    <t>F,25</t>
  </si>
  <si>
    <t>VF35,7</t>
  </si>
  <si>
    <t>F,26</t>
  </si>
  <si>
    <t>SM,54</t>
  </si>
  <si>
    <t>M,122</t>
  </si>
  <si>
    <t>VM60,10</t>
  </si>
  <si>
    <t>M,123</t>
  </si>
  <si>
    <t>VF35,8</t>
  </si>
  <si>
    <t>F,27</t>
  </si>
  <si>
    <t>VM40,37</t>
  </si>
  <si>
    <t>M,124</t>
  </si>
  <si>
    <t>VF55,5</t>
  </si>
  <si>
    <t>F,28</t>
  </si>
  <si>
    <t>VM40,38</t>
  </si>
  <si>
    <t>M,125</t>
  </si>
  <si>
    <t>SM,55</t>
  </si>
  <si>
    <t>M,126</t>
  </si>
  <si>
    <t>SF,7</t>
  </si>
  <si>
    <t>F,29</t>
  </si>
  <si>
    <t>VF45,7</t>
  </si>
  <si>
    <t>F,30</t>
  </si>
  <si>
    <t>VF45,8</t>
  </si>
  <si>
    <t>F,31</t>
  </si>
  <si>
    <t>SF,8</t>
  </si>
  <si>
    <t>F,32</t>
  </si>
  <si>
    <t>VM40,39</t>
  </si>
  <si>
    <t>M,127</t>
  </si>
  <si>
    <t>SF,9</t>
  </si>
  <si>
    <t>F,33</t>
  </si>
  <si>
    <t>VF35,9</t>
  </si>
  <si>
    <t>F,34</t>
  </si>
  <si>
    <t>VF35,10</t>
  </si>
  <si>
    <t>F,35</t>
  </si>
  <si>
    <t>VM50,19</t>
  </si>
  <si>
    <t>M,128</t>
  </si>
  <si>
    <t>VM40,40</t>
  </si>
  <si>
    <t>M,129</t>
  </si>
  <si>
    <t>VM50,20</t>
  </si>
  <si>
    <t>M,130</t>
  </si>
  <si>
    <t>VM50,21</t>
  </si>
  <si>
    <t>M,131</t>
  </si>
  <si>
    <t>VF35,11</t>
  </si>
  <si>
    <t>F,36</t>
  </si>
  <si>
    <t>VM60,11</t>
  </si>
  <si>
    <t>M,132</t>
  </si>
  <si>
    <t>SM,56</t>
  </si>
  <si>
    <t>M,133</t>
  </si>
  <si>
    <t>VM40,41</t>
  </si>
  <si>
    <t>M,134</t>
  </si>
  <si>
    <t>VF55,6</t>
  </si>
  <si>
    <t>F,37</t>
  </si>
  <si>
    <t>VF55,7</t>
  </si>
  <si>
    <t>F,38</t>
  </si>
  <si>
    <t>VM50,22</t>
  </si>
  <si>
    <t>M,135</t>
  </si>
  <si>
    <t>VM50,23</t>
  </si>
  <si>
    <t>M,136</t>
  </si>
  <si>
    <t>VM50,24</t>
  </si>
  <si>
    <t>M,137</t>
  </si>
  <si>
    <t>VM40,42</t>
  </si>
  <si>
    <t>M,138</t>
  </si>
  <si>
    <t>VM40,43</t>
  </si>
  <si>
    <t>M,139</t>
  </si>
  <si>
    <t>VF35,12</t>
  </si>
  <si>
    <t>F,39</t>
  </si>
  <si>
    <t>VM40,44</t>
  </si>
  <si>
    <t>M,140</t>
  </si>
  <si>
    <t>VF35,13</t>
  </si>
  <si>
    <t>F,40</t>
  </si>
  <si>
    <t>VF45,9</t>
  </si>
  <si>
    <t>F,41</t>
  </si>
  <si>
    <t>SF,10</t>
  </si>
  <si>
    <t>F,42</t>
  </si>
  <si>
    <t>VF45,10</t>
  </si>
  <si>
    <t>F,43</t>
  </si>
  <si>
    <t>VF45,11</t>
  </si>
  <si>
    <t>F,44</t>
  </si>
  <si>
    <t>VM50,25</t>
  </si>
  <si>
    <t>M,141</t>
  </si>
  <si>
    <t>VF55,8</t>
  </si>
  <si>
    <t>F,45</t>
  </si>
  <si>
    <t>VM40,45</t>
  </si>
  <si>
    <t>M,142</t>
  </si>
  <si>
    <t>VM50,26</t>
  </si>
  <si>
    <t>M,143</t>
  </si>
  <si>
    <t>VF55,9</t>
  </si>
  <si>
    <t>F,46</t>
  </si>
  <si>
    <t>VM50,27</t>
  </si>
  <si>
    <t>M,144</t>
  </si>
  <si>
    <t>VF35,14</t>
  </si>
  <si>
    <t>F,47</t>
  </si>
  <si>
    <t>SM,57</t>
  </si>
  <si>
    <t>M,145</t>
  </si>
  <si>
    <t>VM60,12</t>
  </si>
  <si>
    <t>M,146</t>
  </si>
  <si>
    <t>VF35,15</t>
  </si>
  <si>
    <t>F,48</t>
  </si>
  <si>
    <t>SM,58</t>
  </si>
  <si>
    <t>M,147</t>
  </si>
  <si>
    <t>VM50,28</t>
  </si>
  <si>
    <t>M,148</t>
  </si>
  <si>
    <t>SF,11</t>
  </si>
  <si>
    <t>F,49</t>
  </si>
  <si>
    <t>VF45,12</t>
  </si>
  <si>
    <t>F,50</t>
  </si>
  <si>
    <t>VF35,16</t>
  </si>
  <si>
    <t>F,51</t>
  </si>
  <si>
    <t>VM60,13</t>
  </si>
  <si>
    <t>M,149</t>
  </si>
  <si>
    <t>VM60,14</t>
  </si>
  <si>
    <t>M,150</t>
  </si>
  <si>
    <t>VM50,29</t>
  </si>
  <si>
    <t>M,151</t>
  </si>
  <si>
    <t>VF45,13</t>
  </si>
  <si>
    <t>F,52</t>
  </si>
  <si>
    <t>VF45,14</t>
  </si>
  <si>
    <t>F,53</t>
  </si>
  <si>
    <t>SF,12</t>
  </si>
  <si>
    <t>F,54</t>
  </si>
  <si>
    <t>VF45,15</t>
  </si>
  <si>
    <t>F,55</t>
  </si>
  <si>
    <t>VF35,17</t>
  </si>
  <si>
    <t>F,56</t>
  </si>
  <si>
    <t>VF45,16</t>
  </si>
  <si>
    <t>F,57</t>
  </si>
  <si>
    <t>VM40,46</t>
  </si>
  <si>
    <t>M,152</t>
  </si>
  <si>
    <t>VF55,10</t>
  </si>
  <si>
    <t>F,58</t>
  </si>
  <si>
    <t>VM60,15</t>
  </si>
  <si>
    <t>M,153</t>
  </si>
  <si>
    <t>VF45,17</t>
  </si>
  <si>
    <t>F,59</t>
  </si>
  <si>
    <t>VM60,16</t>
  </si>
  <si>
    <t>M,154</t>
  </si>
  <si>
    <t>VF55,11</t>
  </si>
  <si>
    <t>F,60</t>
  </si>
  <si>
    <t>VF35,18</t>
  </si>
  <si>
    <t>F,61</t>
  </si>
  <si>
    <t>VM60,17</t>
  </si>
  <si>
    <t>M,155</t>
  </si>
  <si>
    <t>SM,59</t>
  </si>
  <si>
    <t>M,156</t>
  </si>
  <si>
    <t>VF55,12</t>
  </si>
  <si>
    <t>F,62</t>
  </si>
  <si>
    <t>VM40,47</t>
  </si>
  <si>
    <t>M,157</t>
  </si>
  <si>
    <t>VF55,13</t>
  </si>
  <si>
    <t>F,63</t>
  </si>
  <si>
    <t>VF45,18</t>
  </si>
  <si>
    <t>F,64</t>
  </si>
  <si>
    <t>VF55,14</t>
  </si>
  <si>
    <t>F,65</t>
  </si>
  <si>
    <t>VM40,48</t>
  </si>
  <si>
    <t>M,158</t>
  </si>
  <si>
    <t>VF45,19</t>
  </si>
  <si>
    <t>F,66</t>
  </si>
  <si>
    <t>VF45,20</t>
  </si>
  <si>
    <t>F,67</t>
  </si>
  <si>
    <t>VF45,21</t>
  </si>
  <si>
    <t>F,68</t>
  </si>
  <si>
    <t>VF45,22</t>
  </si>
  <si>
    <t>F,69</t>
  </si>
  <si>
    <t>VF45,23</t>
  </si>
  <si>
    <t>F,70</t>
  </si>
  <si>
    <t>VF55,15</t>
  </si>
  <si>
    <t>F,71</t>
  </si>
  <si>
    <t>SF,13</t>
  </si>
  <si>
    <t>F,72</t>
  </si>
  <si>
    <t>VF35,19</t>
  </si>
  <si>
    <t>F,73</t>
  </si>
  <si>
    <t>VM50,30</t>
  </si>
  <si>
    <t>M,159</t>
  </si>
  <si>
    <t>SF,14</t>
  </si>
  <si>
    <t>F,74</t>
  </si>
  <si>
    <t>VF35,20</t>
  </si>
  <si>
    <t>F,75</t>
  </si>
  <si>
    <t>VM50,31</t>
  </si>
  <si>
    <t>M,160</t>
  </si>
  <si>
    <t>SF,15</t>
  </si>
  <si>
    <t>F,76</t>
  </si>
  <si>
    <t>VM60,18</t>
  </si>
  <si>
    <t>M,161</t>
  </si>
  <si>
    <t>VF45,24</t>
  </si>
  <si>
    <t>F,77</t>
  </si>
  <si>
    <t>VF35,21</t>
  </si>
  <si>
    <t>F,78</t>
  </si>
  <si>
    <t>VF45,25</t>
  </si>
  <si>
    <t>F,79</t>
  </si>
  <si>
    <t>F,80</t>
  </si>
  <si>
    <t>VM70,3</t>
  </si>
  <si>
    <t>M,162</t>
  </si>
  <si>
    <t>VM60,19</t>
  </si>
  <si>
    <t>M,163</t>
  </si>
  <si>
    <t>VF35,22</t>
  </si>
  <si>
    <t>F,81</t>
  </si>
  <si>
    <t>VF55,16</t>
  </si>
  <si>
    <t>F,82</t>
  </si>
  <si>
    <t>VF45,26</t>
  </si>
  <si>
    <t>F,83</t>
  </si>
  <si>
    <t>SM,60</t>
  </si>
  <si>
    <t>M,164</t>
  </si>
  <si>
    <t>SM,61</t>
  </si>
  <si>
    <t>M,165</t>
  </si>
  <si>
    <t>VF55,17</t>
  </si>
  <si>
    <t>F,84</t>
  </si>
  <si>
    <t>VM70,4</t>
  </si>
  <si>
    <t>M,166</t>
  </si>
  <si>
    <t>SF,16</t>
  </si>
  <si>
    <t>F,85</t>
  </si>
  <si>
    <t>VM50,32</t>
  </si>
  <si>
    <t>M,167</t>
  </si>
  <si>
    <t>VM60,20</t>
  </si>
  <si>
    <t>M,168</t>
  </si>
  <si>
    <t>VF45,27</t>
  </si>
  <si>
    <t>F,86</t>
  </si>
  <si>
    <t>VF35,23</t>
  </si>
  <si>
    <t>F,87</t>
  </si>
  <si>
    <t>VF45,28</t>
  </si>
  <si>
    <t>F,88</t>
  </si>
  <si>
    <t>VM60,21</t>
  </si>
  <si>
    <t>M,169</t>
  </si>
  <si>
    <t>VF35,24</t>
  </si>
  <si>
    <t>F,89</t>
  </si>
  <si>
    <t>VF45,29</t>
  </si>
  <si>
    <t>F,90</t>
  </si>
  <si>
    <t>VF45,30</t>
  </si>
  <si>
    <t>F,91</t>
  </si>
  <si>
    <t>VM40,49</t>
  </si>
  <si>
    <t>M,170</t>
  </si>
  <si>
    <t>VF45,31</t>
  </si>
  <si>
    <t>F,92</t>
  </si>
  <si>
    <t>VF35,25</t>
  </si>
  <si>
    <t>F,93</t>
  </si>
  <si>
    <t>SF,17</t>
  </si>
  <si>
    <t>F,94</t>
  </si>
  <si>
    <t>VF55,18</t>
  </si>
  <si>
    <t>F,95</t>
  </si>
  <si>
    <t>VF35,26</t>
  </si>
  <si>
    <t>F,96</t>
  </si>
  <si>
    <t>VM50,33</t>
  </si>
  <si>
    <t>M,171</t>
  </si>
  <si>
    <t>VF45,32</t>
  </si>
  <si>
    <t>F,97</t>
  </si>
  <si>
    <t>VF35,27</t>
  </si>
  <si>
    <t>F,98</t>
  </si>
  <si>
    <t>VF45,33</t>
  </si>
  <si>
    <t>F,99</t>
  </si>
  <si>
    <t>VF35,28</t>
  </si>
  <si>
    <t>F,100</t>
  </si>
  <si>
    <t>VF55,19</t>
  </si>
  <si>
    <t>F,101</t>
  </si>
  <si>
    <t>VF65,2</t>
  </si>
  <si>
    <t>F,102</t>
  </si>
  <si>
    <t>VM60,22</t>
  </si>
  <si>
    <t>M,172</t>
  </si>
  <si>
    <t>VF35,29</t>
  </si>
  <si>
    <t>F,103</t>
  </si>
  <si>
    <t>VF55,20</t>
  </si>
  <si>
    <t>F,104</t>
  </si>
  <si>
    <t>VM50,34</t>
  </si>
  <si>
    <t>M,173</t>
  </si>
  <si>
    <t>VF55,21</t>
  </si>
  <si>
    <t>F,105</t>
  </si>
  <si>
    <t>VM40,50</t>
  </si>
  <si>
    <t>M,174</t>
  </si>
  <si>
    <t>SF,18</t>
  </si>
  <si>
    <t>F,106</t>
  </si>
  <si>
    <t>VF55,22</t>
  </si>
  <si>
    <t>F,107</t>
  </si>
  <si>
    <t>VF55,23</t>
  </si>
  <si>
    <t>F,108</t>
  </si>
  <si>
    <t>VM40,51</t>
  </si>
  <si>
    <t>M,175</t>
  </si>
  <si>
    <t>VM70,5</t>
  </si>
  <si>
    <t>M,176</t>
  </si>
  <si>
    <t>VM50,35</t>
  </si>
  <si>
    <t>M,177</t>
  </si>
  <si>
    <t>VM40,52</t>
  </si>
  <si>
    <t>M,178</t>
  </si>
  <si>
    <t>VF55,24</t>
  </si>
  <si>
    <t>F,109</t>
  </si>
  <si>
    <t>VM70,6</t>
  </si>
  <si>
    <t>M,179</t>
  </si>
  <si>
    <t>VF55,25</t>
  </si>
  <si>
    <t>F,110</t>
  </si>
  <si>
    <t>VF35,30</t>
  </si>
  <si>
    <t>F,111</t>
  </si>
  <si>
    <t>VM50,36</t>
  </si>
  <si>
    <t>M,180</t>
  </si>
  <si>
    <t>VF55,26</t>
  </si>
  <si>
    <t>F,112</t>
  </si>
  <si>
    <t>VF65,3</t>
  </si>
  <si>
    <t>F,113</t>
  </si>
  <si>
    <t>SF,19</t>
  </si>
  <si>
    <t>F,114</t>
  </si>
  <si>
    <t>VF45,34</t>
  </si>
  <si>
    <t>F,115</t>
  </si>
  <si>
    <t>VF35,31</t>
  </si>
  <si>
    <t>F,116</t>
  </si>
  <si>
    <t>VF45,35</t>
  </si>
  <si>
    <t>F,117</t>
  </si>
  <si>
    <t>SF,20</t>
  </si>
  <si>
    <t>F,118</t>
  </si>
  <si>
    <t>VM70,7</t>
  </si>
  <si>
    <t>M,181</t>
  </si>
  <si>
    <t>VM70,8</t>
  </si>
  <si>
    <t>M,182</t>
  </si>
  <si>
    <t>VF55,27</t>
  </si>
  <si>
    <t>F,119</t>
  </si>
  <si>
    <t>VF45,36</t>
  </si>
  <si>
    <t>F,120</t>
  </si>
  <si>
    <t>VM60,23</t>
  </si>
  <si>
    <t>M,183</t>
  </si>
  <si>
    <t>VM60,24</t>
  </si>
  <si>
    <t>M,184</t>
  </si>
  <si>
    <t>VF35,32</t>
  </si>
  <si>
    <t>F,121</t>
  </si>
  <si>
    <t>,7</t>
  </si>
  <si>
    <t>,8</t>
  </si>
  <si>
    <t>,9</t>
  </si>
  <si>
    <t>,10</t>
  </si>
  <si>
    <t>,11</t>
  </si>
  <si>
    <t>,12</t>
  </si>
  <si>
    <t>,13</t>
  </si>
  <si>
    <t>,14</t>
  </si>
  <si>
    <t>,15</t>
  </si>
  <si>
    <t>,16</t>
  </si>
  <si>
    <t>,17</t>
  </si>
  <si>
    <t>,18</t>
  </si>
  <si>
    <t>,19</t>
  </si>
  <si>
    <t>,20</t>
  </si>
  <si>
    <t>,21</t>
  </si>
  <si>
    <t>,22</t>
  </si>
  <si>
    <t>,23</t>
  </si>
  <si>
    <t>,24</t>
  </si>
  <si>
    <t>,25</t>
  </si>
  <si>
    <t>,26</t>
  </si>
  <si>
    <t>,27</t>
  </si>
  <si>
    <t>,28</t>
  </si>
  <si>
    <t>,29</t>
  </si>
  <si>
    <t>,30</t>
  </si>
  <si>
    <t>,31</t>
  </si>
  <si>
    <t>,32</t>
  </si>
  <si>
    <t>,33</t>
  </si>
  <si>
    <t>,34</t>
  </si>
  <si>
    <t>,35</t>
  </si>
  <si>
    <t>,36</t>
  </si>
  <si>
    <t>,37</t>
  </si>
  <si>
    <t>,38</t>
  </si>
  <si>
    <t>,39</t>
  </si>
  <si>
    <t>,40</t>
  </si>
  <si>
    <t>,41</t>
  </si>
  <si>
    <t>,42</t>
  </si>
  <si>
    <t>,43</t>
  </si>
  <si>
    <t>,44</t>
  </si>
  <si>
    <t>,45</t>
  </si>
  <si>
    <t>,46</t>
  </si>
  <si>
    <t>,47</t>
  </si>
  <si>
    <t>,48</t>
  </si>
  <si>
    <t>,49</t>
  </si>
  <si>
    <t>,50</t>
  </si>
  <si>
    <t>,51</t>
  </si>
  <si>
    <t>,52</t>
  </si>
  <si>
    <t>,53</t>
  </si>
  <si>
    <t>,54</t>
  </si>
  <si>
    <t>,55</t>
  </si>
  <si>
    <t>,56</t>
  </si>
  <si>
    <t>,57</t>
  </si>
  <si>
    <t>,58</t>
  </si>
  <si>
    <t>,59</t>
  </si>
  <si>
    <t>,60</t>
  </si>
  <si>
    <t>,61</t>
  </si>
  <si>
    <t>,62</t>
  </si>
  <si>
    <t>,63</t>
  </si>
  <si>
    <t>,64</t>
  </si>
  <si>
    <t>,65</t>
  </si>
  <si>
    <t>,66</t>
  </si>
  <si>
    <t>,67</t>
  </si>
  <si>
    <t>,68</t>
  </si>
  <si>
    <t>,69</t>
  </si>
  <si>
    <t>,70</t>
  </si>
  <si>
    <t>,71</t>
  </si>
  <si>
    <t>,72</t>
  </si>
  <si>
    <t>,73</t>
  </si>
  <si>
    <t>,74</t>
  </si>
  <si>
    <t>,75</t>
  </si>
  <si>
    <t>,76</t>
  </si>
  <si>
    <t>,77</t>
  </si>
  <si>
    <t>,78</t>
  </si>
  <si>
    <t>,79</t>
  </si>
  <si>
    <t>,80</t>
  </si>
  <si>
    <t>,81</t>
  </si>
  <si>
    <t>,82</t>
  </si>
  <si>
    <t>,83</t>
  </si>
  <si>
    <t>,84</t>
  </si>
  <si>
    <t>,85</t>
  </si>
  <si>
    <t>,86</t>
  </si>
  <si>
    <t>,87</t>
  </si>
  <si>
    <t>,88</t>
  </si>
  <si>
    <t>,89</t>
  </si>
  <si>
    <t>,90</t>
  </si>
  <si>
    <t>,91</t>
  </si>
  <si>
    <t>,92</t>
  </si>
  <si>
    <t>,93</t>
  </si>
  <si>
    <t>,94</t>
  </si>
  <si>
    <t>,95</t>
  </si>
  <si>
    <t>,96</t>
  </si>
  <si>
    <t>,97</t>
  </si>
  <si>
    <t>,98</t>
  </si>
  <si>
    <t>,99</t>
  </si>
  <si>
    <t>,100</t>
  </si>
  <si>
    <t>,101</t>
  </si>
  <si>
    <t>,102</t>
  </si>
  <si>
    <t>,103</t>
  </si>
  <si>
    <t>,104</t>
  </si>
  <si>
    <t>,105</t>
  </si>
  <si>
    <t>,106</t>
  </si>
  <si>
    <t>,107</t>
  </si>
  <si>
    <t>,108</t>
  </si>
  <si>
    <t>,109</t>
  </si>
  <si>
    <t>,110</t>
  </si>
  <si>
    <t>,111</t>
  </si>
  <si>
    <t>,112</t>
  </si>
  <si>
    <t>,113</t>
  </si>
  <si>
    <t>,114</t>
  </si>
  <si>
    <t>,115</t>
  </si>
  <si>
    <t>,116</t>
  </si>
  <si>
    <t>,117</t>
  </si>
  <si>
    <t>,118</t>
  </si>
  <si>
    <t>,119</t>
  </si>
  <si>
    <t>,120</t>
  </si>
  <si>
    <t>,121</t>
  </si>
  <si>
    <t>,122</t>
  </si>
  <si>
    <t>,123</t>
  </si>
  <si>
    <t>,124</t>
  </si>
  <si>
    <t>,125</t>
  </si>
  <si>
    <t>,126</t>
  </si>
  <si>
    <t>,127</t>
  </si>
  <si>
    <t>,128</t>
  </si>
  <si>
    <t>,129</t>
  </si>
  <si>
    <t>,130</t>
  </si>
  <si>
    <t>,131</t>
  </si>
  <si>
    <t>,132</t>
  </si>
  <si>
    <t>,133</t>
  </si>
  <si>
    <t>,134</t>
  </si>
  <si>
    <t>,135</t>
  </si>
  <si>
    <t>,136</t>
  </si>
  <si>
    <t>,137</t>
  </si>
  <si>
    <t>,138</t>
  </si>
  <si>
    <t>,139</t>
  </si>
  <si>
    <t>,140</t>
  </si>
  <si>
    <t>,141</t>
  </si>
  <si>
    <t>,142</t>
  </si>
  <si>
    <t>,143</t>
  </si>
  <si>
    <t>,144</t>
  </si>
  <si>
    <t>,145</t>
  </si>
  <si>
    <t>,146</t>
  </si>
  <si>
    <t>,147</t>
  </si>
  <si>
    <t>,148</t>
  </si>
  <si>
    <t>,149</t>
  </si>
  <si>
    <t>,150</t>
  </si>
  <si>
    <t>,151</t>
  </si>
  <si>
    <t>,152</t>
  </si>
  <si>
    <t>,153</t>
  </si>
  <si>
    <t>,154</t>
  </si>
  <si>
    <t>,155</t>
  </si>
  <si>
    <t>,156</t>
  </si>
  <si>
    <t>,157</t>
  </si>
  <si>
    <t>,158</t>
  </si>
  <si>
    <t>,159</t>
  </si>
  <si>
    <t>,160</t>
  </si>
  <si>
    <t>,161</t>
  </si>
  <si>
    <t>,162</t>
  </si>
  <si>
    <t>,163</t>
  </si>
  <si>
    <t>,164</t>
  </si>
  <si>
    <t>,165</t>
  </si>
  <si>
    <t>,166</t>
  </si>
  <si>
    <t>,167</t>
  </si>
  <si>
    <t>,168</t>
  </si>
  <si>
    <t>,169</t>
  </si>
  <si>
    <t>,170</t>
  </si>
  <si>
    <t>,171</t>
  </si>
  <si>
    <t>,172</t>
  </si>
  <si>
    <t>,173</t>
  </si>
  <si>
    <t>,174</t>
  </si>
  <si>
    <t>,175</t>
  </si>
  <si>
    <t>,176</t>
  </si>
  <si>
    <t>,177</t>
  </si>
  <si>
    <t>,178</t>
  </si>
  <si>
    <t>,179</t>
  </si>
  <si>
    <t>,180</t>
  </si>
  <si>
    <t>,181</t>
  </si>
  <si>
    <t>,182</t>
  </si>
  <si>
    <t>,183</t>
  </si>
  <si>
    <t>,184</t>
  </si>
  <si>
    <t>,185</t>
  </si>
  <si>
    <t>,186</t>
  </si>
  <si>
    <t>,187</t>
  </si>
  <si>
    <t>,188</t>
  </si>
  <si>
    <t>,189</t>
  </si>
  <si>
    <t>,190</t>
  </si>
  <si>
    <t>,191</t>
  </si>
  <si>
    <t>,192</t>
  </si>
  <si>
    <t>,193</t>
  </si>
  <si>
    <t>,194</t>
  </si>
  <si>
    <t>,195</t>
  </si>
  <si>
    <t>,196</t>
  </si>
  <si>
    <t>,197</t>
  </si>
  <si>
    <t>,198</t>
  </si>
  <si>
    <t>,199</t>
  </si>
  <si>
    <t>,200</t>
  </si>
  <si>
    <t>,201</t>
  </si>
  <si>
    <t>,202</t>
  </si>
  <si>
    <t>,203</t>
  </si>
  <si>
    <t>,204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</si>
</sst>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00"/>
    <numFmt numFmtId="166" formatCode="dd/mm/yyyy;@"/>
    <numFmt numFmtId="167" formatCode="0.000000000"/>
  </numFmts>
  <fonts count="14" x14ac:knownFonts="1">
    <font>
      <sz val="12"/>
      <name val="Garamon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20"/>
      <name val="Garamond"/>
      <family val="1"/>
    </font>
    <font>
      <sz val="12"/>
      <color rgb="FF0000FF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1" fillId="0" borderId="0"/>
  </cellStyleXfs>
  <cellXfs count="192">
    <xf numFmtId="0" fontId="0" fillId="0" borderId="0" xfId="0"/>
    <xf numFmtId="0" fontId="0" fillId="0" borderId="2" xfId="0" applyFill="1" applyBorder="1" applyAlignment="1" applyProtection="1">
      <alignment horizontal="center"/>
    </xf>
    <xf numFmtId="0" fontId="0" fillId="0" borderId="0" xfId="0" applyProtection="1"/>
    <xf numFmtId="0" fontId="0" fillId="0" borderId="2" xfId="0" applyFill="1" applyBorder="1" applyProtection="1"/>
    <xf numFmtId="0" fontId="8" fillId="0" borderId="2" xfId="0" applyFont="1" applyFill="1" applyBorder="1" applyProtection="1"/>
    <xf numFmtId="0" fontId="7" fillId="0" borderId="0" xfId="0" applyFont="1" applyProtection="1"/>
    <xf numFmtId="0" fontId="0" fillId="0" borderId="4" xfId="0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15" xfId="0" applyBorder="1" applyProtection="1"/>
    <xf numFmtId="0" fontId="0" fillId="0" borderId="7" xfId="0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Border="1" applyProtection="1"/>
    <xf numFmtId="0" fontId="8" fillId="0" borderId="16" xfId="0" applyFont="1" applyBorder="1" applyProtection="1"/>
    <xf numFmtId="0" fontId="8" fillId="0" borderId="17" xfId="0" applyFont="1" applyBorder="1" applyAlignment="1" applyProtection="1">
      <alignment horizontal="center"/>
    </xf>
    <xf numFmtId="0" fontId="8" fillId="0" borderId="17" xfId="0" applyFont="1" applyBorder="1" applyProtection="1"/>
    <xf numFmtId="164" fontId="8" fillId="0" borderId="17" xfId="0" applyNumberFormat="1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19" xfId="0" applyFont="1" applyBorder="1" applyProtection="1"/>
    <xf numFmtId="0" fontId="7" fillId="0" borderId="8" xfId="0" applyFont="1" applyBorder="1" applyProtection="1"/>
    <xf numFmtId="0" fontId="8" fillId="0" borderId="14" xfId="0" applyFont="1" applyBorder="1" applyAlignment="1" applyProtection="1">
      <alignment horizontal="center"/>
    </xf>
    <xf numFmtId="164" fontId="8" fillId="0" borderId="14" xfId="0" applyNumberFormat="1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7" fillId="0" borderId="27" xfId="0" applyFont="1" applyBorder="1" applyProtection="1"/>
    <xf numFmtId="0" fontId="7" fillId="0" borderId="14" xfId="0" applyFont="1" applyBorder="1" applyAlignment="1" applyProtection="1">
      <alignment horizontal="center"/>
    </xf>
    <xf numFmtId="0" fontId="7" fillId="0" borderId="14" xfId="0" applyFont="1" applyBorder="1" applyProtection="1"/>
    <xf numFmtId="0" fontId="8" fillId="0" borderId="9" xfId="0" applyFont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2" xfId="0" applyFont="1" applyBorder="1" applyProtection="1"/>
    <xf numFmtId="164" fontId="8" fillId="0" borderId="2" xfId="0" applyNumberFormat="1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21" xfId="0" applyFont="1" applyBorder="1" applyProtection="1"/>
    <xf numFmtId="0" fontId="8" fillId="0" borderId="22" xfId="0" applyFont="1" applyBorder="1" applyAlignment="1" applyProtection="1">
      <alignment horizontal="center"/>
    </xf>
    <xf numFmtId="0" fontId="8" fillId="0" borderId="22" xfId="0" applyFont="1" applyBorder="1" applyProtection="1"/>
    <xf numFmtId="0" fontId="8" fillId="0" borderId="23" xfId="0" applyFont="1" applyBorder="1" applyAlignment="1" applyProtection="1">
      <alignment horizontal="center"/>
    </xf>
    <xf numFmtId="0" fontId="8" fillId="0" borderId="28" xfId="0" applyFont="1" applyBorder="1" applyProtection="1"/>
    <xf numFmtId="0" fontId="8" fillId="0" borderId="29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164" fontId="8" fillId="0" borderId="12" xfId="0" applyNumberFormat="1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7" fillId="3" borderId="2" xfId="0" applyFont="1" applyFill="1" applyBorder="1" applyProtection="1">
      <protection locked="0"/>
    </xf>
    <xf numFmtId="0" fontId="8" fillId="0" borderId="0" xfId="0" applyFont="1"/>
    <xf numFmtId="0" fontId="5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49" fontId="0" fillId="0" borderId="6" xfId="0" applyNumberFormat="1" applyBorder="1" applyAlignment="1" applyProtection="1">
      <alignment horizontal="center"/>
      <protection hidden="1"/>
    </xf>
    <xf numFmtId="49" fontId="0" fillId="0" borderId="25" xfId="0" applyNumberForma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8" fillId="0" borderId="33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164" fontId="5" fillId="0" borderId="5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8" fillId="0" borderId="35" xfId="0" applyFont="1" applyBorder="1" applyAlignment="1" applyProtection="1">
      <alignment horizontal="center"/>
    </xf>
    <xf numFmtId="0" fontId="8" fillId="0" borderId="36" xfId="0" applyFont="1" applyBorder="1" applyAlignment="1" applyProtection="1">
      <alignment horizontal="center"/>
    </xf>
    <xf numFmtId="0" fontId="8" fillId="0" borderId="38" xfId="0" applyFont="1" applyBorder="1" applyAlignment="1" applyProtection="1">
      <alignment horizontal="center"/>
    </xf>
    <xf numFmtId="0" fontId="8" fillId="2" borderId="40" xfId="0" applyFont="1" applyFill="1" applyBorder="1" applyAlignment="1" applyProtection="1">
      <alignment horizontal="center"/>
      <protection locked="0"/>
    </xf>
    <xf numFmtId="49" fontId="8" fillId="0" borderId="0" xfId="0" applyNumberFormat="1" applyFont="1"/>
    <xf numFmtId="0" fontId="0" fillId="0" borderId="0" xfId="0" applyNumberFormat="1"/>
    <xf numFmtId="49" fontId="0" fillId="0" borderId="0" xfId="0" applyNumberFormat="1"/>
    <xf numFmtId="0" fontId="9" fillId="0" borderId="0" xfId="0" applyFont="1"/>
    <xf numFmtId="0" fontId="0" fillId="0" borderId="0" xfId="0" applyAlignment="1">
      <alignment horizontal="left"/>
    </xf>
    <xf numFmtId="0" fontId="8" fillId="0" borderId="41" xfId="0" applyFont="1" applyBorder="1" applyProtection="1"/>
    <xf numFmtId="0" fontId="10" fillId="4" borderId="2" xfId="0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49" fontId="8" fillId="4" borderId="2" xfId="0" applyNumberFormat="1" applyFont="1" applyFill="1" applyBorder="1" applyProtection="1">
      <protection locked="0"/>
    </xf>
    <xf numFmtId="49" fontId="0" fillId="0" borderId="0" xfId="0" applyNumberFormat="1" applyProtection="1">
      <protection locked="0"/>
    </xf>
    <xf numFmtId="49" fontId="7" fillId="3" borderId="2" xfId="0" applyNumberFormat="1" applyFont="1" applyFill="1" applyBorder="1" applyProtection="1">
      <protection locked="0"/>
    </xf>
    <xf numFmtId="49" fontId="0" fillId="0" borderId="2" xfId="0" applyNumberFormat="1" applyBorder="1"/>
    <xf numFmtId="0" fontId="8" fillId="0" borderId="13" xfId="0" applyFont="1" applyBorder="1" applyAlignment="1" applyProtection="1">
      <alignment horizontal="center"/>
    </xf>
    <xf numFmtId="0" fontId="8" fillId="0" borderId="12" xfId="0" applyFont="1" applyBorder="1" applyProtection="1"/>
    <xf numFmtId="0" fontId="0" fillId="0" borderId="2" xfId="0" applyBorder="1"/>
    <xf numFmtId="49" fontId="0" fillId="0" borderId="0" xfId="0" applyNumberFormat="1" applyBorder="1"/>
    <xf numFmtId="0" fontId="0" fillId="0" borderId="0" xfId="0" applyBorder="1"/>
    <xf numFmtId="0" fontId="8" fillId="0" borderId="2" xfId="0" applyFont="1" applyBorder="1"/>
    <xf numFmtId="0" fontId="8" fillId="0" borderId="2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164" fontId="8" fillId="0" borderId="2" xfId="0" applyNumberFormat="1" applyFont="1" applyBorder="1" applyAlignment="1" applyProtection="1">
      <alignment horizontal="left"/>
    </xf>
    <xf numFmtId="164" fontId="8" fillId="0" borderId="10" xfId="0" applyNumberFormat="1" applyFont="1" applyBorder="1" applyAlignment="1" applyProtection="1">
      <alignment horizontal="left"/>
    </xf>
    <xf numFmtId="164" fontId="8" fillId="0" borderId="37" xfId="0" applyNumberFormat="1" applyFont="1" applyBorder="1" applyAlignment="1" applyProtection="1">
      <alignment horizontal="left"/>
    </xf>
    <xf numFmtId="164" fontId="8" fillId="0" borderId="12" xfId="0" applyNumberFormat="1" applyFont="1" applyBorder="1" applyAlignment="1" applyProtection="1">
      <alignment horizontal="left"/>
    </xf>
    <xf numFmtId="164" fontId="8" fillId="0" borderId="39" xfId="0" applyNumberFormat="1" applyFont="1" applyBorder="1" applyAlignment="1" applyProtection="1">
      <alignment horizontal="left"/>
    </xf>
    <xf numFmtId="164" fontId="8" fillId="0" borderId="31" xfId="0" applyNumberFormat="1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164" fontId="8" fillId="0" borderId="42" xfId="0" applyNumberFormat="1" applyFont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>
      <alignment horizontal="center"/>
    </xf>
    <xf numFmtId="0" fontId="8" fillId="3" borderId="31" xfId="0" applyFont="1" applyFill="1" applyBorder="1" applyProtection="1">
      <protection locked="0"/>
    </xf>
    <xf numFmtId="0" fontId="8" fillId="5" borderId="2" xfId="0" applyFont="1" applyFill="1" applyBorder="1" applyProtection="1">
      <protection locked="0"/>
    </xf>
    <xf numFmtId="0" fontId="8" fillId="5" borderId="10" xfId="0" applyFont="1" applyFill="1" applyBorder="1" applyProtection="1">
      <protection locked="0"/>
    </xf>
    <xf numFmtId="0" fontId="8" fillId="5" borderId="43" xfId="0" applyFont="1" applyFill="1" applyBorder="1" applyProtection="1">
      <protection locked="0"/>
    </xf>
    <xf numFmtId="0" fontId="8" fillId="5" borderId="12" xfId="0" applyFont="1" applyFill="1" applyBorder="1" applyProtection="1">
      <protection locked="0"/>
    </xf>
    <xf numFmtId="0" fontId="8" fillId="5" borderId="13" xfId="0" applyFont="1" applyFill="1" applyBorder="1" applyProtection="1">
      <protection locked="0"/>
    </xf>
    <xf numFmtId="0" fontId="8" fillId="5" borderId="44" xfId="0" applyFont="1" applyFill="1" applyBorder="1" applyProtection="1">
      <protection locked="0"/>
    </xf>
    <xf numFmtId="0" fontId="8" fillId="5" borderId="20" xfId="0" applyFont="1" applyFill="1" applyBorder="1" applyProtection="1">
      <protection locked="0"/>
    </xf>
    <xf numFmtId="0" fontId="8" fillId="2" borderId="45" xfId="0" applyFont="1" applyFill="1" applyBorder="1" applyAlignment="1" applyProtection="1">
      <alignment horizontal="center"/>
      <protection locked="0"/>
    </xf>
    <xf numFmtId="0" fontId="8" fillId="5" borderId="46" xfId="0" applyFont="1" applyFill="1" applyBorder="1" applyProtection="1">
      <protection locked="0"/>
    </xf>
    <xf numFmtId="0" fontId="8" fillId="5" borderId="47" xfId="0" applyFont="1" applyFill="1" applyBorder="1" applyProtection="1">
      <protection locked="0"/>
    </xf>
    <xf numFmtId="0" fontId="7" fillId="5" borderId="2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49" fontId="7" fillId="0" borderId="2" xfId="0" applyNumberFormat="1" applyFont="1" applyFill="1" applyBorder="1" applyProtection="1">
      <protection locked="0"/>
    </xf>
    <xf numFmtId="49" fontId="7" fillId="5" borderId="2" xfId="0" applyNumberFormat="1" applyFont="1" applyFill="1" applyBorder="1" applyProtection="1">
      <protection locked="0"/>
    </xf>
    <xf numFmtId="165" fontId="5" fillId="5" borderId="30" xfId="0" applyNumberFormat="1" applyFont="1" applyFill="1" applyBorder="1" applyAlignment="1" applyProtection="1"/>
    <xf numFmtId="165" fontId="5" fillId="5" borderId="48" xfId="0" applyNumberFormat="1" applyFont="1" applyFill="1" applyBorder="1" applyAlignment="1" applyProtection="1"/>
    <xf numFmtId="0" fontId="7" fillId="5" borderId="4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/>
    </xf>
    <xf numFmtId="0" fontId="7" fillId="5" borderId="5" xfId="0" applyFon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7" fillId="3" borderId="2" xfId="0" applyFont="1" applyFill="1" applyBorder="1" applyProtection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quotePrefix="1"/>
    <xf numFmtId="166" fontId="0" fillId="0" borderId="2" xfId="0" applyNumberFormat="1" applyBorder="1" applyAlignment="1" applyProtection="1">
      <alignment horizontal="center"/>
      <protection hidden="1"/>
    </xf>
    <xf numFmtId="166" fontId="7" fillId="5" borderId="2" xfId="0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166" fontId="7" fillId="5" borderId="5" xfId="0" applyNumberFormat="1" applyFont="1" applyFill="1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8" fillId="0" borderId="0" xfId="0" applyFont="1" applyProtection="1"/>
    <xf numFmtId="22" fontId="0" fillId="0" borderId="0" xfId="0" applyNumberFormat="1"/>
    <xf numFmtId="0" fontId="8" fillId="0" borderId="24" xfId="0" applyNumberFormat="1" applyFont="1" applyBorder="1" applyAlignment="1" applyProtection="1">
      <alignment horizontal="center"/>
      <protection hidden="1"/>
    </xf>
    <xf numFmtId="165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5" fillId="0" borderId="1" xfId="0" applyNumberFormat="1" applyFont="1" applyBorder="1" applyAlignment="1" applyProtection="1">
      <alignment horizontal="center"/>
      <protection hidden="1"/>
    </xf>
    <xf numFmtId="0" fontId="5" fillId="0" borderId="30" xfId="0" applyNumberFormat="1" applyFont="1" applyBorder="1" applyAlignment="1" applyProtection="1">
      <alignment horizontal="center"/>
      <protection hidden="1"/>
    </xf>
    <xf numFmtId="0" fontId="0" fillId="0" borderId="2" xfId="0" applyNumberFormat="1" applyBorder="1" applyProtection="1"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31" xfId="0" applyNumberFormat="1" applyBorder="1" applyAlignment="1" applyProtection="1">
      <alignment horizontal="center"/>
      <protection hidden="1"/>
    </xf>
    <xf numFmtId="0" fontId="0" fillId="0" borderId="3" xfId="0" applyNumberFormat="1" applyBorder="1" applyProtection="1"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32" xfId="0" applyNumberFormat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5" fillId="5" borderId="30" xfId="0" applyNumberFormat="1" applyFont="1" applyFill="1" applyBorder="1" applyAlignment="1" applyProtection="1"/>
    <xf numFmtId="0" fontId="8" fillId="0" borderId="24" xfId="0" applyNumberFormat="1" applyFont="1" applyBorder="1" applyAlignment="1" applyProtection="1">
      <alignment horizontal="right"/>
      <protection hidden="1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1" fontId="7" fillId="0" borderId="0" xfId="0" applyNumberFormat="1" applyFont="1" applyProtection="1">
      <protection locked="0"/>
    </xf>
    <xf numFmtId="0" fontId="7" fillId="0" borderId="0" xfId="0" applyNumberFormat="1" applyFont="1" applyProtection="1">
      <protection locked="0"/>
    </xf>
    <xf numFmtId="0" fontId="7" fillId="0" borderId="0" xfId="0" applyFont="1" applyFill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167" fontId="0" fillId="0" borderId="0" xfId="0" applyNumberFormat="1"/>
    <xf numFmtId="0" fontId="8" fillId="2" borderId="2" xfId="5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14" fontId="7" fillId="3" borderId="2" xfId="0" applyNumberFormat="1" applyFont="1" applyFill="1" applyBorder="1" applyProtection="1"/>
    <xf numFmtId="14" fontId="0" fillId="0" borderId="0" xfId="0" applyNumberFormat="1" applyProtection="1"/>
    <xf numFmtId="0" fontId="8" fillId="0" borderId="0" xfId="0" applyFont="1" applyBorder="1"/>
    <xf numFmtId="0" fontId="8" fillId="2" borderId="7" xfId="5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49" fontId="0" fillId="0" borderId="2" xfId="0" applyNumberFormat="1" applyBorder="1" applyProtection="1">
      <protection locked="0"/>
    </xf>
    <xf numFmtId="0" fontId="8" fillId="0" borderId="7" xfId="0" applyFont="1" applyBorder="1" applyProtection="1"/>
    <xf numFmtId="0" fontId="7" fillId="5" borderId="5" xfId="0" applyNumberFormat="1" applyFont="1" applyFill="1" applyBorder="1" applyAlignment="1" applyProtection="1">
      <alignment horizontal="center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protection locked="0"/>
    </xf>
    <xf numFmtId="166" fontId="0" fillId="0" borderId="0" xfId="0" applyNumberFormat="1" applyBorder="1" applyAlignment="1">
      <alignment horizontal="left"/>
    </xf>
    <xf numFmtId="0" fontId="7" fillId="0" borderId="0" xfId="0" applyFont="1"/>
    <xf numFmtId="0" fontId="0" fillId="6" borderId="0" xfId="0" applyFill="1"/>
  </cellXfs>
  <cellStyles count="7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3 2" xfId="4" xr:uid="{00000000-0005-0000-0000-000004000000}"/>
    <cellStyle name="Normal 4" xfId="5" xr:uid="{00000000-0005-0000-0000-000005000000}"/>
    <cellStyle name="Normal 5" xfId="6" xr:uid="{00000000-0005-0000-0000-000006000000}"/>
  </cellStyles>
  <dxfs count="16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170962</xdr:colOff>
      <xdr:row>1</xdr:row>
      <xdr:rowOff>371869</xdr:rowOff>
    </xdr:from>
    <xdr:to>
      <xdr:col>3</xdr:col>
      <xdr:colOff>793751</xdr:colOff>
      <xdr:row>29</xdr:row>
      <xdr:rowOff>85399</xdr:rowOff>
    </xdr:to>
    <xdr:pic>
      <xdr:nvPicPr>
        <xdr:cNvPr id="2" name="Picture 1" descr="ElvisRunner2009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962" y="616100"/>
          <a:ext cx="5116635" cy="53796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123825</xdr:rowOff>
        </xdr:from>
        <xdr:to>
          <xdr:col>3</xdr:col>
          <xdr:colOff>581025</xdr:colOff>
          <xdr:row>6</xdr:row>
          <xdr:rowOff>57150</xdr:rowOff>
        </xdr:to>
        <xdr:sp macro="" textlink="">
          <xdr:nvSpPr>
            <xdr:cNvPr id="4108" name="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FF"/>
                  </a:solidFill>
                  <a:latin typeface="Garamond"/>
                </a:rPr>
                <a:t>Race Menu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37" xr16:uid="{00000000-0016-0000-0600-00000A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6" xr16:uid="{00000000-0016-0000-0600-000002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31" xr16:uid="{00000000-0016-0000-0600-000005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6" xr16:uid="{00000000-0016-0000-0600-00000D00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3" xr16:uid="{00000000-0016-0000-0600-00000700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" xr16:uid="{00000000-0016-0000-0600-000004000000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34" xr16:uid="{00000000-0016-0000-0600-00000900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32" xr16:uid="{00000000-0016-0000-0600-00000B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38" xr16:uid="{00000000-0016-0000-0600-00000C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9" xr16:uid="{00000000-0016-0000-0600-000008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30" xr16:uid="{00000000-0016-0000-06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14" xr16:uid="{00000000-0016-0000-0600-000001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7" xr16:uid="{00000000-0016-0000-0600-00000F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8" xr16:uid="{00000000-0016-0000-0600-000006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15" xr16:uid="{00000000-0016-0000-0600-00000E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36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13" Type="http://schemas.openxmlformats.org/officeDocument/2006/relationships/queryTable" Target="../queryTables/queryTable13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10" Type="http://schemas.openxmlformats.org/officeDocument/2006/relationships/queryTable" Target="../queryTables/queryTable10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theme="4" tint="0.59999389629810485"/>
  </sheetPr>
  <dimension ref="A1:Q21"/>
  <sheetViews>
    <sheetView showGridLines="0" zoomScale="80" zoomScaleNormal="80" workbookViewId="0">
      <selection activeCell="G7" sqref="G7"/>
    </sheetView>
  </sheetViews>
  <sheetFormatPr defaultRowHeight="15.75" x14ac:dyDescent="0.25"/>
  <cols>
    <col min="1" max="1" width="42.25" customWidth="1"/>
    <col min="3" max="3" width="7.625" customWidth="1"/>
    <col min="4" max="4" width="12.5" style="72" customWidth="1"/>
    <col min="6" max="6" width="20.875" customWidth="1"/>
    <col min="7" max="7" width="6.5" customWidth="1"/>
    <col min="8" max="8" width="11.125" style="72" customWidth="1"/>
    <col min="12" max="12" width="17.625" customWidth="1"/>
    <col min="13" max="13" width="23.875" hidden="1" customWidth="1"/>
    <col min="14" max="14" width="7.375" hidden="1" customWidth="1"/>
    <col min="15" max="15" width="11.125" style="72" hidden="1" customWidth="1"/>
    <col min="16" max="16" width="10" hidden="1" customWidth="1"/>
    <col min="17" max="17" width="9" hidden="1" customWidth="1"/>
    <col min="18" max="18" width="9" customWidth="1"/>
  </cols>
  <sheetData>
    <row r="1" spans="1:16" ht="18.75" x14ac:dyDescent="0.3">
      <c r="A1" s="73"/>
    </row>
    <row r="2" spans="1:16" s="77" customFormat="1" ht="30.75" customHeight="1" x14ac:dyDescent="0.4">
      <c r="A2" s="76" t="s">
        <v>171</v>
      </c>
      <c r="O2" s="78"/>
    </row>
    <row r="4" spans="1:16" x14ac:dyDescent="0.25">
      <c r="D4"/>
      <c r="H4"/>
      <c r="M4" s="48" t="s">
        <v>1315</v>
      </c>
      <c r="N4" s="48" t="s">
        <v>169</v>
      </c>
      <c r="O4" s="70" t="s">
        <v>170</v>
      </c>
      <c r="P4" s="48" t="s">
        <v>347</v>
      </c>
    </row>
    <row r="5" spans="1:16" x14ac:dyDescent="0.25">
      <c r="C5" t="str">
        <f>IF($A$5="","",VLOOKUP($A5,$M5:$O12,2,FALSE))</f>
        <v/>
      </c>
      <c r="D5"/>
      <c r="H5"/>
    </row>
    <row r="6" spans="1:16" x14ac:dyDescent="0.25">
      <c r="H6"/>
      <c r="M6" t="s">
        <v>155</v>
      </c>
      <c r="N6" s="71">
        <v>1</v>
      </c>
      <c r="O6" s="70" t="s">
        <v>2170</v>
      </c>
      <c r="P6" s="70">
        <v>3</v>
      </c>
    </row>
    <row r="7" spans="1:16" x14ac:dyDescent="0.25">
      <c r="H7"/>
      <c r="M7" t="s">
        <v>38</v>
      </c>
      <c r="N7">
        <v>2</v>
      </c>
      <c r="O7" s="70" t="s">
        <v>2171</v>
      </c>
      <c r="P7" s="70">
        <v>4</v>
      </c>
    </row>
    <row r="8" spans="1:16" x14ac:dyDescent="0.25">
      <c r="H8"/>
      <c r="M8" s="48" t="s">
        <v>63</v>
      </c>
      <c r="N8" s="71">
        <v>3</v>
      </c>
      <c r="O8" s="70" t="s">
        <v>2172</v>
      </c>
    </row>
    <row r="9" spans="1:16" x14ac:dyDescent="0.25">
      <c r="D9"/>
      <c r="H9"/>
      <c r="M9" t="s">
        <v>108</v>
      </c>
      <c r="N9" s="71">
        <v>4</v>
      </c>
      <c r="O9" s="70" t="s">
        <v>2173</v>
      </c>
    </row>
    <row r="10" spans="1:16" x14ac:dyDescent="0.25">
      <c r="C10" s="71"/>
      <c r="H10"/>
      <c r="M10" s="48" t="s">
        <v>1805</v>
      </c>
      <c r="N10">
        <v>5</v>
      </c>
      <c r="O10" s="70" t="s">
        <v>2174</v>
      </c>
    </row>
    <row r="11" spans="1:16" x14ac:dyDescent="0.25">
      <c r="D11"/>
      <c r="H11"/>
      <c r="M11" s="48" t="s">
        <v>14</v>
      </c>
      <c r="N11">
        <v>6</v>
      </c>
      <c r="O11" s="70" t="s">
        <v>2175</v>
      </c>
    </row>
    <row r="12" spans="1:16" x14ac:dyDescent="0.25">
      <c r="H12" s="74"/>
      <c r="M12" t="s">
        <v>43</v>
      </c>
      <c r="N12" s="71">
        <v>7</v>
      </c>
      <c r="O12" s="70" t="s">
        <v>2176</v>
      </c>
    </row>
    <row r="13" spans="1:16" x14ac:dyDescent="0.25">
      <c r="H13"/>
      <c r="M13" t="s">
        <v>12</v>
      </c>
      <c r="N13" s="71">
        <v>8</v>
      </c>
      <c r="O13" s="70" t="s">
        <v>2177</v>
      </c>
    </row>
    <row r="16" spans="1:16" x14ac:dyDescent="0.25">
      <c r="A16" s="48"/>
      <c r="M16" t="s">
        <v>342</v>
      </c>
    </row>
    <row r="17" spans="4:17" x14ac:dyDescent="0.25">
      <c r="D17"/>
      <c r="H17"/>
      <c r="M17" t="s">
        <v>344</v>
      </c>
      <c r="N17" t="s">
        <v>343</v>
      </c>
      <c r="O17" t="s">
        <v>170</v>
      </c>
      <c r="P17" t="s">
        <v>346</v>
      </c>
      <c r="Q17" t="s">
        <v>345</v>
      </c>
    </row>
    <row r="18" spans="4:17" x14ac:dyDescent="0.25">
      <c r="M18" t="s">
        <v>43</v>
      </c>
      <c r="N18">
        <v>7</v>
      </c>
      <c r="O18" s="70" t="s">
        <v>2176</v>
      </c>
      <c r="P18">
        <v>3</v>
      </c>
      <c r="Q18">
        <v>3</v>
      </c>
    </row>
    <row r="20" spans="4:17" x14ac:dyDescent="0.25">
      <c r="M20" s="48" t="s">
        <v>360</v>
      </c>
      <c r="N20">
        <v>152</v>
      </c>
    </row>
    <row r="21" spans="4:17" x14ac:dyDescent="0.25">
      <c r="M21" s="48" t="s">
        <v>361</v>
      </c>
    </row>
  </sheetData>
  <sheetProtection algorithmName="SHA-512" hashValue="e13XKhI6yoJOhwN2e+Bp4Uw4bW/5F05NjhFtXi1NTTK80Oy+VddkkAfHrq2ZAtVVkFRoWtrW2IvypHb7+Md55A==" saltValue="ZHtUmt2deYv3oJtTHQTaPQ==" spinCount="100000" sheet="1" objects="1" scenarios="1"/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Button 12">
              <controlPr defaultSize="0" print="0" autoFill="0" autoPict="0" macro="[0]!RaceMenu_click">
                <anchor moveWithCells="1">
                  <from>
                    <xdr:col>1</xdr:col>
                    <xdr:colOff>0</xdr:colOff>
                    <xdr:row>3</xdr:row>
                    <xdr:rowOff>123825</xdr:rowOff>
                  </from>
                  <to>
                    <xdr:col>3</xdr:col>
                    <xdr:colOff>581025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Q501"/>
  <sheetViews>
    <sheetView topLeftCell="AP1" workbookViewId="0">
      <selection activeCell="BE2" sqref="BE2"/>
    </sheetView>
  </sheetViews>
  <sheetFormatPr defaultColWidth="9" defaultRowHeight="15.75" x14ac:dyDescent="0.25"/>
  <cols>
    <col min="1" max="1" width="3.25" style="154" customWidth="1"/>
    <col min="2" max="2" width="4" style="154" customWidth="1"/>
    <col min="3" max="3" width="25.375" style="154" customWidth="1"/>
    <col min="4" max="5" width="2.625" style="154" customWidth="1"/>
    <col min="6" max="6" width="5.625" style="154" customWidth="1"/>
    <col min="7" max="7" width="20.625" style="154" customWidth="1"/>
    <col min="8" max="8" width="2.625" style="154" customWidth="1"/>
    <col min="9" max="9" width="3.625" style="154" customWidth="1"/>
    <col min="10" max="10" width="20.625" style="154" customWidth="1"/>
    <col min="11" max="11" width="2.625" style="154" customWidth="1"/>
    <col min="12" max="12" width="3.625" style="154" customWidth="1"/>
    <col min="13" max="13" width="20.625" style="154" customWidth="1"/>
    <col min="14" max="14" width="2.625" style="154" customWidth="1"/>
    <col min="15" max="15" width="3.625" style="154" customWidth="1"/>
    <col min="16" max="16" width="20.625" style="154" customWidth="1"/>
    <col min="17" max="17" width="2.625" style="154" customWidth="1"/>
    <col min="18" max="18" width="3.625" style="154" customWidth="1"/>
    <col min="19" max="19" width="20.625" style="154" customWidth="1"/>
    <col min="20" max="20" width="2.625" style="154" customWidth="1"/>
    <col min="21" max="21" width="3.625" style="154" customWidth="1"/>
    <col min="22" max="22" width="20.625" style="154" customWidth="1"/>
    <col min="23" max="23" width="2.625" style="154" customWidth="1"/>
    <col min="24" max="24" width="3.625" style="154" customWidth="1"/>
    <col min="25" max="25" width="11.375" style="154" customWidth="1"/>
    <col min="26" max="28" width="24.25" style="154" customWidth="1"/>
    <col min="29" max="29" width="19.75" style="154" customWidth="1"/>
    <col min="30" max="30" width="8.125" style="154" customWidth="1"/>
    <col min="31" max="31" width="6.25" style="154" customWidth="1"/>
    <col min="32" max="32" width="10.375" style="154" customWidth="1"/>
    <col min="33" max="33" width="12.25" style="154" customWidth="1"/>
    <col min="34" max="34" width="12.375" style="154" customWidth="1"/>
    <col min="35" max="35" width="10.5" style="154" customWidth="1"/>
    <col min="36" max="36" width="10.875" style="154" customWidth="1"/>
    <col min="37" max="37" width="17.375" style="154" customWidth="1"/>
    <col min="38" max="39" width="12.125" style="154" customWidth="1"/>
    <col min="40" max="40" width="9.25" style="154" customWidth="1"/>
    <col min="41" max="41" width="10.375" style="154" customWidth="1"/>
    <col min="42" max="44" width="9" style="154" customWidth="1"/>
    <col min="45" max="45" width="14.625" style="154" customWidth="1"/>
    <col min="46" max="46" width="25.625" style="154" customWidth="1"/>
    <col min="47" max="47" width="9" style="154" customWidth="1"/>
    <col min="48" max="48" width="7.125" style="154" customWidth="1"/>
    <col min="49" max="49" width="15.625" style="154" customWidth="1"/>
    <col min="50" max="50" width="2.625" style="154" customWidth="1"/>
    <col min="51" max="51" width="5.625" style="154" customWidth="1"/>
    <col min="52" max="52" width="16" style="154" customWidth="1"/>
    <col min="53" max="53" width="3.625" style="154" customWidth="1"/>
    <col min="54" max="54" width="5.25" style="154" customWidth="1"/>
    <col min="55" max="55" width="15.5" style="154" customWidth="1"/>
    <col min="56" max="56" width="2.625" style="154" customWidth="1"/>
    <col min="57" max="57" width="5.875" style="154" customWidth="1"/>
    <col min="58" max="58" width="17.125" style="154" customWidth="1"/>
    <col min="59" max="59" width="3.5" style="154" customWidth="1"/>
    <col min="60" max="60" width="6" style="154" customWidth="1"/>
    <col min="61" max="61" width="12.25" style="154" customWidth="1"/>
    <col min="62" max="62" width="4" style="154" customWidth="1"/>
    <col min="63" max="63" width="5.875" style="154" customWidth="1"/>
    <col min="64" max="64" width="15.125" style="154" customWidth="1"/>
    <col min="65" max="65" width="3.625" style="154" customWidth="1"/>
    <col min="66" max="66" width="5.5" style="154" customWidth="1"/>
    <col min="67" max="67" width="11.25" style="154" customWidth="1"/>
    <col min="68" max="68" width="6" style="154" customWidth="1"/>
    <col min="69" max="69" width="9" style="154" customWidth="1"/>
    <col min="70" max="16384" width="9" style="154"/>
  </cols>
  <sheetData>
    <row r="1" spans="1:69" x14ac:dyDescent="0.25">
      <c r="A1" s="153"/>
      <c r="B1" s="153"/>
      <c r="C1" s="47" t="s">
        <v>1255</v>
      </c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5" t="s">
        <v>1256</v>
      </c>
      <c r="AA1" s="155" t="s">
        <v>1257</v>
      </c>
      <c r="AB1" s="156" t="s">
        <v>143</v>
      </c>
      <c r="AC1" s="156" t="s">
        <v>2</v>
      </c>
      <c r="AD1" s="157" t="s">
        <v>1258</v>
      </c>
      <c r="AE1" s="153" t="s">
        <v>1259</v>
      </c>
      <c r="AF1" s="158" t="s">
        <v>77</v>
      </c>
      <c r="AG1" s="158" t="s">
        <v>1260</v>
      </c>
      <c r="AH1" s="158" t="s">
        <v>1261</v>
      </c>
      <c r="AI1" s="153" t="s">
        <v>1262</v>
      </c>
      <c r="AJ1" s="159" t="s">
        <v>1263</v>
      </c>
      <c r="AK1" s="153" t="s">
        <v>1264</v>
      </c>
      <c r="AL1" s="159" t="s">
        <v>1265</v>
      </c>
      <c r="AM1" s="159" t="s">
        <v>1266</v>
      </c>
      <c r="AN1" s="159" t="s">
        <v>106</v>
      </c>
      <c r="AO1" s="159" t="s">
        <v>107</v>
      </c>
      <c r="AS1" s="153" t="s">
        <v>1267</v>
      </c>
      <c r="AT1" s="47" t="s">
        <v>1268</v>
      </c>
      <c r="AU1" s="153" t="s">
        <v>1269</v>
      </c>
      <c r="AV1" s="153" t="s">
        <v>152</v>
      </c>
      <c r="AW1" s="153" t="s">
        <v>1270</v>
      </c>
      <c r="AX1" s="153"/>
      <c r="AY1" s="153" t="s">
        <v>0</v>
      </c>
      <c r="AZ1" s="153" t="s">
        <v>149</v>
      </c>
      <c r="BA1" s="153"/>
      <c r="BB1" s="153" t="s">
        <v>0</v>
      </c>
      <c r="BC1" s="153" t="s">
        <v>1271</v>
      </c>
      <c r="BD1" s="153"/>
      <c r="BE1" s="153" t="s">
        <v>0</v>
      </c>
      <c r="BF1" s="153" t="s">
        <v>1272</v>
      </c>
      <c r="BG1" s="153"/>
      <c r="BH1" s="153" t="s">
        <v>0</v>
      </c>
      <c r="BI1" s="153" t="s">
        <v>1273</v>
      </c>
      <c r="BJ1" s="153"/>
      <c r="BK1" s="153" t="s">
        <v>0</v>
      </c>
      <c r="BL1" s="153" t="s">
        <v>1274</v>
      </c>
      <c r="BM1" s="153"/>
      <c r="BN1" s="153" t="s">
        <v>0</v>
      </c>
      <c r="BO1" s="47" t="s">
        <v>1275</v>
      </c>
      <c r="BP1" s="153" t="s">
        <v>1267</v>
      </c>
      <c r="BQ1" s="160" t="s">
        <v>1276</v>
      </c>
    </row>
    <row r="2" spans="1:69" x14ac:dyDescent="0.25">
      <c r="Z2" s="154" t="str">
        <f>CONCATENATE(AE2,Times!AD2)</f>
        <v>SMEast London Runners</v>
      </c>
      <c r="AA2" s="154" t="str">
        <f>Times!AD2</f>
        <v>MEast London Runners</v>
      </c>
      <c r="AB2" s="154" t="str">
        <f>IF(AK2="Y",CONCATENATE(AA2,COUNTIFS($AK$2:AK2,"=Y",$AA$2:AA2,AA2)),"")</f>
        <v>MEast London Runners1</v>
      </c>
      <c r="AC2" s="154" t="str">
        <f>Times!K2</f>
        <v>Euan Brown</v>
      </c>
      <c r="AD2" s="154">
        <f>Times!G2</f>
        <v>1</v>
      </c>
      <c r="AE2" s="154" t="str">
        <f>IF(Times!D2&lt;&gt;"",IF(ISERR(SEARCH("V",Times!I2,1)),IF(ISERR(SEARCH("S",Times!I2,1)),"S","S"),"V"),"")</f>
        <v>S</v>
      </c>
      <c r="AF2" s="161">
        <f>IF(Times!D2&lt;&gt;"",SUMIFS(Times!$G$2:G2,$AA$2:AA2,AA2,$AK$2:AK2,"Y"),"")</f>
        <v>1</v>
      </c>
      <c r="AG2" s="154" t="str">
        <f>IF(Times!D2&lt;&gt;"",IF(AND(Times!J2="M",AI2+AL2=AM2,AK2="Y"),AF2,""),"")</f>
        <v/>
      </c>
      <c r="AH2" s="154" t="str">
        <f>IF(Times!D2&lt;&gt;"",IF(AND(Times!J2="F",AI2+AL2=AM2,AK2="Y"),AF2,""),"")</f>
        <v/>
      </c>
      <c r="AI2" s="154">
        <f>COUNTIF(Z$2:Z2,CONCATENATE("V",AA2))</f>
        <v>0</v>
      </c>
      <c r="AJ2" s="154">
        <f>COUNTIF(Z$2:Z2,CONCATENATE("S",AA2))</f>
        <v>1</v>
      </c>
      <c r="AK2" s="154" t="str">
        <f>IF(AND(AE2="V",AI2&lt;=AM2-AL2),"Y",IF(AND(AE2="S",AJ2&lt;=AM2/2,AJ2&lt;=AM2-AI2),"Y","N"))</f>
        <v>Y</v>
      </c>
      <c r="AL2" s="154">
        <f>IF(AND(Times!J2="M",AJ2&gt;3),3, IF(AND(Times!J2="F",AJ2&gt;2),2,AJ2))</f>
        <v>1</v>
      </c>
      <c r="AM2" s="154">
        <f>IF(Times!J2="M",6, IF(Times!J2="F",4,""))</f>
        <v>6</v>
      </c>
      <c r="AN2" s="154" t="str">
        <f>IF(AG2&lt;&gt;"",RANK(AG2,AG$2:AG$501,1),"")</f>
        <v/>
      </c>
      <c r="AO2" s="154" t="str">
        <f>IF(AH2&lt;&gt;"",RANK(AH2,AH$2:AH$501,1),"")</f>
        <v/>
      </c>
      <c r="AT2" s="162" t="s">
        <v>1277</v>
      </c>
    </row>
    <row r="3" spans="1:69" x14ac:dyDescent="0.25">
      <c r="A3" s="153"/>
      <c r="B3" s="153"/>
      <c r="C3" s="47" t="s">
        <v>153</v>
      </c>
      <c r="D3" s="47" t="s">
        <v>0</v>
      </c>
      <c r="E3" s="47" t="s">
        <v>1269</v>
      </c>
      <c r="F3" s="47" t="s">
        <v>152</v>
      </c>
      <c r="G3" s="47" t="s">
        <v>1270</v>
      </c>
      <c r="H3" s="47"/>
      <c r="I3" s="47" t="s">
        <v>0</v>
      </c>
      <c r="J3" s="47" t="s">
        <v>149</v>
      </c>
      <c r="K3" s="47"/>
      <c r="L3" s="47" t="s">
        <v>0</v>
      </c>
      <c r="M3" s="47" t="s">
        <v>1271</v>
      </c>
      <c r="N3" s="47"/>
      <c r="O3" s="47" t="s">
        <v>0</v>
      </c>
      <c r="P3" s="47" t="s">
        <v>1272</v>
      </c>
      <c r="Q3" s="47"/>
      <c r="R3" s="47" t="s">
        <v>0</v>
      </c>
      <c r="S3" s="47" t="s">
        <v>1273</v>
      </c>
      <c r="T3" s="47"/>
      <c r="U3" s="47" t="s">
        <v>0</v>
      </c>
      <c r="V3" s="47" t="s">
        <v>1274</v>
      </c>
      <c r="W3" s="47"/>
      <c r="X3" s="47" t="s">
        <v>0</v>
      </c>
      <c r="Z3" s="154" t="str">
        <f>CONCATENATE(AE3,Times!AD3)</f>
        <v>VMBillericay Striders</v>
      </c>
      <c r="AA3" s="154" t="str">
        <f>Times!AD3</f>
        <v>MBillericay Striders</v>
      </c>
      <c r="AB3" s="154" t="str">
        <f>IF(AK3="Y",CONCATENATE(AA3,COUNTIFS($AK$2:AK3,"=Y",$AA$2:AA3,AA3)),"")</f>
        <v>MBillericay Striders1</v>
      </c>
      <c r="AC3" s="154" t="str">
        <f>Times!K3</f>
        <v>Crispian Bloomfield</v>
      </c>
      <c r="AD3" s="154">
        <f>Times!G3</f>
        <v>2</v>
      </c>
      <c r="AE3" s="154" t="str">
        <f>IF(Times!D3&lt;&gt;"",IF(ISERR(SEARCH("V",Times!I3,1)),IF(ISERR(SEARCH("S",Times!I3,1)),"S","S"),"V"),"")</f>
        <v>V</v>
      </c>
      <c r="AF3" s="161">
        <f>IF(Times!D3&lt;&gt;"",SUMIFS(Times!$G$2:G3,$AA$2:AA3,AA3,$AK$2:AK3,"Y"),"")</f>
        <v>2</v>
      </c>
      <c r="AG3" s="154" t="str">
        <f>IF(Times!D3&lt;&gt;"",IF(AND(Times!J3="M",AI3+AL3=AM3,AK3="Y"),AF3,""),"")</f>
        <v/>
      </c>
      <c r="AH3" s="154" t="str">
        <f>IF(Times!D3&lt;&gt;"",IF(AND(Times!J3="F",AI3+AL3=AM3,AK3="Y"),AF3,""),"")</f>
        <v/>
      </c>
      <c r="AI3" s="154">
        <f>COUNTIF(Z$2:Z3,CONCATENATE("V",AA3))</f>
        <v>1</v>
      </c>
      <c r="AJ3" s="154">
        <f>COUNTIF(Z$2:Z3,CONCATENATE("S",AA3))</f>
        <v>0</v>
      </c>
      <c r="AK3" s="154" t="str">
        <f t="shared" ref="AK3:AK66" si="0">IF(AND(AE3="V",AI3&lt;=AM3-AL3),"Y",IF(AND(AE3="S",AJ3&lt;=AM3/2,AJ3&lt;=AM3-AI3),"Y","N"))</f>
        <v>Y</v>
      </c>
      <c r="AL3" s="154">
        <f>IF(AND(Times!J3="M",AJ3&gt;3),3, IF(AND(Times!J3="F",AJ3&gt;2),2,AJ3))</f>
        <v>0</v>
      </c>
      <c r="AM3" s="154">
        <f>IF(Times!J3="M",6, IF(Times!J3="F",4,""))</f>
        <v>6</v>
      </c>
      <c r="AN3" s="154" t="str">
        <f t="shared" ref="AN3:AN66" si="1">IF(AG3&lt;&gt;"",RANK(AG3,AG$2:AG$501,1),"")</f>
        <v/>
      </c>
      <c r="AO3" s="154" t="str">
        <f t="shared" ref="AO3:AO66" si="2">IF(AH3&lt;&gt;"",RANK(AH3,AH$2:AH$501,1),"")</f>
        <v/>
      </c>
      <c r="AS3" s="154" t="str">
        <f>CONCATENATE("M",BQ3)</f>
        <v>M3</v>
      </c>
      <c r="AT3" s="162" t="s">
        <v>43</v>
      </c>
      <c r="AU3" s="154">
        <f t="shared" ref="AU3:AU10" si="3">COUNTIFS($AK$2:$AK$501,"=y",$AA$2:$AA$501,CONCATENATE("M",AT3))</f>
        <v>6</v>
      </c>
      <c r="AV3" s="154">
        <f>SUM(AY3+BB3+BE3+BH3+BK3+BN3)</f>
        <v>220</v>
      </c>
      <c r="AW3" s="154" t="str">
        <f t="shared" ref="AW3:AW10" si="4">IF(ISNA(VLOOKUP(CONCATENATE("M",AT3,1),Elvis_Team,2,FALSE)),IF(ISNA(VLOOKUP(CONCATENATE("M",AT3,1),Elvis_Team,2,FALSE)),"No Runner",VLOOKUP(CONCATENATE("M",AT3,1),Elvis_Team,2,FALSE)),VLOOKUP(CONCATENATE("M",AT3,1),Elvis_Team,2,FALSE))</f>
        <v>Liviu Ionita</v>
      </c>
      <c r="AX3" s="154" t="str">
        <f t="shared" ref="AX3:AX10" si="5">IF(ISNA(VLOOKUP(CONCATENATE("M",AT3,1),Elvis_Team,4,FALSE)),IF(ISNA(VLOOKUP(CONCATENATE("M",AT3,1),Elvis_Team,4,FALSE)),"",VLOOKUP(CONCATENATE("M",AT3,1),Elvis_Team,4,FALSE)),VLOOKUP(CONCATENATE("M",AT3,1),Elvis_Team,4,FALSE))</f>
        <v>S</v>
      </c>
      <c r="AY3" s="154">
        <f t="shared" ref="AY3:AY10" si="6">IF(ISNA(VLOOKUP(CONCATENATE("M",AT3,1),Elvis_Team,3,FALSE)),IF(ISNA(VLOOKUP(CONCATENATE("M",AT3,1),Elvis_Team,3,FALSE)),$AT$25-AU3+1,VLOOKUP(CONCATENATE("M",AT3,1),Elvis_Team,3,FALSE)),VLOOKUP(CONCATENATE("M",AT3,1),Elvis_Team,3,FALSE))</f>
        <v>6</v>
      </c>
      <c r="AZ3" s="154" t="str">
        <f t="shared" ref="AZ3:AZ10" si="7">IF(ISNA(VLOOKUP(CONCATENATE("M",AT3,2),Elvis_Team,2,FALSE)),IF(ISNA(VLOOKUP(CONCATENATE("M",AT3,2),Elvis_Team,2,FALSE)),"No Runner",VLOOKUP(CONCATENATE("M",AT3,2),Elvis_Team,2,FALSE)),VLOOKUP(CONCATENATE("M",AT3,2),Elvis_Team,2,FALSE))</f>
        <v>Philip Ellul</v>
      </c>
      <c r="BA3" s="154" t="str">
        <f t="shared" ref="BA3:BA10" si="8">IF(ISNA(VLOOKUP(CONCATENATE("M",AT3,2),Elvis_Team,4,FALSE)),IF(ISNA(VLOOKUP(CONCATENATE("M",AT3,2),Elvis_Team,4,FALSE)),"",VLOOKUP(CONCATENATE("M",AT3,2),Elvis_Team,4,FALSE)),VLOOKUP(CONCATENATE("M",AT3,2),Elvis_Team,4,FALSE))</f>
        <v>S</v>
      </c>
      <c r="BB3" s="154">
        <f t="shared" ref="BB3:BB10" si="9">IF(ISNA(VLOOKUP(CONCATENATE("M",AT3,2),Elvis_Team,3,FALSE)),IF(ISNA(VLOOKUP(CONCATENATE("M",AT3,2),Elvis_Team,3,FALSE)),$AT$25-AU3+2,VLOOKUP(CONCATENATE("M",AT3,2),Elvis_Team,3,FALSE)),VLOOKUP(CONCATENATE("M",AT3,2),Elvis_Team,3,FALSE))</f>
        <v>27</v>
      </c>
      <c r="BC3" s="154" t="str">
        <f t="shared" ref="BC3:BC10" si="10">IF(ISNA(VLOOKUP(CONCATENATE("M",AT3,3),Elvis_Team,2,FALSE)),IF(ISNA(VLOOKUP(CONCATENATE("M",AT3,3),Elvis_Team,2,FALSE)),"No Runner",VLOOKUP(CONCATENATE("M",AT3,3),Elvis_Team,2,FALSE)),VLOOKUP(CONCATENATE("M",AT3,3),Elvis_Team,2,FALSE))</f>
        <v>Diarmuid Mac Donnell</v>
      </c>
      <c r="BD3" s="154" t="str">
        <f t="shared" ref="BD3:BD10" si="11">IF(ISNA(VLOOKUP(CONCATENATE("M",AT3,3),Elvis_Team,4,FALSE)),IF(ISNA(VLOOKUP(CONCATENATE("M",AT3,3),Elvis_Team,4,FALSE)),"",VLOOKUP(CONCATENATE("M",AT3,3),Elvis_Team,4,FALSE)),VLOOKUP(CONCATENATE("M",AT3,3),Elvis_Team,4,FALSE))</f>
        <v>V</v>
      </c>
      <c r="BE3" s="154">
        <f t="shared" ref="BE3:BE10" si="12">IF(ISNA(VLOOKUP(CONCATENATE("M",AT3,3),Elvis_Team,3,FALSE)),IF(ISNA(VLOOKUP(CONCATENATE("M",AT3,3),Elvis_Team,3,FALSE)),$AT$25-AU3+3,VLOOKUP(CONCATENATE("M",AT3,3),Elvis_Team,3,FALSE)),VLOOKUP(CONCATENATE("M",AT3,3),Elvis_Team,3,FALSE))</f>
        <v>30</v>
      </c>
      <c r="BF3" s="154" t="str">
        <f t="shared" ref="BF3:BF10" si="13">IF(ISNA(VLOOKUP(CONCATENATE("M",AT3,4),Elvis_Team,2,FALSE)),IF(ISNA(VLOOKUP(CONCATENATE("M",AT3,4),Elvis_Team,2,FALSE)),"No Runner",VLOOKUP(CONCATENATE("M",AT3,4),Elvis_Team,2,FALSE)),VLOOKUP(CONCATENATE("M",AT3,4),Elvis_Team,2,FALSE))</f>
        <v>Dervish Bartlett</v>
      </c>
      <c r="BG3" s="154" t="str">
        <f t="shared" ref="BG3:BG10" si="14">IF(ISNA(VLOOKUP(CONCATENATE("M",AT3,4),Elvis_Team,4,FALSE)),IF(ISNA(VLOOKUP(CONCATENATE("M",AT3,4),Elvis_Team,4,FALSE)),"",VLOOKUP(CONCATENATE("M",AT3,4),Elvis_Team,4,FALSE)),VLOOKUP(CONCATENATE("M",AT3,4),Elvis_Team,4,FALSE))</f>
        <v>V</v>
      </c>
      <c r="BH3" s="154">
        <f t="shared" ref="BH3:BH10" si="15">IF(ISNA(VLOOKUP(CONCATENATE("M",AT3,4),Elvis_Team,3,FALSE)),IF(ISNA(VLOOKUP(CONCATENATE("M",AT3,4),Elvis_Team,3,FALSE)),$AT$25-AU3+4,VLOOKUP(CONCATENATE("M",AT3,4),Elvis_Team,3,FALSE)),VLOOKUP(CONCATENATE("M",AT3,4),Elvis_Team,3,FALSE))</f>
        <v>41</v>
      </c>
      <c r="BI3" s="154" t="str">
        <f t="shared" ref="BI3:BI10" si="16">IF(ISNA(VLOOKUP(CONCATENATE("M",AT3,5),Elvis_Team,2,FALSE)),IF(ISNA(VLOOKUP(CONCATENATE("M",AT3,5),Elvis_Team,2,FALSE)),"No Runner",VLOOKUP(CONCATENATE("M",AT3,5),Elvis_Team,2,FALSE)),VLOOKUP(CONCATENATE("M",AT3,5),Elvis_Team,2,FALSE))</f>
        <v>James Lowndes</v>
      </c>
      <c r="BJ3" s="154" t="str">
        <f t="shared" ref="BJ3:BJ10" si="17">IF(ISNA(VLOOKUP(CONCATENATE("M",AT3,5),Elvis_Team,4,FALSE)),IF(ISNA(VLOOKUP(CONCATENATE("M",AT3,5),Elvis_Team,4,FALSE)),"",VLOOKUP(CONCATENATE("M",AT3,5),Elvis_Team,4,FALSE)),VLOOKUP(CONCATENATE("M",AT3,5),Elvis_Team,4,FALSE))</f>
        <v>S</v>
      </c>
      <c r="BK3" s="154">
        <f t="shared" ref="BK3:BK10" si="18">IF(ISNA(VLOOKUP(CONCATENATE("M",AT3,5),Elvis_Team,3,FALSE)),IF(ISNA(VLOOKUP(CONCATENATE("M",AT3,5),Elvis_Team,3,FALSE)),$AT$25-AU3+5,VLOOKUP(CONCATENATE("M",AT3,5),Elvis_Team,3,FALSE)),VLOOKUP(CONCATENATE("M",AT3,5),Elvis_Team,3,FALSE))</f>
        <v>49</v>
      </c>
      <c r="BL3" s="154" t="str">
        <f t="shared" ref="BL3:BL10" si="19">IF(ISNA(VLOOKUP(CONCATENATE("M",AT3,6),Elvis_Team,2,FALSE)),IF(ISNA(VLOOKUP(CONCATENATE("M",AT3,6),Elvis_Team,2,FALSE)),"No Runner",VLOOKUP(CONCATENATE("M",AT3,6),Elvis_Team,2,FALSE)),VLOOKUP(CONCATENATE("M",AT3,6),Elvis_Team,2,FALSE))</f>
        <v>Paul Ward</v>
      </c>
      <c r="BM3" s="154" t="str">
        <f t="shared" ref="BM3:BM10" si="20">IF(ISNA(VLOOKUP(CONCATENATE("M",AT3,6),Elvis_Team,4,FALSE)),IF(ISNA(VLOOKUP(CONCATENATE("M",AT3,6),Elvis_Team,4,FALSE)),"",VLOOKUP(CONCATENATE("M",AT3,6),Elvis_Team,4,FALSE)),VLOOKUP(CONCATENATE("M",AT3,6),Elvis_Team,4,FALSE))</f>
        <v>V</v>
      </c>
      <c r="BN3" s="154">
        <f t="shared" ref="BN3:BN10" si="21">IF(ISNA(VLOOKUP(CONCATENATE("M",AT3,6),Elvis_Team,3,FALSE)),IF(ISNA(VLOOKUP(CONCATENATE("M",AT3,6),Elvis_Team,3,FALSE)),$AT$25-AU3+6,VLOOKUP(CONCATENATE("M",AT3,6),Elvis_Team,3,FALSE)),VLOOKUP(CONCATENATE("M",AT3,6),Elvis_Team,3,FALSE))</f>
        <v>67</v>
      </c>
      <c r="BO3" s="154">
        <f>VALUE(CONCATENATE(RANK(AU3,$AU$3:$AU$11,0),AV3))</f>
        <v>1220</v>
      </c>
      <c r="BP3" s="160">
        <f>(RANK(BO3,$BO$3:$BO$11,1))</f>
        <v>3</v>
      </c>
      <c r="BQ3" s="154">
        <f>(COUNTIF($BP3:BP$11,BP3)+-1)*0.1+BP3</f>
        <v>3</v>
      </c>
    </row>
    <row r="4" spans="1:69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Z4" s="154" t="str">
        <f>CONCATENATE(AE4,Times!AD4)</f>
        <v>SMIlford AC</v>
      </c>
      <c r="AA4" s="154" t="str">
        <f>Times!AD4</f>
        <v>MIlford AC</v>
      </c>
      <c r="AB4" s="154" t="str">
        <f>IF(AK4="Y",CONCATENATE(AA4,COUNTIFS($AK$2:AK4,"=Y",$AA$2:AA4,AA4)),"")</f>
        <v>MIlford AC1</v>
      </c>
      <c r="AC4" s="154" t="str">
        <f>Times!K4</f>
        <v>Alex Richards</v>
      </c>
      <c r="AD4" s="154">
        <f>Times!G4</f>
        <v>3</v>
      </c>
      <c r="AE4" s="154" t="str">
        <f>IF(Times!D4&lt;&gt;"",IF(ISERR(SEARCH("V",Times!I4,1)),IF(ISERR(SEARCH("S",Times!I4,1)),"S","S"),"V"),"")</f>
        <v>S</v>
      </c>
      <c r="AF4" s="161">
        <f>IF(Times!D4&lt;&gt;"",SUMIFS(Times!$G$2:G4,$AA$2:AA4,AA4,$AK$2:AK4,"Y"),"")</f>
        <v>3</v>
      </c>
      <c r="AG4" s="154" t="str">
        <f>IF(Times!D4&lt;&gt;"",IF(AND(Times!J4="M",AI4+AL4=AM4,AK4="Y"),AF4,""),"")</f>
        <v/>
      </c>
      <c r="AH4" s="154" t="str">
        <f>IF(Times!D4&lt;&gt;"",IF(AND(Times!J4="F",AI4+AL4=AM4,AK4="Y"),AF4,""),"")</f>
        <v/>
      </c>
      <c r="AI4" s="154">
        <f>COUNTIF(Z$2:Z4,CONCATENATE("V",AA4))</f>
        <v>0</v>
      </c>
      <c r="AJ4" s="154">
        <f>COUNTIF(Z$2:Z4,CONCATENATE("S",AA4))</f>
        <v>1</v>
      </c>
      <c r="AK4" s="154" t="str">
        <f t="shared" si="0"/>
        <v>Y</v>
      </c>
      <c r="AL4" s="154">
        <f>IF(AND(Times!J4="M",AJ4&gt;3),3, IF(AND(Times!J4="F",AJ4&gt;2),2,AJ4))</f>
        <v>1</v>
      </c>
      <c r="AM4" s="154">
        <f>IF(Times!J4="M",6, IF(Times!J4="F",4,""))</f>
        <v>6</v>
      </c>
      <c r="AN4" s="154" t="str">
        <f t="shared" si="1"/>
        <v/>
      </c>
      <c r="AO4" s="154" t="str">
        <f t="shared" si="2"/>
        <v/>
      </c>
      <c r="AS4" s="154" t="str">
        <f t="shared" ref="AS4:AS11" si="22">CONCATENATE("M",BQ4)</f>
        <v>M9</v>
      </c>
      <c r="AT4" s="162" t="s">
        <v>155</v>
      </c>
      <c r="AU4" s="154">
        <f t="shared" si="3"/>
        <v>6</v>
      </c>
      <c r="AV4" s="154">
        <f t="shared" ref="AV4:AV10" si="23">SUM(AY4+BB4+BE4+BH4+BK4+BN4)</f>
        <v>529</v>
      </c>
      <c r="AW4" s="154" t="str">
        <f t="shared" si="4"/>
        <v>Peter Salmon</v>
      </c>
      <c r="AX4" s="154" t="str">
        <f t="shared" si="5"/>
        <v>V</v>
      </c>
      <c r="AY4" s="154">
        <f t="shared" si="6"/>
        <v>46</v>
      </c>
      <c r="AZ4" s="154" t="str">
        <f t="shared" si="7"/>
        <v>Jeff Webster</v>
      </c>
      <c r="BA4" s="154" t="str">
        <f t="shared" si="8"/>
        <v>S</v>
      </c>
      <c r="BB4" s="154">
        <f t="shared" si="9"/>
        <v>82</v>
      </c>
      <c r="BC4" s="154" t="str">
        <f t="shared" si="10"/>
        <v>Jamie Austin</v>
      </c>
      <c r="BD4" s="154" t="str">
        <f t="shared" si="11"/>
        <v>S</v>
      </c>
      <c r="BE4" s="154">
        <f t="shared" si="12"/>
        <v>90</v>
      </c>
      <c r="BF4" s="154" t="str">
        <f t="shared" si="13"/>
        <v>Mick Brown</v>
      </c>
      <c r="BG4" s="154" t="str">
        <f t="shared" si="14"/>
        <v>V</v>
      </c>
      <c r="BH4" s="154">
        <f t="shared" si="15"/>
        <v>91</v>
      </c>
      <c r="BI4" s="154" t="str">
        <f t="shared" si="16"/>
        <v>Jamie Smith</v>
      </c>
      <c r="BJ4" s="154" t="str">
        <f t="shared" si="17"/>
        <v>V</v>
      </c>
      <c r="BK4" s="154">
        <f t="shared" si="18"/>
        <v>106</v>
      </c>
      <c r="BL4" s="154" t="str">
        <f t="shared" si="19"/>
        <v>Nils Hollmann</v>
      </c>
      <c r="BM4" s="154" t="str">
        <f t="shared" si="20"/>
        <v>V</v>
      </c>
      <c r="BN4" s="154">
        <f t="shared" si="21"/>
        <v>114</v>
      </c>
      <c r="BO4" s="154">
        <f>VALUE(CONCATENATE(RANK(AU4,$AU$3:$AU$11,0),AV4))</f>
        <v>1529</v>
      </c>
      <c r="BP4" s="160">
        <f t="shared" ref="BP4:BP11" si="24">(RANK(BO4,$BO$3:$BO$11,1))</f>
        <v>9</v>
      </c>
      <c r="BQ4" s="154">
        <f>(COUNTIF($BP4:BP$11,BP4)+-1)*0.1+BP4</f>
        <v>9</v>
      </c>
    </row>
    <row r="5" spans="1:69" x14ac:dyDescent="0.25">
      <c r="A5" s="160"/>
      <c r="B5" s="160"/>
      <c r="C5" s="153" t="s">
        <v>1277</v>
      </c>
      <c r="D5" s="160"/>
      <c r="Z5" s="154" t="str">
        <f>CONCATENATE(AE5,Times!AD5)</f>
        <v>SMIlford AC</v>
      </c>
      <c r="AA5" s="154" t="str">
        <f>Times!AD5</f>
        <v>MIlford AC</v>
      </c>
      <c r="AB5" s="154" t="str">
        <f>IF(AK5="Y",CONCATENATE(AA5,COUNTIFS($AK$2:AK5,"=Y",$AA$2:AA5,AA5)),"")</f>
        <v>MIlford AC2</v>
      </c>
      <c r="AC5" s="154" t="str">
        <f>Times!K5</f>
        <v>Aaron Samuel</v>
      </c>
      <c r="AD5" s="154">
        <f>Times!G5</f>
        <v>4</v>
      </c>
      <c r="AE5" s="154" t="str">
        <f>IF(Times!D5&lt;&gt;"",IF(ISERR(SEARCH("V",Times!I5,1)),IF(ISERR(SEARCH("S",Times!I5,1)),"S","S"),"V"),"")</f>
        <v>S</v>
      </c>
      <c r="AF5" s="161">
        <f>IF(Times!D5&lt;&gt;"",SUMIFS(Times!$G$2:G5,$AA$2:AA5,AA5,$AK$2:AK5,"Y"),"")</f>
        <v>7</v>
      </c>
      <c r="AG5" s="154" t="str">
        <f>IF(Times!D5&lt;&gt;"",IF(AND(Times!J5="M",AI5+AL5=AM5,AK5="Y"),AF5,""),"")</f>
        <v/>
      </c>
      <c r="AH5" s="154" t="str">
        <f>IF(Times!D5&lt;&gt;"",IF(AND(Times!J5="F",AI5+AL5=AM5,AK5="Y"),AF5,""),"")</f>
        <v/>
      </c>
      <c r="AI5" s="154">
        <f>COUNTIF(Z$2:Z5,CONCATENATE("V",AA5))</f>
        <v>0</v>
      </c>
      <c r="AJ5" s="154">
        <f>COUNTIF(Z$2:Z5,CONCATENATE("S",AA5))</f>
        <v>2</v>
      </c>
      <c r="AK5" s="154" t="str">
        <f t="shared" si="0"/>
        <v>Y</v>
      </c>
      <c r="AL5" s="154">
        <f>IF(AND(Times!J5="M",AJ5&gt;3),3, IF(AND(Times!J5="F",AJ5&gt;2),2,AJ5))</f>
        <v>2</v>
      </c>
      <c r="AM5" s="154">
        <f>IF(Times!J5="M",6, IF(Times!J5="F",4,""))</f>
        <v>6</v>
      </c>
      <c r="AN5" s="154" t="str">
        <f t="shared" si="1"/>
        <v/>
      </c>
      <c r="AO5" s="154" t="str">
        <f t="shared" si="2"/>
        <v/>
      </c>
      <c r="AS5" s="154" t="str">
        <f t="shared" si="22"/>
        <v>M4</v>
      </c>
      <c r="AT5" s="163" t="s">
        <v>63</v>
      </c>
      <c r="AU5" s="154">
        <f t="shared" si="3"/>
        <v>6</v>
      </c>
      <c r="AV5" s="154">
        <f t="shared" si="23"/>
        <v>343</v>
      </c>
      <c r="AW5" s="154" t="str">
        <f t="shared" si="4"/>
        <v>Jimmi Lee</v>
      </c>
      <c r="AX5" s="154" t="str">
        <f t="shared" si="5"/>
        <v>S</v>
      </c>
      <c r="AY5" s="154">
        <f t="shared" si="6"/>
        <v>17</v>
      </c>
      <c r="AZ5" s="154" t="str">
        <f t="shared" si="7"/>
        <v>Simon Leung-Chester</v>
      </c>
      <c r="BA5" s="154" t="str">
        <f t="shared" si="8"/>
        <v>V</v>
      </c>
      <c r="BB5" s="154">
        <f t="shared" si="9"/>
        <v>21</v>
      </c>
      <c r="BC5" s="154" t="str">
        <f t="shared" si="10"/>
        <v>Rodney Baldwin</v>
      </c>
      <c r="BD5" s="154" t="str">
        <f t="shared" si="11"/>
        <v>S</v>
      </c>
      <c r="BE5" s="154">
        <f t="shared" si="12"/>
        <v>37</v>
      </c>
      <c r="BF5" s="154" t="str">
        <f t="shared" si="13"/>
        <v>In-Yong Hwang</v>
      </c>
      <c r="BG5" s="154" t="str">
        <f t="shared" si="14"/>
        <v>S</v>
      </c>
      <c r="BH5" s="154">
        <f t="shared" si="15"/>
        <v>50</v>
      </c>
      <c r="BI5" s="154" t="str">
        <f t="shared" si="16"/>
        <v>Adam Shaikh</v>
      </c>
      <c r="BJ5" s="154" t="str">
        <f t="shared" si="17"/>
        <v>V</v>
      </c>
      <c r="BK5" s="154">
        <f t="shared" si="18"/>
        <v>108</v>
      </c>
      <c r="BL5" s="154" t="str">
        <f t="shared" si="19"/>
        <v>Rolston Lecointe</v>
      </c>
      <c r="BM5" s="154" t="str">
        <f t="shared" si="20"/>
        <v>V</v>
      </c>
      <c r="BN5" s="154">
        <f t="shared" si="21"/>
        <v>110</v>
      </c>
      <c r="BO5" s="154">
        <f t="shared" ref="BO5:BO11" si="25">VALUE(CONCATENATE(RANK(AU5,$AU$3:$AU$11,0),AV5))</f>
        <v>1343</v>
      </c>
      <c r="BP5" s="160">
        <f t="shared" si="24"/>
        <v>4</v>
      </c>
      <c r="BQ5" s="154">
        <f>(COUNTIF($BP5:BP$11,BP5)+-1)*0.1+BP5</f>
        <v>4</v>
      </c>
    </row>
    <row r="6" spans="1:69" x14ac:dyDescent="0.25">
      <c r="A6" s="160">
        <v>1</v>
      </c>
      <c r="B6" s="160">
        <f>SMALL($BQ$3:$BQ$11,A6)</f>
        <v>1</v>
      </c>
      <c r="C6" s="154" t="str">
        <f t="shared" ref="C6:C12" si="26">VLOOKUP(CONCATENATE("M",$B6),Elvis,2,FALSE)</f>
        <v>Ilford AC</v>
      </c>
      <c r="D6" s="160">
        <f t="shared" ref="D6:D12" si="27">VLOOKUP(CONCATENATE("M",$B6),Elvis,24,FALSE)</f>
        <v>1</v>
      </c>
      <c r="E6" s="154">
        <f t="shared" ref="E6:E12" si="28">VLOOKUP(CONCATENATE("M",$B6),Elvis,3,FALSE)</f>
        <v>6</v>
      </c>
      <c r="F6" s="154">
        <f t="shared" ref="F6:F12" si="29">VLOOKUP(CONCATENATE("M",$B6),Elvis,4,FALSE)</f>
        <v>56</v>
      </c>
      <c r="G6" s="154" t="str">
        <f t="shared" ref="G6:G12" si="30">VLOOKUP(CONCATENATE("M",$B6),Elvis,5,FALSE)</f>
        <v>Alex Richards</v>
      </c>
      <c r="H6" s="154" t="str">
        <f t="shared" ref="H6:H12" si="31">VLOOKUP(CONCATENATE("M",$B6),Elvis,6,FALSE)</f>
        <v>S</v>
      </c>
      <c r="I6" s="154">
        <f t="shared" ref="I6:I12" si="32">VLOOKUP(CONCATENATE("M",$B6),Elvis,7,FALSE)</f>
        <v>3</v>
      </c>
      <c r="J6" s="154" t="str">
        <f t="shared" ref="J6:J12" si="33">VLOOKUP(CONCATENATE("M",$B6),Elvis,8,FALSE)</f>
        <v>Aaron Samuel</v>
      </c>
      <c r="K6" s="154" t="str">
        <f t="shared" ref="K6:K12" si="34">VLOOKUP(CONCATENATE("M",$B6),Elvis,9,FALSE)</f>
        <v>S</v>
      </c>
      <c r="L6" s="154">
        <f t="shared" ref="L6:L12" si="35">VLOOKUP(CONCATENATE("M",$B6),Elvis,10,FALSE)</f>
        <v>4</v>
      </c>
      <c r="M6" s="154" t="str">
        <f t="shared" ref="M6:M12" si="36">VLOOKUP(CONCATENATE("M",$B6),Elvis,11,FALSE)</f>
        <v>Amin Koikai</v>
      </c>
      <c r="N6" s="154" t="str">
        <f t="shared" ref="N6:N12" si="37">VLOOKUP(CONCATENATE("M",$B6),Elvis,12,FALSE)</f>
        <v>V</v>
      </c>
      <c r="O6" s="154">
        <f t="shared" ref="O6:O12" si="38">VLOOKUP(CONCATENATE("M",$B6),Elvis,13,FALSE)</f>
        <v>5</v>
      </c>
      <c r="P6" s="154" t="str">
        <f t="shared" ref="P6:P12" si="39">VLOOKUP(CONCATENATE("M",$B6),Elvis,14,FALSE)</f>
        <v>Gary Coombes</v>
      </c>
      <c r="Q6" s="154" t="str">
        <f t="shared" ref="Q6:Q12" si="40">VLOOKUP(CONCATENATE("M",$B6),Elvis,15,FALSE)</f>
        <v>V</v>
      </c>
      <c r="R6" s="154">
        <f t="shared" ref="R6:R12" si="41">VLOOKUP(CONCATENATE("M",$B6),Elvis,16,FALSE)</f>
        <v>9</v>
      </c>
      <c r="S6" s="154" t="str">
        <f t="shared" ref="S6:S12" si="42">VLOOKUP(CONCATENATE("M",$B6),Elvis,17,FALSE)</f>
        <v>Sam Rahman</v>
      </c>
      <c r="T6" s="154" t="str">
        <f t="shared" ref="T6:T12" si="43">VLOOKUP(CONCATENATE("M",$B6),Elvis,18,FALSE)</f>
        <v>S</v>
      </c>
      <c r="U6" s="154">
        <f t="shared" ref="U6:U12" si="44">VLOOKUP(CONCATENATE("M",$B6),Elvis,19,FALSE)</f>
        <v>15</v>
      </c>
      <c r="V6" s="154" t="str">
        <f t="shared" ref="V6:V12" si="45">VLOOKUP(CONCATENATE("M",$B6),Elvis,20,FALSE)</f>
        <v>stephen philcox</v>
      </c>
      <c r="W6" s="154" t="str">
        <f t="shared" ref="W6:W12" si="46">VLOOKUP(CONCATENATE("M",$B6),Elvis,21,FALSE)</f>
        <v>V</v>
      </c>
      <c r="X6" s="154">
        <f t="shared" ref="X6:X12" si="47">VLOOKUP(CONCATENATE("M",$B6),Elvis,22,FALSE)</f>
        <v>20</v>
      </c>
      <c r="Z6" s="154" t="str">
        <f>CONCATENATE(AE6,Times!AD6)</f>
        <v>VMIlford AC</v>
      </c>
      <c r="AA6" s="154" t="str">
        <f>Times!AD6</f>
        <v>MIlford AC</v>
      </c>
      <c r="AB6" s="154" t="str">
        <f>IF(AK6="Y",CONCATENATE(AA6,COUNTIFS($AK$2:AK6,"=Y",$AA$2:AA6,AA6)),"")</f>
        <v>MIlford AC3</v>
      </c>
      <c r="AC6" s="154" t="str">
        <f>Times!K6</f>
        <v>Amin Koikai</v>
      </c>
      <c r="AD6" s="154">
        <f>Times!G6</f>
        <v>5</v>
      </c>
      <c r="AE6" s="154" t="str">
        <f>IF(Times!D6&lt;&gt;"",IF(ISERR(SEARCH("V",Times!I6,1)),IF(ISERR(SEARCH("S",Times!I6,1)),"S","S"),"V"),"")</f>
        <v>V</v>
      </c>
      <c r="AF6" s="161">
        <f>IF(Times!D6&lt;&gt;"",SUMIFS(Times!$G$2:G6,$AA$2:AA6,AA6,$AK$2:AK6,"Y"),"")</f>
        <v>12</v>
      </c>
      <c r="AG6" s="154" t="str">
        <f>IF(Times!D6&lt;&gt;"",IF(AND(Times!J6="M",AI6+AL6=AM6,AK6="Y"),AF6,""),"")</f>
        <v/>
      </c>
      <c r="AH6" s="154" t="str">
        <f>IF(Times!D6&lt;&gt;"",IF(AND(Times!J6="F",AI6+AL6=AM6,AK6="Y"),AF6,""),"")</f>
        <v/>
      </c>
      <c r="AI6" s="154">
        <f>COUNTIF(Z$2:Z6,CONCATENATE("V",AA6))</f>
        <v>1</v>
      </c>
      <c r="AJ6" s="154">
        <f>COUNTIF(Z$2:Z6,CONCATENATE("S",AA6))</f>
        <v>2</v>
      </c>
      <c r="AK6" s="154" t="str">
        <f t="shared" si="0"/>
        <v>Y</v>
      </c>
      <c r="AL6" s="154">
        <f>IF(AND(Times!J6="M",AJ6&gt;3),3, IF(AND(Times!J6="F",AJ6&gt;2),2,AJ6))</f>
        <v>2</v>
      </c>
      <c r="AM6" s="154">
        <f>IF(Times!J6="M",6, IF(Times!J6="F",4,""))</f>
        <v>6</v>
      </c>
      <c r="AN6" s="154" t="str">
        <f t="shared" si="1"/>
        <v/>
      </c>
      <c r="AO6" s="154" t="str">
        <f t="shared" si="2"/>
        <v/>
      </c>
      <c r="AS6" s="154" t="str">
        <f t="shared" si="22"/>
        <v>M2</v>
      </c>
      <c r="AT6" s="163" t="s">
        <v>12</v>
      </c>
      <c r="AU6" s="154">
        <f t="shared" si="3"/>
        <v>6</v>
      </c>
      <c r="AV6" s="154">
        <f t="shared" si="23"/>
        <v>84</v>
      </c>
      <c r="AW6" s="154" t="str">
        <f t="shared" si="4"/>
        <v>Euan Brown</v>
      </c>
      <c r="AX6" s="154" t="str">
        <f t="shared" si="5"/>
        <v>S</v>
      </c>
      <c r="AY6" s="154">
        <f t="shared" si="6"/>
        <v>1</v>
      </c>
      <c r="AZ6" s="154" t="str">
        <f t="shared" si="7"/>
        <v>Mark Boulton</v>
      </c>
      <c r="BA6" s="154" t="str">
        <f t="shared" si="8"/>
        <v>S</v>
      </c>
      <c r="BB6" s="154">
        <f t="shared" si="9"/>
        <v>7</v>
      </c>
      <c r="BC6" s="154" t="str">
        <f t="shared" si="10"/>
        <v>Jose Rodriguez</v>
      </c>
      <c r="BD6" s="154" t="str">
        <f t="shared" si="11"/>
        <v>S</v>
      </c>
      <c r="BE6" s="154">
        <f t="shared" si="12"/>
        <v>8</v>
      </c>
      <c r="BF6" s="154" t="str">
        <f t="shared" si="13"/>
        <v>Dan Gritton</v>
      </c>
      <c r="BG6" s="154" t="str">
        <f t="shared" si="14"/>
        <v>V</v>
      </c>
      <c r="BH6" s="154">
        <f t="shared" si="15"/>
        <v>13</v>
      </c>
      <c r="BI6" s="154" t="str">
        <f t="shared" si="16"/>
        <v>Scott McMillan</v>
      </c>
      <c r="BJ6" s="154" t="str">
        <f t="shared" si="17"/>
        <v>V</v>
      </c>
      <c r="BK6" s="154">
        <f t="shared" si="18"/>
        <v>26</v>
      </c>
      <c r="BL6" s="154" t="str">
        <f t="shared" si="19"/>
        <v>Dan Senior</v>
      </c>
      <c r="BM6" s="154" t="str">
        <f t="shared" si="20"/>
        <v>V</v>
      </c>
      <c r="BN6" s="154">
        <f t="shared" si="21"/>
        <v>29</v>
      </c>
      <c r="BO6" s="154">
        <f t="shared" si="25"/>
        <v>184</v>
      </c>
      <c r="BP6" s="160">
        <f t="shared" si="24"/>
        <v>2</v>
      </c>
      <c r="BQ6" s="154">
        <f>(COUNTIF($BP6:BP$11,BP6)+-1)*0.1+BP6</f>
        <v>2</v>
      </c>
    </row>
    <row r="7" spans="1:69" x14ac:dyDescent="0.25">
      <c r="A7" s="160">
        <v>2</v>
      </c>
      <c r="B7" s="160">
        <f t="shared" ref="B7:B14" si="48">SMALL($BQ$3:$BQ$11,A7)</f>
        <v>2</v>
      </c>
      <c r="C7" s="154" t="str">
        <f t="shared" si="26"/>
        <v>East London Runners</v>
      </c>
      <c r="D7" s="160">
        <f t="shared" si="27"/>
        <v>2</v>
      </c>
      <c r="E7" s="154">
        <f t="shared" si="28"/>
        <v>6</v>
      </c>
      <c r="F7" s="154">
        <f t="shared" si="29"/>
        <v>84</v>
      </c>
      <c r="G7" s="154" t="str">
        <f t="shared" si="30"/>
        <v>Euan Brown</v>
      </c>
      <c r="H7" s="154" t="str">
        <f t="shared" si="31"/>
        <v>S</v>
      </c>
      <c r="I7" s="154">
        <f t="shared" si="32"/>
        <v>1</v>
      </c>
      <c r="J7" s="154" t="str">
        <f t="shared" si="33"/>
        <v>Mark Boulton</v>
      </c>
      <c r="K7" s="154" t="str">
        <f t="shared" si="34"/>
        <v>S</v>
      </c>
      <c r="L7" s="154">
        <f t="shared" si="35"/>
        <v>7</v>
      </c>
      <c r="M7" s="154" t="str">
        <f t="shared" si="36"/>
        <v>Jose Rodriguez</v>
      </c>
      <c r="N7" s="154" t="str">
        <f t="shared" si="37"/>
        <v>S</v>
      </c>
      <c r="O7" s="154">
        <f t="shared" si="38"/>
        <v>8</v>
      </c>
      <c r="P7" s="154" t="str">
        <f t="shared" si="39"/>
        <v>Dan Gritton</v>
      </c>
      <c r="Q7" s="154" t="str">
        <f t="shared" si="40"/>
        <v>V</v>
      </c>
      <c r="R7" s="154">
        <f t="shared" si="41"/>
        <v>13</v>
      </c>
      <c r="S7" s="154" t="str">
        <f t="shared" si="42"/>
        <v>Scott McMillan</v>
      </c>
      <c r="T7" s="154" t="str">
        <f t="shared" si="43"/>
        <v>V</v>
      </c>
      <c r="U7" s="154">
        <f t="shared" si="44"/>
        <v>26</v>
      </c>
      <c r="V7" s="154" t="str">
        <f t="shared" si="45"/>
        <v>Dan Senior</v>
      </c>
      <c r="W7" s="154" t="str">
        <f t="shared" si="46"/>
        <v>V</v>
      </c>
      <c r="X7" s="154">
        <f t="shared" si="47"/>
        <v>29</v>
      </c>
      <c r="Z7" s="154" t="str">
        <f>CONCATENATE(AE7,Times!AD7)</f>
        <v>SMBarking Road Runners</v>
      </c>
      <c r="AA7" s="154" t="str">
        <f>Times!AD7</f>
        <v>MBarking Road Runners</v>
      </c>
      <c r="AB7" s="154" t="str">
        <f>IF(AK7="Y",CONCATENATE(AA7,COUNTIFS($AK$2:AK7,"=Y",$AA$2:AA7,AA7)),"")</f>
        <v>MBarking Road Runners1</v>
      </c>
      <c r="AC7" s="154" t="str">
        <f>Times!K7</f>
        <v>Liviu Ionita</v>
      </c>
      <c r="AD7" s="154">
        <f>Times!G7</f>
        <v>6</v>
      </c>
      <c r="AE7" s="154" t="str">
        <f>IF(Times!D7&lt;&gt;"",IF(ISERR(SEARCH("V",Times!I7,1)),IF(ISERR(SEARCH("S",Times!I7,1)),"S","S"),"V"),"")</f>
        <v>S</v>
      </c>
      <c r="AF7" s="161">
        <f>IF(Times!D7&lt;&gt;"",SUMIFS(Times!$G$2:G7,$AA$2:AA7,AA7,$AK$2:AK7,"Y"),"")</f>
        <v>6</v>
      </c>
      <c r="AG7" s="154" t="str">
        <f>IF(Times!D7&lt;&gt;"",IF(AND(Times!J7="M",AI7+AL7=AM7,AK7="Y"),AF7,""),"")</f>
        <v/>
      </c>
      <c r="AH7" s="154" t="str">
        <f>IF(Times!D7&lt;&gt;"",IF(AND(Times!J7="F",AI7+AL7=AM7,AK7="Y"),AF7,""),"")</f>
        <v/>
      </c>
      <c r="AI7" s="154">
        <f>COUNTIF(Z$2:Z7,CONCATENATE("V",AA7))</f>
        <v>0</v>
      </c>
      <c r="AJ7" s="154">
        <f>COUNTIF(Z$2:Z7,CONCATENATE("S",AA7))</f>
        <v>1</v>
      </c>
      <c r="AK7" s="154" t="str">
        <f t="shared" si="0"/>
        <v>Y</v>
      </c>
      <c r="AL7" s="154">
        <f>IF(AND(Times!J7="M",AJ7&gt;3),3, IF(AND(Times!J7="F",AJ7&gt;2),2,AJ7))</f>
        <v>1</v>
      </c>
      <c r="AM7" s="154">
        <f>IF(Times!J7="M",6, IF(Times!J7="F",4,""))</f>
        <v>6</v>
      </c>
      <c r="AN7" s="154" t="str">
        <f t="shared" si="1"/>
        <v/>
      </c>
      <c r="AO7" s="154" t="str">
        <f t="shared" si="2"/>
        <v/>
      </c>
      <c r="AS7" s="154" t="str">
        <f t="shared" si="22"/>
        <v>M6</v>
      </c>
      <c r="AT7" s="162" t="s">
        <v>154</v>
      </c>
      <c r="AU7" s="154">
        <f t="shared" si="3"/>
        <v>6</v>
      </c>
      <c r="AV7" s="154">
        <f t="shared" si="23"/>
        <v>407</v>
      </c>
      <c r="AW7" s="154" t="str">
        <f t="shared" si="4"/>
        <v>Paul Boddey</v>
      </c>
      <c r="AX7" s="154" t="str">
        <f t="shared" si="5"/>
        <v>V</v>
      </c>
      <c r="AY7" s="154">
        <f t="shared" si="6"/>
        <v>19</v>
      </c>
      <c r="AZ7" s="154" t="str">
        <f t="shared" si="7"/>
        <v>George Fernandez</v>
      </c>
      <c r="BA7" s="154" t="str">
        <f t="shared" si="8"/>
        <v>S</v>
      </c>
      <c r="BB7" s="154">
        <f t="shared" si="9"/>
        <v>36</v>
      </c>
      <c r="BC7" s="154" t="str">
        <f t="shared" si="10"/>
        <v>david cato</v>
      </c>
      <c r="BD7" s="154" t="str">
        <f t="shared" si="11"/>
        <v>S</v>
      </c>
      <c r="BE7" s="154">
        <f t="shared" si="12"/>
        <v>47</v>
      </c>
      <c r="BF7" s="154" t="str">
        <f t="shared" si="13"/>
        <v>Dylan Williams</v>
      </c>
      <c r="BG7" s="154" t="str">
        <f t="shared" si="14"/>
        <v>S</v>
      </c>
      <c r="BH7" s="154">
        <f t="shared" si="15"/>
        <v>61</v>
      </c>
      <c r="BI7" s="154" t="str">
        <f t="shared" si="16"/>
        <v>John Black</v>
      </c>
      <c r="BJ7" s="154" t="str">
        <f t="shared" si="17"/>
        <v>V</v>
      </c>
      <c r="BK7" s="154">
        <f t="shared" si="18"/>
        <v>98</v>
      </c>
      <c r="BL7" s="154" t="str">
        <f t="shared" si="19"/>
        <v>Gabriel Ellenberg</v>
      </c>
      <c r="BM7" s="154" t="str">
        <f t="shared" si="20"/>
        <v>V</v>
      </c>
      <c r="BN7" s="154">
        <f t="shared" si="21"/>
        <v>146</v>
      </c>
      <c r="BO7" s="154">
        <f t="shared" si="25"/>
        <v>1407</v>
      </c>
      <c r="BP7" s="160">
        <f t="shared" si="24"/>
        <v>6</v>
      </c>
      <c r="BQ7" s="154">
        <f>(COUNTIF($BP7:BP$11,BP7)+-1)*0.1+BP7</f>
        <v>6</v>
      </c>
    </row>
    <row r="8" spans="1:69" x14ac:dyDescent="0.25">
      <c r="A8" s="160">
        <v>3</v>
      </c>
      <c r="B8" s="160">
        <f t="shared" si="48"/>
        <v>3</v>
      </c>
      <c r="C8" s="154" t="str">
        <f t="shared" si="26"/>
        <v>Barking Road Runners</v>
      </c>
      <c r="D8" s="160">
        <f t="shared" si="27"/>
        <v>3</v>
      </c>
      <c r="E8" s="154">
        <f t="shared" si="28"/>
        <v>6</v>
      </c>
      <c r="F8" s="154">
        <f t="shared" si="29"/>
        <v>220</v>
      </c>
      <c r="G8" s="154" t="str">
        <f t="shared" si="30"/>
        <v>Liviu Ionita</v>
      </c>
      <c r="H8" s="154" t="str">
        <f t="shared" si="31"/>
        <v>S</v>
      </c>
      <c r="I8" s="154">
        <f t="shared" si="32"/>
        <v>6</v>
      </c>
      <c r="J8" s="154" t="str">
        <f t="shared" si="33"/>
        <v>Philip Ellul</v>
      </c>
      <c r="K8" s="154" t="str">
        <f t="shared" si="34"/>
        <v>S</v>
      </c>
      <c r="L8" s="154">
        <f t="shared" si="35"/>
        <v>27</v>
      </c>
      <c r="M8" s="154" t="str">
        <f t="shared" si="36"/>
        <v>Diarmuid Mac Donnell</v>
      </c>
      <c r="N8" s="154" t="str">
        <f t="shared" si="37"/>
        <v>V</v>
      </c>
      <c r="O8" s="154">
        <f t="shared" si="38"/>
        <v>30</v>
      </c>
      <c r="P8" s="154" t="str">
        <f t="shared" si="39"/>
        <v>Dervish Bartlett</v>
      </c>
      <c r="Q8" s="154" t="str">
        <f t="shared" si="40"/>
        <v>V</v>
      </c>
      <c r="R8" s="154">
        <f t="shared" si="41"/>
        <v>41</v>
      </c>
      <c r="S8" s="154" t="str">
        <f t="shared" si="42"/>
        <v>James Lowndes</v>
      </c>
      <c r="T8" s="154" t="str">
        <f t="shared" si="43"/>
        <v>S</v>
      </c>
      <c r="U8" s="154">
        <f t="shared" si="44"/>
        <v>49</v>
      </c>
      <c r="V8" s="154" t="str">
        <f t="shared" si="45"/>
        <v>Paul Ward</v>
      </c>
      <c r="W8" s="154" t="str">
        <f t="shared" si="46"/>
        <v>V</v>
      </c>
      <c r="X8" s="154">
        <f t="shared" si="47"/>
        <v>67</v>
      </c>
      <c r="Z8" s="154" t="str">
        <f>CONCATENATE(AE8,Times!AD8)</f>
        <v>SMEast London Runners</v>
      </c>
      <c r="AA8" s="154" t="str">
        <f>Times!AD8</f>
        <v>MEast London Runners</v>
      </c>
      <c r="AB8" s="154" t="str">
        <f>IF(AK8="Y",CONCATENATE(AA8,COUNTIFS($AK$2:AK8,"=Y",$AA$2:AA8,AA8)),"")</f>
        <v>MEast London Runners2</v>
      </c>
      <c r="AC8" s="154" t="str">
        <f>Times!K8</f>
        <v>Mark Boulton</v>
      </c>
      <c r="AD8" s="154">
        <f>Times!G8</f>
        <v>7</v>
      </c>
      <c r="AE8" s="154" t="str">
        <f>IF(Times!D8&lt;&gt;"",IF(ISERR(SEARCH("V",Times!I8,1)),IF(ISERR(SEARCH("S",Times!I8,1)),"S","S"),"V"),"")</f>
        <v>S</v>
      </c>
      <c r="AF8" s="161">
        <f>IF(Times!D8&lt;&gt;"",SUMIFS(Times!$G$2:G8,$AA$2:AA8,AA8,$AK$2:AK8,"Y"),"")</f>
        <v>8</v>
      </c>
      <c r="AG8" s="154" t="str">
        <f>IF(Times!D8&lt;&gt;"",IF(AND(Times!J8="M",AI8+AL8=AM8,AK8="Y"),AF8,""),"")</f>
        <v/>
      </c>
      <c r="AH8" s="154" t="str">
        <f>IF(Times!D8&lt;&gt;"",IF(AND(Times!J8="F",AI8+AL8=AM8,AK8="Y"),AF8,""),"")</f>
        <v/>
      </c>
      <c r="AI8" s="154">
        <f>COUNTIF(Z$2:Z8,CONCATENATE("V",AA8))</f>
        <v>0</v>
      </c>
      <c r="AJ8" s="154">
        <f>COUNTIF(Z$2:Z8,CONCATENATE("S",AA8))</f>
        <v>2</v>
      </c>
      <c r="AK8" s="154" t="str">
        <f t="shared" si="0"/>
        <v>Y</v>
      </c>
      <c r="AL8" s="154">
        <f>IF(AND(Times!J8="M",AJ8&gt;3),3, IF(AND(Times!J8="F",AJ8&gt;2),2,AJ8))</f>
        <v>2</v>
      </c>
      <c r="AM8" s="154">
        <f>IF(Times!J8="M",6, IF(Times!J8="F",4,""))</f>
        <v>6</v>
      </c>
      <c r="AN8" s="154" t="str">
        <f t="shared" si="1"/>
        <v/>
      </c>
      <c r="AO8" s="154" t="str">
        <f t="shared" si="2"/>
        <v/>
      </c>
      <c r="AS8" s="154" t="str">
        <f t="shared" si="22"/>
        <v>M7.1</v>
      </c>
      <c r="AT8" s="162" t="s">
        <v>38</v>
      </c>
      <c r="AU8" s="154">
        <f t="shared" si="3"/>
        <v>6</v>
      </c>
      <c r="AV8" s="154">
        <f t="shared" si="23"/>
        <v>506</v>
      </c>
      <c r="AW8" s="154" t="str">
        <f t="shared" si="4"/>
        <v>Gary Flint</v>
      </c>
      <c r="AX8" s="154" t="str">
        <f t="shared" si="5"/>
        <v>V</v>
      </c>
      <c r="AY8" s="154">
        <f t="shared" si="6"/>
        <v>56</v>
      </c>
      <c r="AZ8" s="154" t="str">
        <f t="shared" si="7"/>
        <v>TONY COLLINS</v>
      </c>
      <c r="BA8" s="154" t="str">
        <f t="shared" si="8"/>
        <v>S</v>
      </c>
      <c r="BB8" s="154">
        <f t="shared" si="9"/>
        <v>62</v>
      </c>
      <c r="BC8" s="154" t="str">
        <f t="shared" si="10"/>
        <v>Neill Collins</v>
      </c>
      <c r="BD8" s="154" t="str">
        <f t="shared" si="11"/>
        <v>S</v>
      </c>
      <c r="BE8" s="154">
        <f t="shared" si="12"/>
        <v>71</v>
      </c>
      <c r="BF8" s="154" t="str">
        <f t="shared" si="13"/>
        <v>Anthony Maplesden</v>
      </c>
      <c r="BG8" s="154" t="str">
        <f t="shared" si="14"/>
        <v>V</v>
      </c>
      <c r="BH8" s="154">
        <f t="shared" si="15"/>
        <v>92</v>
      </c>
      <c r="BI8" s="154" t="str">
        <f t="shared" si="16"/>
        <v>Roger Winston</v>
      </c>
      <c r="BJ8" s="154" t="str">
        <f t="shared" si="17"/>
        <v>V</v>
      </c>
      <c r="BK8" s="154">
        <f t="shared" si="18"/>
        <v>109</v>
      </c>
      <c r="BL8" s="154" t="str">
        <f t="shared" si="19"/>
        <v>Brian Parish</v>
      </c>
      <c r="BM8" s="154" t="str">
        <f t="shared" si="20"/>
        <v>V</v>
      </c>
      <c r="BN8" s="154">
        <f t="shared" si="21"/>
        <v>116</v>
      </c>
      <c r="BO8" s="154">
        <f t="shared" si="25"/>
        <v>1506</v>
      </c>
      <c r="BP8" s="160">
        <f t="shared" si="24"/>
        <v>7</v>
      </c>
      <c r="BQ8" s="154">
        <f>(COUNTIF($BP8:BP$11,BP8)+-1)*0.1+BP8</f>
        <v>7.1</v>
      </c>
    </row>
    <row r="9" spans="1:69" x14ac:dyDescent="0.25">
      <c r="A9" s="160">
        <v>4</v>
      </c>
      <c r="B9" s="160">
        <f t="shared" si="48"/>
        <v>4</v>
      </c>
      <c r="C9" s="154" t="str">
        <f t="shared" si="26"/>
        <v>East End Road Runners</v>
      </c>
      <c r="D9" s="160">
        <f t="shared" si="27"/>
        <v>4</v>
      </c>
      <c r="E9" s="154">
        <f t="shared" si="28"/>
        <v>6</v>
      </c>
      <c r="F9" s="154">
        <f t="shared" si="29"/>
        <v>343</v>
      </c>
      <c r="G9" s="154" t="str">
        <f t="shared" si="30"/>
        <v>Jimmi Lee</v>
      </c>
      <c r="H9" s="154" t="str">
        <f t="shared" si="31"/>
        <v>S</v>
      </c>
      <c r="I9" s="154">
        <f t="shared" si="32"/>
        <v>17</v>
      </c>
      <c r="J9" s="154" t="str">
        <f t="shared" si="33"/>
        <v>Simon Leung-Chester</v>
      </c>
      <c r="K9" s="154" t="str">
        <f t="shared" si="34"/>
        <v>V</v>
      </c>
      <c r="L9" s="154">
        <f t="shared" si="35"/>
        <v>21</v>
      </c>
      <c r="M9" s="154" t="str">
        <f t="shared" si="36"/>
        <v>Rodney Baldwin</v>
      </c>
      <c r="N9" s="154" t="str">
        <f t="shared" si="37"/>
        <v>S</v>
      </c>
      <c r="O9" s="154">
        <f t="shared" si="38"/>
        <v>37</v>
      </c>
      <c r="P9" s="154" t="str">
        <f t="shared" si="39"/>
        <v>In-Yong Hwang</v>
      </c>
      <c r="Q9" s="154" t="str">
        <f t="shared" si="40"/>
        <v>S</v>
      </c>
      <c r="R9" s="154">
        <f t="shared" si="41"/>
        <v>50</v>
      </c>
      <c r="S9" s="154" t="str">
        <f t="shared" si="42"/>
        <v>Adam Shaikh</v>
      </c>
      <c r="T9" s="154" t="str">
        <f t="shared" si="43"/>
        <v>V</v>
      </c>
      <c r="U9" s="154">
        <f t="shared" si="44"/>
        <v>108</v>
      </c>
      <c r="V9" s="154" t="str">
        <f t="shared" si="45"/>
        <v>Rolston Lecointe</v>
      </c>
      <c r="W9" s="154" t="str">
        <f t="shared" si="46"/>
        <v>V</v>
      </c>
      <c r="X9" s="154">
        <f t="shared" si="47"/>
        <v>110</v>
      </c>
      <c r="Z9" s="154" t="str">
        <f>CONCATENATE(AE9,Times!AD9)</f>
        <v>SMEast London Runners</v>
      </c>
      <c r="AA9" s="154" t="str">
        <f>Times!AD9</f>
        <v>MEast London Runners</v>
      </c>
      <c r="AB9" s="154" t="str">
        <f>IF(AK9="Y",CONCATENATE(AA9,COUNTIFS($AK$2:AK9,"=Y",$AA$2:AA9,AA9)),"")</f>
        <v>MEast London Runners3</v>
      </c>
      <c r="AC9" s="154" t="str">
        <f>Times!K9</f>
        <v>Jose Rodriguez</v>
      </c>
      <c r="AD9" s="154">
        <f>Times!G9</f>
        <v>8</v>
      </c>
      <c r="AE9" s="154" t="str">
        <f>IF(Times!D9&lt;&gt;"",IF(ISERR(SEARCH("V",Times!I9,1)),IF(ISERR(SEARCH("S",Times!I9,1)),"S","S"),"V"),"")</f>
        <v>S</v>
      </c>
      <c r="AF9" s="161">
        <f>IF(Times!D9&lt;&gt;"",SUMIFS(Times!$G$2:G9,$AA$2:AA9,AA9,$AK$2:AK9,"Y"),"")</f>
        <v>16</v>
      </c>
      <c r="AG9" s="154" t="str">
        <f>IF(Times!D9&lt;&gt;"",IF(AND(Times!J9="M",AI9+AL9=AM9,AK9="Y"),AF9,""),"")</f>
        <v/>
      </c>
      <c r="AH9" s="154" t="str">
        <f>IF(Times!D9&lt;&gt;"",IF(AND(Times!J9="F",AI9+AL9=AM9,AK9="Y"),AF9,""),"")</f>
        <v/>
      </c>
      <c r="AI9" s="154">
        <f>COUNTIF(Z$2:Z9,CONCATENATE("V",AA9))</f>
        <v>0</v>
      </c>
      <c r="AJ9" s="154">
        <f>COUNTIF(Z$2:Z9,CONCATENATE("S",AA9))</f>
        <v>3</v>
      </c>
      <c r="AK9" s="154" t="str">
        <f t="shared" si="0"/>
        <v>Y</v>
      </c>
      <c r="AL9" s="154">
        <f>IF(AND(Times!J9="M",AJ9&gt;3),3, IF(AND(Times!J9="F",AJ9&gt;2),2,AJ9))</f>
        <v>3</v>
      </c>
      <c r="AM9" s="154">
        <f>IF(Times!J9="M",6, IF(Times!J9="F",4,""))</f>
        <v>6</v>
      </c>
      <c r="AN9" s="154" t="str">
        <f t="shared" si="1"/>
        <v/>
      </c>
      <c r="AO9" s="154" t="str">
        <f t="shared" si="2"/>
        <v/>
      </c>
      <c r="AS9" s="154" t="str">
        <f t="shared" si="22"/>
        <v>M1</v>
      </c>
      <c r="AT9" s="163" t="s">
        <v>108</v>
      </c>
      <c r="AU9" s="154">
        <f t="shared" si="3"/>
        <v>6</v>
      </c>
      <c r="AV9" s="154">
        <f t="shared" si="23"/>
        <v>56</v>
      </c>
      <c r="AW9" s="154" t="str">
        <f t="shared" si="4"/>
        <v>Alex Richards</v>
      </c>
      <c r="AX9" s="154" t="str">
        <f t="shared" si="5"/>
        <v>S</v>
      </c>
      <c r="AY9" s="154">
        <f t="shared" si="6"/>
        <v>3</v>
      </c>
      <c r="AZ9" s="154" t="str">
        <f t="shared" si="7"/>
        <v>Aaron Samuel</v>
      </c>
      <c r="BA9" s="154" t="str">
        <f t="shared" si="8"/>
        <v>S</v>
      </c>
      <c r="BB9" s="154">
        <f t="shared" si="9"/>
        <v>4</v>
      </c>
      <c r="BC9" s="154" t="str">
        <f t="shared" si="10"/>
        <v>Amin Koikai</v>
      </c>
      <c r="BD9" s="154" t="str">
        <f t="shared" si="11"/>
        <v>V</v>
      </c>
      <c r="BE9" s="154">
        <f t="shared" si="12"/>
        <v>5</v>
      </c>
      <c r="BF9" s="154" t="str">
        <f t="shared" si="13"/>
        <v>Gary Coombes</v>
      </c>
      <c r="BG9" s="154" t="str">
        <f t="shared" si="14"/>
        <v>V</v>
      </c>
      <c r="BH9" s="154">
        <f t="shared" si="15"/>
        <v>9</v>
      </c>
      <c r="BI9" s="154" t="str">
        <f t="shared" si="16"/>
        <v>Sam Rahman</v>
      </c>
      <c r="BJ9" s="154" t="str">
        <f t="shared" si="17"/>
        <v>S</v>
      </c>
      <c r="BK9" s="154">
        <f t="shared" si="18"/>
        <v>15</v>
      </c>
      <c r="BL9" s="154" t="str">
        <f t="shared" si="19"/>
        <v>stephen philcox</v>
      </c>
      <c r="BM9" s="154" t="str">
        <f t="shared" si="20"/>
        <v>V</v>
      </c>
      <c r="BN9" s="154">
        <f t="shared" si="21"/>
        <v>20</v>
      </c>
      <c r="BO9" s="154">
        <f t="shared" si="25"/>
        <v>156</v>
      </c>
      <c r="BP9" s="160">
        <f t="shared" si="24"/>
        <v>1</v>
      </c>
      <c r="BQ9" s="154">
        <f>(COUNTIF($BP9:BP$11,BP9)+-1)*0.1+BP9</f>
        <v>1</v>
      </c>
    </row>
    <row r="10" spans="1:69" x14ac:dyDescent="0.25">
      <c r="A10" s="160">
        <v>5</v>
      </c>
      <c r="B10" s="160">
        <f t="shared" si="48"/>
        <v>5</v>
      </c>
      <c r="C10" s="154" t="str">
        <f t="shared" si="26"/>
        <v>Orion Harriers</v>
      </c>
      <c r="D10" s="160">
        <f t="shared" si="27"/>
        <v>5</v>
      </c>
      <c r="E10" s="154">
        <f t="shared" si="28"/>
        <v>6</v>
      </c>
      <c r="F10" s="154">
        <f t="shared" si="29"/>
        <v>347</v>
      </c>
      <c r="G10" s="154" t="str">
        <f t="shared" si="30"/>
        <v>Bob Glasgow</v>
      </c>
      <c r="H10" s="154" t="str">
        <f t="shared" si="31"/>
        <v>V</v>
      </c>
      <c r="I10" s="154">
        <f t="shared" si="32"/>
        <v>18</v>
      </c>
      <c r="J10" s="154" t="str">
        <f t="shared" si="33"/>
        <v>Martin Reynolds</v>
      </c>
      <c r="K10" s="154" t="str">
        <f t="shared" si="34"/>
        <v>S</v>
      </c>
      <c r="L10" s="154">
        <f t="shared" si="35"/>
        <v>52</v>
      </c>
      <c r="M10" s="154" t="str">
        <f t="shared" si="36"/>
        <v>Dan Green</v>
      </c>
      <c r="N10" s="154" t="str">
        <f t="shared" si="37"/>
        <v>V</v>
      </c>
      <c r="O10" s="154">
        <f t="shared" si="38"/>
        <v>53</v>
      </c>
      <c r="P10" s="154" t="str">
        <f t="shared" si="39"/>
        <v>Buddy Green</v>
      </c>
      <c r="Q10" s="154" t="str">
        <f t="shared" si="40"/>
        <v>S</v>
      </c>
      <c r="R10" s="154">
        <f t="shared" si="41"/>
        <v>66</v>
      </c>
      <c r="S10" s="154" t="str">
        <f t="shared" si="42"/>
        <v>John Smith</v>
      </c>
      <c r="T10" s="154" t="str">
        <f t="shared" si="43"/>
        <v>V</v>
      </c>
      <c r="U10" s="154">
        <f t="shared" si="44"/>
        <v>74</v>
      </c>
      <c r="V10" s="154" t="str">
        <f t="shared" si="45"/>
        <v>Stephen Bennett</v>
      </c>
      <c r="W10" s="154" t="str">
        <f t="shared" si="46"/>
        <v>V</v>
      </c>
      <c r="X10" s="154">
        <f t="shared" si="47"/>
        <v>84</v>
      </c>
      <c r="Z10" s="154" t="str">
        <f>CONCATENATE(AE10,Times!AD10)</f>
        <v>VMIlford AC</v>
      </c>
      <c r="AA10" s="154" t="str">
        <f>Times!AD10</f>
        <v>MIlford AC</v>
      </c>
      <c r="AB10" s="154" t="str">
        <f>IF(AK10="Y",CONCATENATE(AA10,COUNTIFS($AK$2:AK10,"=Y",$AA$2:AA10,AA10)),"")</f>
        <v>MIlford AC4</v>
      </c>
      <c r="AC10" s="154" t="str">
        <f>Times!K10</f>
        <v>Gary Coombes</v>
      </c>
      <c r="AD10" s="154">
        <f>Times!G10</f>
        <v>9</v>
      </c>
      <c r="AE10" s="154" t="str">
        <f>IF(Times!D10&lt;&gt;"",IF(ISERR(SEARCH("V",Times!I10,1)),IF(ISERR(SEARCH("S",Times!I10,1)),"S","S"),"V"),"")</f>
        <v>V</v>
      </c>
      <c r="AF10" s="161">
        <f>IF(Times!D10&lt;&gt;"",SUMIFS(Times!$G$2:G10,$AA$2:AA10,AA10,$AK$2:AK10,"Y"),"")</f>
        <v>21</v>
      </c>
      <c r="AG10" s="154" t="str">
        <f>IF(Times!D10&lt;&gt;"",IF(AND(Times!J10="M",AI10+AL10=AM10,AK10="Y"),AF10,""),"")</f>
        <v/>
      </c>
      <c r="AH10" s="154" t="str">
        <f>IF(Times!D10&lt;&gt;"",IF(AND(Times!J10="F",AI10+AL10=AM10,AK10="Y"),AF10,""),"")</f>
        <v/>
      </c>
      <c r="AI10" s="154">
        <f>COUNTIF(Z$2:Z10,CONCATENATE("V",AA10))</f>
        <v>2</v>
      </c>
      <c r="AJ10" s="154">
        <f>COUNTIF(Z$2:Z10,CONCATENATE("S",AA10))</f>
        <v>2</v>
      </c>
      <c r="AK10" s="154" t="str">
        <f t="shared" si="0"/>
        <v>Y</v>
      </c>
      <c r="AL10" s="154">
        <f>IF(AND(Times!J10="M",AJ10&gt;3),3, IF(AND(Times!J10="F",AJ10&gt;2),2,AJ10))</f>
        <v>2</v>
      </c>
      <c r="AM10" s="154">
        <f>IF(Times!J10="M",6, IF(Times!J10="F",4,""))</f>
        <v>6</v>
      </c>
      <c r="AN10" s="154" t="str">
        <f t="shared" si="1"/>
        <v/>
      </c>
      <c r="AO10" s="154" t="str">
        <f t="shared" si="2"/>
        <v/>
      </c>
      <c r="AS10" s="154" t="str">
        <f t="shared" si="22"/>
        <v>M5</v>
      </c>
      <c r="AT10" s="163" t="s">
        <v>14</v>
      </c>
      <c r="AU10" s="154">
        <f t="shared" si="3"/>
        <v>6</v>
      </c>
      <c r="AV10" s="154">
        <f t="shared" si="23"/>
        <v>347</v>
      </c>
      <c r="AW10" s="154" t="str">
        <f t="shared" si="4"/>
        <v>Bob Glasgow</v>
      </c>
      <c r="AX10" s="154" t="str">
        <f t="shared" si="5"/>
        <v>V</v>
      </c>
      <c r="AY10" s="154">
        <f t="shared" si="6"/>
        <v>18</v>
      </c>
      <c r="AZ10" s="154" t="str">
        <f t="shared" si="7"/>
        <v>Martin Reynolds</v>
      </c>
      <c r="BA10" s="154" t="str">
        <f t="shared" si="8"/>
        <v>S</v>
      </c>
      <c r="BB10" s="154">
        <f t="shared" si="9"/>
        <v>52</v>
      </c>
      <c r="BC10" s="154" t="str">
        <f t="shared" si="10"/>
        <v>Dan Green</v>
      </c>
      <c r="BD10" s="154" t="str">
        <f t="shared" si="11"/>
        <v>V</v>
      </c>
      <c r="BE10" s="154">
        <f t="shared" si="12"/>
        <v>53</v>
      </c>
      <c r="BF10" s="154" t="str">
        <f t="shared" si="13"/>
        <v>Buddy Green</v>
      </c>
      <c r="BG10" s="154" t="str">
        <f t="shared" si="14"/>
        <v>S</v>
      </c>
      <c r="BH10" s="154">
        <f t="shared" si="15"/>
        <v>66</v>
      </c>
      <c r="BI10" s="154" t="str">
        <f t="shared" si="16"/>
        <v>John Smith</v>
      </c>
      <c r="BJ10" s="154" t="str">
        <f t="shared" si="17"/>
        <v>V</v>
      </c>
      <c r="BK10" s="154">
        <f t="shared" si="18"/>
        <v>74</v>
      </c>
      <c r="BL10" s="154" t="str">
        <f t="shared" si="19"/>
        <v>Stephen Bennett</v>
      </c>
      <c r="BM10" s="154" t="str">
        <f t="shared" si="20"/>
        <v>V</v>
      </c>
      <c r="BN10" s="154">
        <f t="shared" si="21"/>
        <v>84</v>
      </c>
      <c r="BO10" s="154">
        <f t="shared" si="25"/>
        <v>1347</v>
      </c>
      <c r="BP10" s="160">
        <f t="shared" si="24"/>
        <v>5</v>
      </c>
      <c r="BQ10" s="154">
        <f>(COUNTIF($BP10:BP$11,BP10)+-1)*0.1+BP10</f>
        <v>5</v>
      </c>
    </row>
    <row r="11" spans="1:69" x14ac:dyDescent="0.25">
      <c r="A11" s="160">
        <v>6</v>
      </c>
      <c r="B11" s="160">
        <f t="shared" si="48"/>
        <v>6</v>
      </c>
      <c r="C11" s="154" t="str">
        <f t="shared" si="26"/>
        <v>Eton Manor AC</v>
      </c>
      <c r="D11" s="160">
        <f t="shared" si="27"/>
        <v>6</v>
      </c>
      <c r="E11" s="154">
        <f t="shared" si="28"/>
        <v>6</v>
      </c>
      <c r="F11" s="154">
        <f t="shared" si="29"/>
        <v>407</v>
      </c>
      <c r="G11" s="154" t="str">
        <f t="shared" si="30"/>
        <v>Paul Boddey</v>
      </c>
      <c r="H11" s="154" t="str">
        <f t="shared" si="31"/>
        <v>V</v>
      </c>
      <c r="I11" s="154">
        <f t="shared" si="32"/>
        <v>19</v>
      </c>
      <c r="J11" s="154" t="str">
        <f t="shared" si="33"/>
        <v>George Fernandez</v>
      </c>
      <c r="K11" s="154" t="str">
        <f t="shared" si="34"/>
        <v>S</v>
      </c>
      <c r="L11" s="154">
        <f t="shared" si="35"/>
        <v>36</v>
      </c>
      <c r="M11" s="154" t="str">
        <f t="shared" si="36"/>
        <v>david cato</v>
      </c>
      <c r="N11" s="154" t="str">
        <f t="shared" si="37"/>
        <v>S</v>
      </c>
      <c r="O11" s="154">
        <f t="shared" si="38"/>
        <v>47</v>
      </c>
      <c r="P11" s="154" t="str">
        <f t="shared" si="39"/>
        <v>Dylan Williams</v>
      </c>
      <c r="Q11" s="154" t="str">
        <f t="shared" si="40"/>
        <v>S</v>
      </c>
      <c r="R11" s="154">
        <f t="shared" si="41"/>
        <v>61</v>
      </c>
      <c r="S11" s="154" t="str">
        <f t="shared" si="42"/>
        <v>John Black</v>
      </c>
      <c r="T11" s="154" t="str">
        <f t="shared" si="43"/>
        <v>V</v>
      </c>
      <c r="U11" s="154">
        <f t="shared" si="44"/>
        <v>98</v>
      </c>
      <c r="V11" s="154" t="str">
        <f t="shared" si="45"/>
        <v>Gabriel Ellenberg</v>
      </c>
      <c r="W11" s="154" t="str">
        <f t="shared" si="46"/>
        <v>V</v>
      </c>
      <c r="X11" s="154">
        <f t="shared" si="47"/>
        <v>146</v>
      </c>
      <c r="Z11" s="154" t="str">
        <f>CONCATENATE(AE11,Times!AD11)</f>
        <v>SFBasildon AC</v>
      </c>
      <c r="AA11" s="154" t="str">
        <f>Times!AD11</f>
        <v>FBasildon AC</v>
      </c>
      <c r="AB11" s="154" t="str">
        <f>IF(AK11="Y",CONCATENATE(AA11,COUNTIFS($AK$2:AK11,"=Y",$AA$2:AA11,AA11)),"")</f>
        <v>FBasildon AC1</v>
      </c>
      <c r="AC11" s="154" t="str">
        <f>Times!K11</f>
        <v>Gemma Kersey</v>
      </c>
      <c r="AD11" s="154">
        <f>Times!G11</f>
        <v>1</v>
      </c>
      <c r="AE11" s="154" t="str">
        <f>IF(Times!D11&lt;&gt;"",IF(ISERR(SEARCH("V",Times!I11,1)),IF(ISERR(SEARCH("S",Times!I11,1)),"S","S"),"V"),"")</f>
        <v>S</v>
      </c>
      <c r="AF11" s="161">
        <f>IF(Times!D11&lt;&gt;"",SUMIFS(Times!$G$2:G11,$AA$2:AA11,AA11,$AK$2:AK11,"Y"),"")</f>
        <v>1</v>
      </c>
      <c r="AG11" s="154" t="str">
        <f>IF(Times!D11&lt;&gt;"",IF(AND(Times!J11="M",AI11+AL11=AM11,AK11="Y"),AF11,""),"")</f>
        <v/>
      </c>
      <c r="AH11" s="154" t="str">
        <f>IF(Times!D11&lt;&gt;"",IF(AND(Times!J11="F",AI11+AL11=AM11,AK11="Y"),AF11,""),"")</f>
        <v/>
      </c>
      <c r="AI11" s="154">
        <f>COUNTIF(Z$2:Z11,CONCATENATE("V",AA11))</f>
        <v>0</v>
      </c>
      <c r="AJ11" s="154">
        <f>COUNTIF(Z$2:Z11,CONCATENATE("S",AA11))</f>
        <v>1</v>
      </c>
      <c r="AK11" s="154" t="str">
        <f t="shared" si="0"/>
        <v>Y</v>
      </c>
      <c r="AL11" s="154">
        <f>IF(AND(Times!J11="M",AJ11&gt;3),3, IF(AND(Times!J11="F",AJ11&gt;2),2,AJ11))</f>
        <v>1</v>
      </c>
      <c r="AM11" s="154">
        <f>IF(Times!J11="M",6, IF(Times!J11="F",4,""))</f>
        <v>4</v>
      </c>
      <c r="AN11" s="154" t="str">
        <f t="shared" si="1"/>
        <v/>
      </c>
      <c r="AO11" s="154" t="str">
        <f t="shared" si="2"/>
        <v/>
      </c>
      <c r="AS11" s="154" t="str">
        <f t="shared" si="22"/>
        <v>M7</v>
      </c>
      <c r="AT11" s="163" t="s">
        <v>1805</v>
      </c>
      <c r="AU11" s="154">
        <f>COUNTIFS($AK$2:$AK$501,"=y",$AA$2:$AA$501,CONCATENATE("M",AT11))</f>
        <v>6</v>
      </c>
      <c r="AV11" s="154">
        <f>SUM(AY11+BB11+BE11+BH11+BK11+BN11)</f>
        <v>506</v>
      </c>
      <c r="AW11" s="154" t="str">
        <f>IF(ISNA(VLOOKUP(CONCATENATE("M",AT11,1),Elvis_Team,2,FALSE)),IF(ISNA(VLOOKUP(CONCATENATE("M",AT11,1),Elvis_Team,2,FALSE)),"No Runner",VLOOKUP(CONCATENATE("M",AT11,1),Elvis_Team,2,FALSE)),VLOOKUP(CONCATENATE("M",AT11,1),Elvis_Team,2,FALSE))</f>
        <v>Adam Bartlett</v>
      </c>
      <c r="AX11" s="154" t="str">
        <f>IF(ISNA(VLOOKUP(CONCATENATE("M",AT11,1),Elvis_Team,4,FALSE)),IF(ISNA(VLOOKUP(CONCATENATE("M",AT11,1),Elvis_Team,4,FALSE)),"",VLOOKUP(CONCATENATE("M",AT11,1),Elvis_Team,4,FALSE)),VLOOKUP(CONCATENATE("M",AT11,1),Elvis_Team,4,FALSE))</f>
        <v>S</v>
      </c>
      <c r="AY11" s="154">
        <f>IF(ISNA(VLOOKUP(CONCATENATE("M",AT11,1),Elvis_Team,3,FALSE)),IF(ISNA(VLOOKUP(CONCATENATE("M",AT11,1),Elvis_Team,3,FALSE)),$AT$25-AU11+1,VLOOKUP(CONCATENATE("M",AT11,1),Elvis_Team,3,FALSE)),VLOOKUP(CONCATENATE("M",AT11,1),Elvis_Team,3,FALSE))</f>
        <v>12</v>
      </c>
      <c r="AZ11" s="154" t="str">
        <f>IF(ISNA(VLOOKUP(CONCATENATE("M",AT11,2),Elvis_Team,2,FALSE)),IF(ISNA(VLOOKUP(CONCATENATE("M",AT11,2),Elvis_Team,2,FALSE)),"No Runner",VLOOKUP(CONCATENATE("M",AT11,2),Elvis_Team,2,FALSE)),VLOOKUP(CONCATENATE("M",AT11,2),Elvis_Team,2,FALSE))</f>
        <v>Christopher King</v>
      </c>
      <c r="BA11" s="154" t="str">
        <f>IF(ISNA(VLOOKUP(CONCATENATE("M",AT11,2),Elvis_Team,4,FALSE)),IF(ISNA(VLOOKUP(CONCATENATE("M",AT11,2),Elvis_Team,4,FALSE)),"",VLOOKUP(CONCATENATE("M",AT11,2),Elvis_Team,4,FALSE)),VLOOKUP(CONCATENATE("M",AT11,2),Elvis_Team,4,FALSE))</f>
        <v>S</v>
      </c>
      <c r="BB11" s="154">
        <f>IF(ISNA(VLOOKUP(CONCATENATE("M",AT11,2),Elvis_Team,3,FALSE)),IF(ISNA(VLOOKUP(CONCATENATE("M",AT11,2),Elvis_Team,3,FALSE)),$AT$25-AU11+2,VLOOKUP(CONCATENATE("M",AT11,2),Elvis_Team,3,FALSE)),VLOOKUP(CONCATENATE("M",AT11,2),Elvis_Team,3,FALSE))</f>
        <v>28</v>
      </c>
      <c r="BC11" s="154" t="str">
        <f>IF(ISNA(VLOOKUP(CONCATENATE("M",AT11,3),Elvis_Team,2,FALSE)),IF(ISNA(VLOOKUP(CONCATENATE("M",AT11,3),Elvis_Team,2,FALSE)),"No Runner",VLOOKUP(CONCATENATE("M",AT11,3),Elvis_Team,2,FALSE)),VLOOKUP(CONCATENATE("M",AT11,3),Elvis_Team,2,FALSE))</f>
        <v>James Coker</v>
      </c>
      <c r="BD11" s="154" t="str">
        <f>IF(ISNA(VLOOKUP(CONCATENATE("M",AT11,3),Elvis_Team,4,FALSE)),IF(ISNA(VLOOKUP(CONCATENATE("M",AT11,3),Elvis_Team,4,FALSE)),"",VLOOKUP(CONCATENATE("M",AT11,3),Elvis_Team,4,FALSE)),VLOOKUP(CONCATENATE("M",AT11,3),Elvis_Team,4,FALSE))</f>
        <v>S</v>
      </c>
      <c r="BE11" s="154">
        <f>IF(ISNA(VLOOKUP(CONCATENATE("M",AT11,3),Elvis_Team,3,FALSE)),IF(ISNA(VLOOKUP(CONCATENATE("M",AT11,3),Elvis_Team,3,FALSE)),$AT$25-AU11+3,VLOOKUP(CONCATENATE("M",AT11,3),Elvis_Team,3,FALSE)),VLOOKUP(CONCATENATE("M",AT11,3),Elvis_Team,3,FALSE))</f>
        <v>35</v>
      </c>
      <c r="BF11" s="154" t="str">
        <f>IF(ISNA(VLOOKUP(CONCATENATE("M",AT11,4),Elvis_Team,2,FALSE)),IF(ISNA(VLOOKUP(CONCATENATE("M",AT11,4),Elvis_Team,2,FALSE)),"No Runner",VLOOKUP(CONCATENATE("M",AT11,4),Elvis_Team,2,FALSE)),VLOOKUP(CONCATENATE("M",AT11,4),Elvis_Team,2,FALSE))</f>
        <v>Brynley Giddings</v>
      </c>
      <c r="BG11" s="154" t="str">
        <f>IF(ISNA(VLOOKUP(CONCATENATE("M",AT11,4),Elvis_Team,4,FALSE)),IF(ISNA(VLOOKUP(CONCATENATE("M",AT11,4),Elvis_Team,4,FALSE)),"",VLOOKUP(CONCATENATE("M",AT11,4),Elvis_Team,4,FALSE)),VLOOKUP(CONCATENATE("M",AT11,4),Elvis_Team,4,FALSE))</f>
        <v>V</v>
      </c>
      <c r="BH11" s="154">
        <f>IF(ISNA(VLOOKUP(CONCATENATE("M",AT11,4),Elvis_Team,3,FALSE)),IF(ISNA(VLOOKUP(CONCATENATE("M",AT11,4),Elvis_Team,3,FALSE)),$AT$25-AU11+4,VLOOKUP(CONCATENATE("M",AT11,4),Elvis_Team,3,FALSE)),VLOOKUP(CONCATENATE("M",AT11,4),Elvis_Team,3,FALSE))</f>
        <v>135</v>
      </c>
      <c r="BI11" s="154" t="str">
        <f>IF(ISNA(VLOOKUP(CONCATENATE("M",AT11,5),Elvis_Team,2,FALSE)),IF(ISNA(VLOOKUP(CONCATENATE("M",AT11,5),Elvis_Team,2,FALSE)),"No Runner",VLOOKUP(CONCATENATE("M",AT11,5),Elvis_Team,2,FALSE)),VLOOKUP(CONCATENATE("M",AT11,5),Elvis_Team,2,FALSE))</f>
        <v>Glen Wisbey</v>
      </c>
      <c r="BJ11" s="154" t="str">
        <f>IF(ISNA(VLOOKUP(CONCATENATE("M",AT11,5),Elvis_Team,4,FALSE)),IF(ISNA(VLOOKUP(CONCATENATE("M",AT11,5),Elvis_Team,4,FALSE)),"",VLOOKUP(CONCATENATE("M",AT11,5),Elvis_Team,4,FALSE)),VLOOKUP(CONCATENATE("M",AT11,5),Elvis_Team,4,FALSE))</f>
        <v>V</v>
      </c>
      <c r="BK11" s="154">
        <f>IF(ISNA(VLOOKUP(CONCATENATE("M",AT11,5),Elvis_Team,3,FALSE)),IF(ISNA(VLOOKUP(CONCATENATE("M",AT11,5),Elvis_Team,3,FALSE)),$AT$25-AU11+5,VLOOKUP(CONCATENATE("M",AT11,5),Elvis_Team,3,FALSE)),VLOOKUP(CONCATENATE("M",AT11,5),Elvis_Team,3,FALSE))</f>
        <v>141</v>
      </c>
      <c r="BL11" s="154" t="str">
        <f>IF(ISNA(VLOOKUP(CONCATENATE("M",AT11,6),Elvis_Team,2,FALSE)),IF(ISNA(VLOOKUP(CONCATENATE("M",AT11,6),Elvis_Team,2,FALSE)),"No Runner",VLOOKUP(CONCATENATE("M",AT11,6),Elvis_Team,2,FALSE)),VLOOKUP(CONCATENATE("M",AT11,6),Elvis_Team,2,FALSE))</f>
        <v>Richard Rockliffe</v>
      </c>
      <c r="BM11" s="154" t="str">
        <f>IF(ISNA(VLOOKUP(CONCATENATE("M",AT11,6),Elvis_Team,4,FALSE)),IF(ISNA(VLOOKUP(CONCATENATE("M",AT11,6),Elvis_Team,4,FALSE)),"",VLOOKUP(CONCATENATE("M",AT11,6),Elvis_Team,4,FALSE)),VLOOKUP(CONCATENATE("M",AT11,6),Elvis_Team,4,FALSE))</f>
        <v>V</v>
      </c>
      <c r="BN11" s="154">
        <f>IF(ISNA(VLOOKUP(CONCATENATE("M",AT11,6),Elvis_Team,3,FALSE)),IF(ISNA(VLOOKUP(CONCATENATE("M",AT11,6),Elvis_Team,3,FALSE)),$AT$25-AU11+6,VLOOKUP(CONCATENATE("M",AT11,6),Elvis_Team,3,FALSE)),VLOOKUP(CONCATENATE("M",AT11,6),Elvis_Team,3,FALSE))</f>
        <v>155</v>
      </c>
      <c r="BO11" s="154">
        <f t="shared" si="25"/>
        <v>1506</v>
      </c>
      <c r="BP11" s="160">
        <f t="shared" si="24"/>
        <v>7</v>
      </c>
      <c r="BQ11" s="154">
        <f>(COUNTIF($BP11:BP$11,BP11)+-1)*0.1+BP11</f>
        <v>7</v>
      </c>
    </row>
    <row r="12" spans="1:69" x14ac:dyDescent="0.25">
      <c r="A12" s="160">
        <v>7</v>
      </c>
      <c r="B12" s="160">
        <f t="shared" si="48"/>
        <v>7</v>
      </c>
      <c r="C12" s="154" t="str">
        <f t="shared" si="26"/>
        <v>Harold Wood Running Club</v>
      </c>
      <c r="D12" s="160">
        <f t="shared" si="27"/>
        <v>7</v>
      </c>
      <c r="E12" s="154">
        <f t="shared" si="28"/>
        <v>6</v>
      </c>
      <c r="F12" s="154">
        <f t="shared" si="29"/>
        <v>506</v>
      </c>
      <c r="G12" s="154" t="str">
        <f t="shared" si="30"/>
        <v>Adam Bartlett</v>
      </c>
      <c r="H12" s="154" t="str">
        <f t="shared" si="31"/>
        <v>S</v>
      </c>
      <c r="I12" s="154">
        <f t="shared" si="32"/>
        <v>12</v>
      </c>
      <c r="J12" s="154" t="str">
        <f t="shared" si="33"/>
        <v>Christopher King</v>
      </c>
      <c r="K12" s="154" t="str">
        <f t="shared" si="34"/>
        <v>S</v>
      </c>
      <c r="L12" s="154">
        <f t="shared" si="35"/>
        <v>28</v>
      </c>
      <c r="M12" s="154" t="str">
        <f t="shared" si="36"/>
        <v>James Coker</v>
      </c>
      <c r="N12" s="154" t="str">
        <f t="shared" si="37"/>
        <v>S</v>
      </c>
      <c r="O12" s="154">
        <f t="shared" si="38"/>
        <v>35</v>
      </c>
      <c r="P12" s="154" t="str">
        <f t="shared" si="39"/>
        <v>Brynley Giddings</v>
      </c>
      <c r="Q12" s="154" t="str">
        <f t="shared" si="40"/>
        <v>V</v>
      </c>
      <c r="R12" s="154">
        <f t="shared" si="41"/>
        <v>135</v>
      </c>
      <c r="S12" s="154" t="str">
        <f t="shared" si="42"/>
        <v>Glen Wisbey</v>
      </c>
      <c r="T12" s="154" t="str">
        <f t="shared" si="43"/>
        <v>V</v>
      </c>
      <c r="U12" s="154">
        <f t="shared" si="44"/>
        <v>141</v>
      </c>
      <c r="V12" s="154" t="str">
        <f t="shared" si="45"/>
        <v>Richard Rockliffe</v>
      </c>
      <c r="W12" s="154" t="str">
        <f t="shared" si="46"/>
        <v>V</v>
      </c>
      <c r="X12" s="154">
        <f t="shared" si="47"/>
        <v>155</v>
      </c>
      <c r="Z12" s="154" t="str">
        <f>CONCATENATE(AE12,Times!AD12)</f>
        <v>SMEast London Runners</v>
      </c>
      <c r="AA12" s="154" t="str">
        <f>Times!AD12</f>
        <v>MEast London Runners</v>
      </c>
      <c r="AB12" s="154" t="str">
        <f>IF(AK12="Y",CONCATENATE(AA12,COUNTIFS($AK$2:AK12,"=Y",$AA$2:AA12,AA12)),"")</f>
        <v/>
      </c>
      <c r="AC12" s="154" t="str">
        <f>Times!K12</f>
        <v>Billy Rayner</v>
      </c>
      <c r="AD12" s="154">
        <f>Times!G12</f>
        <v>10</v>
      </c>
      <c r="AE12" s="154" t="str">
        <f>IF(Times!D12&lt;&gt;"",IF(ISERR(SEARCH("V",Times!I12,1)),IF(ISERR(SEARCH("S",Times!I12,1)),"S","S"),"V"),"")</f>
        <v>S</v>
      </c>
      <c r="AF12" s="161">
        <f>IF(Times!D12&lt;&gt;"",SUMIFS(Times!$G$2:G12,$AA$2:AA12,AA12,$AK$2:AK12,"Y"),"")</f>
        <v>16</v>
      </c>
      <c r="AG12" s="154" t="str">
        <f>IF(Times!D12&lt;&gt;"",IF(AND(Times!J12="M",AI12+AL12=AM12,AK12="Y"),AF12,""),"")</f>
        <v/>
      </c>
      <c r="AH12" s="154" t="str">
        <f>IF(Times!D12&lt;&gt;"",IF(AND(Times!J12="F",AI12+AL12=AM12,AK12="Y"),AF12,""),"")</f>
        <v/>
      </c>
      <c r="AI12" s="154">
        <f>COUNTIF(Z$2:Z12,CONCATENATE("V",AA12))</f>
        <v>0</v>
      </c>
      <c r="AJ12" s="154">
        <f>COUNTIF(Z$2:Z12,CONCATENATE("S",AA12))</f>
        <v>4</v>
      </c>
      <c r="AK12" s="154" t="str">
        <f t="shared" si="0"/>
        <v>N</v>
      </c>
      <c r="AL12" s="154">
        <f>IF(AND(Times!J12="M",AJ12&gt;3),3, IF(AND(Times!J12="F",AJ12&gt;2),2,AJ12))</f>
        <v>3</v>
      </c>
      <c r="AM12" s="154">
        <f>IF(Times!J12="M",6, IF(Times!J12="F",4,""))</f>
        <v>6</v>
      </c>
      <c r="AN12" s="154" t="str">
        <f t="shared" si="1"/>
        <v/>
      </c>
      <c r="AO12" s="154" t="str">
        <f t="shared" si="2"/>
        <v/>
      </c>
    </row>
    <row r="13" spans="1:69" x14ac:dyDescent="0.25">
      <c r="A13" s="160">
        <v>8</v>
      </c>
      <c r="B13" s="160">
        <f t="shared" si="48"/>
        <v>7.1</v>
      </c>
      <c r="C13" s="154" t="str">
        <f>VLOOKUP(CONCATENATE("M",$B13),Elvis,2,FALSE)</f>
        <v>Havering 90 Joggers</v>
      </c>
      <c r="D13" s="160">
        <f>VLOOKUP(CONCATENATE("M",$B13),Elvis,24,FALSE)</f>
        <v>7</v>
      </c>
      <c r="E13" s="154">
        <f>VLOOKUP(CONCATENATE("M",$B13),Elvis,3,FALSE)</f>
        <v>6</v>
      </c>
      <c r="F13" s="154">
        <f>VLOOKUP(CONCATENATE("M",$B13),Elvis,4,FALSE)</f>
        <v>506</v>
      </c>
      <c r="G13" s="154" t="str">
        <f>VLOOKUP(CONCATENATE("M",$B13),Elvis,5,FALSE)</f>
        <v>Gary Flint</v>
      </c>
      <c r="H13" s="154" t="str">
        <f>VLOOKUP(CONCATENATE("M",$B13),Elvis,6,FALSE)</f>
        <v>V</v>
      </c>
      <c r="I13" s="154">
        <f>VLOOKUP(CONCATENATE("M",$B13),Elvis,7,FALSE)</f>
        <v>56</v>
      </c>
      <c r="J13" s="154" t="str">
        <f>VLOOKUP(CONCATENATE("M",$B13),Elvis,8,FALSE)</f>
        <v>TONY COLLINS</v>
      </c>
      <c r="K13" s="154" t="str">
        <f>VLOOKUP(CONCATENATE("M",$B13),Elvis,9,FALSE)</f>
        <v>S</v>
      </c>
      <c r="L13" s="154">
        <f>VLOOKUP(CONCATENATE("M",$B13),Elvis,10,FALSE)</f>
        <v>62</v>
      </c>
      <c r="M13" s="154" t="str">
        <f>VLOOKUP(CONCATENATE("M",$B13),Elvis,11,FALSE)</f>
        <v>Neill Collins</v>
      </c>
      <c r="N13" s="154" t="str">
        <f>VLOOKUP(CONCATENATE("M",$B13),Elvis,12,FALSE)</f>
        <v>S</v>
      </c>
      <c r="O13" s="154">
        <f>VLOOKUP(CONCATENATE("M",$B13),Elvis,13,FALSE)</f>
        <v>71</v>
      </c>
      <c r="P13" s="154" t="str">
        <f>VLOOKUP(CONCATENATE("M",$B13),Elvis,14,FALSE)</f>
        <v>Anthony Maplesden</v>
      </c>
      <c r="Q13" s="154" t="str">
        <f>VLOOKUP(CONCATENATE("M",$B13),Elvis,15,FALSE)</f>
        <v>V</v>
      </c>
      <c r="R13" s="154">
        <f>VLOOKUP(CONCATENATE("M",$B13),Elvis,16,FALSE)</f>
        <v>92</v>
      </c>
      <c r="S13" s="154" t="str">
        <f>VLOOKUP(CONCATENATE("M",$B13),Elvis,17,FALSE)</f>
        <v>Roger Winston</v>
      </c>
      <c r="T13" s="154" t="str">
        <f>VLOOKUP(CONCATENATE("M",$B13),Elvis,18,FALSE)</f>
        <v>V</v>
      </c>
      <c r="U13" s="154">
        <f>VLOOKUP(CONCATENATE("M",$B13),Elvis,19,FALSE)</f>
        <v>109</v>
      </c>
      <c r="V13" s="154" t="str">
        <f>VLOOKUP(CONCATENATE("M",$B13),Elvis,20,FALSE)</f>
        <v>Brian Parish</v>
      </c>
      <c r="W13" s="154" t="str">
        <f>VLOOKUP(CONCATENATE("M",$B13),Elvis,21,FALSE)</f>
        <v>V</v>
      </c>
      <c r="X13" s="154">
        <f>VLOOKUP(CONCATENATE("M",$B13),Elvis,22,FALSE)</f>
        <v>116</v>
      </c>
      <c r="Z13" s="154" t="str">
        <f>CONCATENATE(AE13,Times!AD13)</f>
        <v>SMVictoria Park Harriers</v>
      </c>
      <c r="AA13" s="154" t="str">
        <f>Times!AD13</f>
        <v>MVictoria Park Harriers</v>
      </c>
      <c r="AB13" s="154" t="str">
        <f>IF(AK13="Y",CONCATENATE(AA13,COUNTIFS($AK$2:AK13,"=Y",$AA$2:AA13,AA13)),"")</f>
        <v>MVictoria Park Harriers1</v>
      </c>
      <c r="AC13" s="154" t="str">
        <f>Times!K13</f>
        <v>Neil Kirkham</v>
      </c>
      <c r="AD13" s="154">
        <f>Times!G13</f>
        <v>11</v>
      </c>
      <c r="AE13" s="154" t="str">
        <f>IF(Times!D13&lt;&gt;"",IF(ISERR(SEARCH("V",Times!I13,1)),IF(ISERR(SEARCH("S",Times!I13,1)),"S","S"),"V"),"")</f>
        <v>S</v>
      </c>
      <c r="AF13" s="161">
        <f>IF(Times!D13&lt;&gt;"",SUMIFS(Times!$G$2:G13,$AA$2:AA13,AA13,$AK$2:AK13,"Y"),"")</f>
        <v>11</v>
      </c>
      <c r="AG13" s="154" t="str">
        <f>IF(Times!D13&lt;&gt;"",IF(AND(Times!J13="M",AI13+AL13=AM13,AK13="Y"),AF13,""),"")</f>
        <v/>
      </c>
      <c r="AH13" s="154" t="str">
        <f>IF(Times!D13&lt;&gt;"",IF(AND(Times!J13="F",AI13+AL13=AM13,AK13="Y"),AF13,""),"")</f>
        <v/>
      </c>
      <c r="AI13" s="154">
        <f>COUNTIF(Z$2:Z13,CONCATENATE("V",AA13))</f>
        <v>0</v>
      </c>
      <c r="AJ13" s="154">
        <f>COUNTIF(Z$2:Z13,CONCATENATE("S",AA13))</f>
        <v>1</v>
      </c>
      <c r="AK13" s="154" t="str">
        <f t="shared" si="0"/>
        <v>Y</v>
      </c>
      <c r="AL13" s="154">
        <f>IF(AND(Times!J13="M",AJ13&gt;3),3, IF(AND(Times!J13="F",AJ13&gt;2),2,AJ13))</f>
        <v>1</v>
      </c>
      <c r="AM13" s="154">
        <f>IF(Times!J13="M",6, IF(Times!J13="F",4,""))</f>
        <v>6</v>
      </c>
      <c r="AN13" s="154" t="str">
        <f t="shared" si="1"/>
        <v/>
      </c>
      <c r="AO13" s="154" t="str">
        <f t="shared" si="2"/>
        <v/>
      </c>
    </row>
    <row r="14" spans="1:69" x14ac:dyDescent="0.25">
      <c r="A14" s="154">
        <v>9</v>
      </c>
      <c r="B14" s="160">
        <f t="shared" si="48"/>
        <v>9</v>
      </c>
      <c r="C14" s="154" t="str">
        <f>VLOOKUP(CONCATENATE("M",$B14),Elvis,2,FALSE)</f>
        <v>Dagenham 88 Runners</v>
      </c>
      <c r="D14" s="160">
        <f>VLOOKUP(CONCATENATE("M",$B14),Elvis,24,FALSE)</f>
        <v>9</v>
      </c>
      <c r="E14" s="154">
        <f>VLOOKUP(CONCATENATE("M",$B14),Elvis,3,FALSE)</f>
        <v>6</v>
      </c>
      <c r="F14" s="154">
        <f>VLOOKUP(CONCATENATE("M",$B14),Elvis,4,FALSE)</f>
        <v>529</v>
      </c>
      <c r="G14" s="154" t="str">
        <f>VLOOKUP(CONCATENATE("M",$B14),Elvis,5,FALSE)</f>
        <v>Peter Salmon</v>
      </c>
      <c r="H14" s="154" t="str">
        <f>VLOOKUP(CONCATENATE("M",$B14),Elvis,6,FALSE)</f>
        <v>V</v>
      </c>
      <c r="I14" s="154">
        <f>VLOOKUP(CONCATENATE("M",$B14),Elvis,7,FALSE)</f>
        <v>46</v>
      </c>
      <c r="J14" s="154" t="str">
        <f>VLOOKUP(CONCATENATE("M",$B14),Elvis,8,FALSE)</f>
        <v>Jeff Webster</v>
      </c>
      <c r="K14" s="154" t="str">
        <f>VLOOKUP(CONCATENATE("M",$B14),Elvis,9,FALSE)</f>
        <v>S</v>
      </c>
      <c r="L14" s="154">
        <f>VLOOKUP(CONCATENATE("M",$B14),Elvis,10,FALSE)</f>
        <v>82</v>
      </c>
      <c r="M14" s="154" t="str">
        <f>VLOOKUP(CONCATENATE("M",$B14),Elvis,11,FALSE)</f>
        <v>Jamie Austin</v>
      </c>
      <c r="N14" s="154" t="str">
        <f>VLOOKUP(CONCATENATE("M",$B14),Elvis,12,FALSE)</f>
        <v>S</v>
      </c>
      <c r="O14" s="154">
        <f>VLOOKUP(CONCATENATE("M",$B14),Elvis,13,FALSE)</f>
        <v>90</v>
      </c>
      <c r="P14" s="154" t="str">
        <f>VLOOKUP(CONCATENATE("M",$B14),Elvis,14,FALSE)</f>
        <v>Mick Brown</v>
      </c>
      <c r="Q14" s="154" t="str">
        <f>VLOOKUP(CONCATENATE("M",$B14),Elvis,15,FALSE)</f>
        <v>V</v>
      </c>
      <c r="R14" s="154">
        <f>VLOOKUP(CONCATENATE("M",$B14),Elvis,16,FALSE)</f>
        <v>91</v>
      </c>
      <c r="S14" s="154" t="str">
        <f>VLOOKUP(CONCATENATE("M",$B14),Elvis,17,FALSE)</f>
        <v>Jamie Smith</v>
      </c>
      <c r="T14" s="154" t="str">
        <f>VLOOKUP(CONCATENATE("M",$B14),Elvis,18,FALSE)</f>
        <v>V</v>
      </c>
      <c r="U14" s="154">
        <f>VLOOKUP(CONCATENATE("M",$B14),Elvis,19,FALSE)</f>
        <v>106</v>
      </c>
      <c r="V14" s="154" t="str">
        <f>VLOOKUP(CONCATENATE("M",$B14),Elvis,20,FALSE)</f>
        <v>Nils Hollmann</v>
      </c>
      <c r="W14" s="154" t="str">
        <f>VLOOKUP(CONCATENATE("M",$B14),Elvis,21,FALSE)</f>
        <v>V</v>
      </c>
      <c r="X14" s="154">
        <f>VLOOKUP(CONCATENATE("M",$B14),Elvis,22,FALSE)</f>
        <v>114</v>
      </c>
      <c r="Z14" s="154" t="str">
        <f>CONCATENATE(AE14,Times!AD14)</f>
        <v>SMHarold Wood Running Club</v>
      </c>
      <c r="AA14" s="154" t="str">
        <f>Times!AD14</f>
        <v>MHarold Wood Running Club</v>
      </c>
      <c r="AB14" s="154" t="str">
        <f>IF(AK14="Y",CONCATENATE(AA14,COUNTIFS($AK$2:AK14,"=Y",$AA$2:AA14,AA14)),"")</f>
        <v>MHarold Wood Running Club1</v>
      </c>
      <c r="AC14" s="154" t="str">
        <f>Times!K14</f>
        <v>Adam Bartlett</v>
      </c>
      <c r="AD14" s="154">
        <f>Times!G14</f>
        <v>12</v>
      </c>
      <c r="AE14" s="154" t="str">
        <f>IF(Times!D14&lt;&gt;"",IF(ISERR(SEARCH("V",Times!I14,1)),IF(ISERR(SEARCH("S",Times!I14,1)),"S","S"),"V"),"")</f>
        <v>S</v>
      </c>
      <c r="AF14" s="161">
        <f>IF(Times!D14&lt;&gt;"",SUMIFS(Times!$G$2:G14,$AA$2:AA14,AA14,$AK$2:AK14,"Y"),"")</f>
        <v>12</v>
      </c>
      <c r="AG14" s="154" t="str">
        <f>IF(Times!D14&lt;&gt;"",IF(AND(Times!J14="M",AI14+AL14=AM14,AK14="Y"),AF14,""),"")</f>
        <v/>
      </c>
      <c r="AH14" s="154" t="str">
        <f>IF(Times!D14&lt;&gt;"",IF(AND(Times!J14="F",AI14+AL14=AM14,AK14="Y"),AF14,""),"")</f>
        <v/>
      </c>
      <c r="AI14" s="154">
        <f>COUNTIF(Z$2:Z14,CONCATENATE("V",AA14))</f>
        <v>0</v>
      </c>
      <c r="AJ14" s="154">
        <f>COUNTIF(Z$2:Z14,CONCATENATE("S",AA14))</f>
        <v>1</v>
      </c>
      <c r="AK14" s="154" t="str">
        <f t="shared" si="0"/>
        <v>Y</v>
      </c>
      <c r="AL14" s="154">
        <f>IF(AND(Times!J14="M",AJ14&gt;3),3, IF(AND(Times!J14="F",AJ14&gt;2),2,AJ14))</f>
        <v>1</v>
      </c>
      <c r="AM14" s="154">
        <f>IF(Times!J14="M",6, IF(Times!J14="F",4,""))</f>
        <v>6</v>
      </c>
      <c r="AN14" s="154" t="str">
        <f t="shared" si="1"/>
        <v/>
      </c>
      <c r="AO14" s="154" t="str">
        <f t="shared" si="2"/>
        <v/>
      </c>
      <c r="AT14" s="162" t="s">
        <v>1278</v>
      </c>
    </row>
    <row r="15" spans="1:69" x14ac:dyDescent="0.25">
      <c r="C15" s="153" t="s">
        <v>1278</v>
      </c>
      <c r="Z15" s="154" t="str">
        <f>CONCATENATE(AE15,Times!AD15)</f>
        <v>VMEast London Runners</v>
      </c>
      <c r="AA15" s="154" t="str">
        <f>Times!AD15</f>
        <v>MEast London Runners</v>
      </c>
      <c r="AB15" s="154" t="str">
        <f>IF(AK15="Y",CONCATENATE(AA15,COUNTIFS($AK$2:AK15,"=Y",$AA$2:AA15,AA15)),"")</f>
        <v>MEast London Runners4</v>
      </c>
      <c r="AC15" s="154" t="str">
        <f>Times!K15</f>
        <v>Dan Gritton</v>
      </c>
      <c r="AD15" s="154">
        <f>Times!G15</f>
        <v>13</v>
      </c>
      <c r="AE15" s="154" t="str">
        <f>IF(Times!D15&lt;&gt;"",IF(ISERR(SEARCH("V",Times!I15,1)),IF(ISERR(SEARCH("S",Times!I15,1)),"S","S"),"V"),"")</f>
        <v>V</v>
      </c>
      <c r="AF15" s="161">
        <f>IF(Times!D15&lt;&gt;"",SUMIFS(Times!$G$2:G15,$AA$2:AA15,AA15,$AK$2:AK15,"Y"),"")</f>
        <v>29</v>
      </c>
      <c r="AG15" s="154" t="str">
        <f>IF(Times!D15&lt;&gt;"",IF(AND(Times!J15="M",AI15+AL15=AM15,AK15="Y"),AF15,""),"")</f>
        <v/>
      </c>
      <c r="AH15" s="154" t="str">
        <f>IF(Times!D15&lt;&gt;"",IF(AND(Times!J15="F",AI15+AL15=AM15,AK15="Y"),AF15,""),"")</f>
        <v/>
      </c>
      <c r="AI15" s="154">
        <f>COUNTIF(Z$2:Z15,CONCATENATE("V",AA15))</f>
        <v>1</v>
      </c>
      <c r="AJ15" s="154">
        <f>COUNTIF(Z$2:Z15,CONCATENATE("S",AA15))</f>
        <v>4</v>
      </c>
      <c r="AK15" s="154" t="str">
        <f t="shared" si="0"/>
        <v>Y</v>
      </c>
      <c r="AL15" s="154">
        <f>IF(AND(Times!J15="M",AJ15&gt;3),3, IF(AND(Times!J15="F",AJ15&gt;2),2,AJ15))</f>
        <v>3</v>
      </c>
      <c r="AM15" s="154">
        <f>IF(Times!J15="M",6, IF(Times!J15="F",4,""))</f>
        <v>6</v>
      </c>
      <c r="AN15" s="154" t="str">
        <f t="shared" si="1"/>
        <v/>
      </c>
      <c r="AO15" s="154" t="str">
        <f t="shared" si="2"/>
        <v/>
      </c>
      <c r="AS15" s="154" t="str">
        <f>CONCATENATE("F",BQ15)</f>
        <v>F6</v>
      </c>
      <c r="AT15" s="162" t="s">
        <v>43</v>
      </c>
      <c r="AU15" s="154">
        <f t="shared" ref="AU15:AU22" si="49">COUNTIFS($AK$2:$AK$501,"=y",$AA$2:$AA$501,CONCATENATE("F",AT15))</f>
        <v>4</v>
      </c>
      <c r="AV15" s="154">
        <f>SUM(AY15+BB15+BE15+BH15+BK15+BN15)</f>
        <v>122</v>
      </c>
      <c r="AW15" s="154" t="str">
        <f t="shared" ref="AW15:AW22" si="50">IF(ISNA(VLOOKUP(CONCATENATE("F",AT15,1),Elvis_Team,2,FALSE)),IF(ISNA(VLOOKUP(CONCATENATE("F",AT15,1),Elvis_Team,2,FALSE)),"No Runner",VLOOKUP(CONCATENATE("F",AT15,1),Elvis_Team,2,FALSE)),VLOOKUP(CONCATENATE("F",AT15,1),Elvis_Team,2,FALSE))</f>
        <v>Amanda Heslegrave</v>
      </c>
      <c r="AX15" s="154" t="str">
        <f t="shared" ref="AX15:AX22" si="51">IF(ISNA(VLOOKUP(CONCATENATE("F",AT15,1),Elvis_Team,4,FALSE)),IF(ISNA(VLOOKUP(CONCATENATE("F",AT15,1),Elvis_Team,4,FALSE)),"",VLOOKUP(CONCATENATE("F",AT15,1),Elvis_Team,4,FALSE)),VLOOKUP(CONCATENATE("F",AT15,1),Elvis_Team,4,FALSE))</f>
        <v>V</v>
      </c>
      <c r="AY15" s="154">
        <f t="shared" ref="AY15:AY22" si="52">IF(ISNA(VLOOKUP(CONCATENATE("F",AT15,1),Elvis_Team,3,FALSE)),IF(ISNA(VLOOKUP(CONCATENATE("F",AT15,1),Elvis_Team,3,FALSE)),$AT$27-AU15+1,VLOOKUP(CONCATENATE("F",AT15,1),Elvis_Team,3,FALSE)),VLOOKUP(CONCATENATE("F",AT15,1),Elvis_Team,3,FALSE))</f>
        <v>19</v>
      </c>
      <c r="AZ15" s="154" t="str">
        <f t="shared" ref="AZ15:AZ22" si="53">IF(ISNA(VLOOKUP(CONCATENATE("F",AT15,2),Elvis_Team,2,FALSE)),IF(ISNA(VLOOKUP(CONCATENATE("F",AT15,2),Elvis_Team,2,FALSE)),"No Runner",VLOOKUP(CONCATENATE("F",AT15,2),Elvis_Team,2,FALSE)),VLOOKUP(CONCATENATE("F",AT15,2),Elvis_Team,2,FALSE))</f>
        <v>Sally Bridge</v>
      </c>
      <c r="BA15" s="154" t="str">
        <f t="shared" ref="BA15:BA22" si="54">IF(ISNA(VLOOKUP(CONCATENATE("F",AT15,2),Elvis_Team,4,FALSE)),IF(ISNA(VLOOKUP(CONCATENATE("F",AT15,2),Elvis_Team,4,FALSE)),"",VLOOKUP(CONCATENATE("F",AT15,2),Elvis_Team,4,FALSE)),VLOOKUP(CONCATENATE("F",AT15,2),Elvis_Team,4,FALSE))</f>
        <v>V</v>
      </c>
      <c r="BB15" s="154">
        <f t="shared" ref="BB15:BB22" si="55">IF(ISNA(VLOOKUP(CONCATENATE("F",AT15,2),Elvis_Team,3,FALSE)),IF(ISNA(VLOOKUP(CONCATENATE("F",AT15,2),Elvis_Team,3,FALSE)),$AT$27-AU15+2,VLOOKUP(CONCATENATE("F",AT15,2),Elvis_Team,3,FALSE)),VLOOKUP(CONCATENATE("F",AT15,2),Elvis_Team,3,FALSE))</f>
        <v>26</v>
      </c>
      <c r="BC15" s="154" t="str">
        <f t="shared" ref="BC15:BC22" si="56">IF(ISNA(VLOOKUP(CONCATENATE("F",AT15,3),Elvis_Team,2,FALSE)),IF(ISNA(VLOOKUP(CONCATENATE("F",AT15,3),Elvis_Team,2,FALSE)),"No Runner",VLOOKUP(CONCATENATE("F",AT15,3),Elvis_Team,2,FALSE)),VLOOKUP(CONCATENATE("F",AT15,3),Elvis_Team,2,FALSE))</f>
        <v>Faye Spooner</v>
      </c>
      <c r="BD15" s="154" t="str">
        <f t="shared" ref="BD15:BD22" si="57">IF(ISNA(VLOOKUP(CONCATENATE("F",AT15,3),Elvis_Team,4,FALSE)),IF(ISNA(VLOOKUP(CONCATENATE("F",AT15,3),Elvis_Team,4,FALSE)),"",VLOOKUP(CONCATENATE("F",AT15,3),Elvis_Team,4,FALSE)),VLOOKUP(CONCATENATE("F",AT15,3),Elvis_Team,4,FALSE))</f>
        <v>V</v>
      </c>
      <c r="BE15" s="154">
        <f t="shared" ref="BE15:BE22" si="58">IF(ISNA(VLOOKUP(CONCATENATE("F",AT15,3),Elvis_Team,3,FALSE)),IF(ISNA(VLOOKUP(CONCATENATE("F",AT15,3),Elvis_Team,3,FALSE)),$AT$27-AU15+3,VLOOKUP(CONCATENATE("F",AT15,3),Elvis_Team,3,FALSE)),VLOOKUP(CONCATENATE("F",AT15,3),Elvis_Team,3,FALSE))</f>
        <v>35</v>
      </c>
      <c r="BF15" s="154" t="str">
        <f t="shared" ref="BF15:BF23" si="59">IF(ISNA(VLOOKUP(CONCATENATE("F",AT15,4),Elvis_Team,2,FALSE)),IF(ISNA(VLOOKUP(CONCATENATE("F",AT15,4),Elvis_Team,2,FALSE)),"No Runner",VLOOKUP(CONCATENATE("F",AT15,4),Elvis_Team,2,FALSE)),VLOOKUP(CONCATENATE("F",AT15,4),Elvis_Team,2,FALSE))</f>
        <v>Charlotte Owen</v>
      </c>
      <c r="BG15" s="154" t="str">
        <f t="shared" ref="BG15:BG22" si="60">IF(ISNA(VLOOKUP(CONCATENATE("F",AT3,4),Elvis_Team,4,FALSE)),IF(ISNA(VLOOKUP(CONCATENATE("F",AT3,4),Elvis_Team,4,FALSE)),"",VLOOKUP(CONCATENATE("F",AT3,4),Elvis_Team,4,FALSE)),VLOOKUP(CONCATENATE("F",AT3,4),Elvis_Team,4,FALSE))</f>
        <v>S</v>
      </c>
      <c r="BH15" s="154">
        <f t="shared" ref="BH15:BH22" si="61">IF(ISNA(VLOOKUP(CONCATENATE("F",AT15,4),Elvis_Team,3,FALSE)),IF(ISNA(VLOOKUP(CONCATENATE("F",AT15,4),Elvis_Team,3,FALSE)),$AT$27-AU15+4,VLOOKUP(CONCATENATE("F",AT15,4),Elvis_Team,3,FALSE)),VLOOKUP(CONCATENATE("F",AT15,4),Elvis_Team,3,FALSE))</f>
        <v>42</v>
      </c>
      <c r="BO15" s="154">
        <f>VALUE(CONCATENATE(RANK(AU15,$AU$15:$AU$23,0),AV15))</f>
        <v>1122</v>
      </c>
      <c r="BP15" s="160">
        <f>(RANK(BO15,$BO$15:$BO$23,1))</f>
        <v>6</v>
      </c>
      <c r="BQ15" s="154">
        <f>(COUNTIF($BP15:BP$23,BP15)+-1)*0.1+BP15</f>
        <v>6</v>
      </c>
    </row>
    <row r="16" spans="1:69" x14ac:dyDescent="0.25">
      <c r="A16" s="160">
        <v>1</v>
      </c>
      <c r="B16" s="160">
        <f t="shared" ref="B16:B23" si="62">SMALL($BQ$15:$BQ$23,A16)</f>
        <v>1</v>
      </c>
      <c r="C16" s="154" t="str">
        <f t="shared" ref="C16:C24" si="63">VLOOKUP(CONCATENATE("F",$B16),Elvis,2,FALSE)</f>
        <v>East London Runners</v>
      </c>
      <c r="D16" s="160">
        <f t="shared" ref="D16:D24" si="64">VLOOKUP(CONCATENATE("F",$B16),Elvis,24,FALSE)</f>
        <v>1</v>
      </c>
      <c r="E16" s="154">
        <f t="shared" ref="E16:E24" si="65">VLOOKUP(CONCATENATE("F",$B16),Elvis,3,FALSE)</f>
        <v>4</v>
      </c>
      <c r="F16" s="154">
        <f t="shared" ref="F16:F24" si="66">VLOOKUP(CONCATENATE("F",$B16),Elvis,4,FALSE)</f>
        <v>27</v>
      </c>
      <c r="G16" s="154" t="str">
        <f t="shared" ref="G16:G24" si="67">VLOOKUP(CONCATENATE("F",$B16),Elvis,5,FALSE)</f>
        <v>Zoila Gilham-Fernandez</v>
      </c>
      <c r="H16" s="154" t="str">
        <f t="shared" ref="H16:H24" si="68">VLOOKUP(CONCATENATE("F",$B16),Elvis,6,FALSE)</f>
        <v>S</v>
      </c>
      <c r="I16" s="154">
        <f t="shared" ref="I16:I24" si="69">VLOOKUP(CONCATENATE("F",$B16),Elvis,7,FALSE)</f>
        <v>3</v>
      </c>
      <c r="J16" s="154" t="str">
        <f t="shared" ref="J16:J24" si="70">VLOOKUP(CONCATENATE("F",$B16),Elvis,8,FALSE)</f>
        <v>Caroline Frith</v>
      </c>
      <c r="K16" s="154" t="str">
        <f t="shared" ref="K16:K24" si="71">VLOOKUP(CONCATENATE("F",$B16),Elvis,9,FALSE)</f>
        <v>V</v>
      </c>
      <c r="L16" s="154">
        <f t="shared" ref="L16:L24" si="72">VLOOKUP(CONCATENATE("F",$B16),Elvis,10,FALSE)</f>
        <v>5</v>
      </c>
      <c r="M16" s="154" t="str">
        <f t="shared" ref="M16:M24" si="73">VLOOKUP(CONCATENATE("F",$B16),Elvis,11,FALSE)</f>
        <v>emily clarke</v>
      </c>
      <c r="N16" s="154" t="str">
        <f t="shared" ref="N16:N24" si="74">VLOOKUP(CONCATENATE("F",$B16),Elvis,12,FALSE)</f>
        <v>S</v>
      </c>
      <c r="O16" s="154">
        <f t="shared" ref="O16:O24" si="75">VLOOKUP(CONCATENATE("F",$B16),Elvis,13,FALSE)</f>
        <v>6</v>
      </c>
      <c r="P16" s="154" t="str">
        <f t="shared" ref="P16:P24" si="76">VLOOKUP(CONCATENATE("F",$B16),Elvis,14,FALSE)</f>
        <v>Katherine Harris</v>
      </c>
      <c r="Q16" s="154" t="str">
        <f t="shared" ref="Q16:Q24" si="77">VLOOKUP(CONCATENATE("F",$B16),Elvis,15,FALSE)</f>
        <v>V</v>
      </c>
      <c r="R16" s="154">
        <f t="shared" ref="R16:R24" si="78">VLOOKUP(CONCATENATE("F",$B16),Elvis,16,FALSE)</f>
        <v>13</v>
      </c>
      <c r="Z16" s="154" t="str">
        <f>CONCATENATE(AE16,Times!AD16)</f>
        <v>SMEast London Runners</v>
      </c>
      <c r="AA16" s="154" t="str">
        <f>Times!AD16</f>
        <v>MEast London Runners</v>
      </c>
      <c r="AB16" s="154" t="str">
        <f>IF(AK16="Y",CONCATENATE(AA16,COUNTIFS($AK$2:AK16,"=Y",$AA$2:AA16,AA16)),"")</f>
        <v/>
      </c>
      <c r="AC16" s="154" t="str">
        <f>Times!K16</f>
        <v>Andy Kumar</v>
      </c>
      <c r="AD16" s="154">
        <f>Times!G16</f>
        <v>14</v>
      </c>
      <c r="AE16" s="154" t="str">
        <f>IF(Times!D16&lt;&gt;"",IF(ISERR(SEARCH("V",Times!I16,1)),IF(ISERR(SEARCH("S",Times!I16,1)),"S","S"),"V"),"")</f>
        <v>S</v>
      </c>
      <c r="AF16" s="161">
        <f>IF(Times!D16&lt;&gt;"",SUMIFS(Times!$G$2:G16,$AA$2:AA16,AA16,$AK$2:AK16,"Y"),"")</f>
        <v>29</v>
      </c>
      <c r="AG16" s="154" t="str">
        <f>IF(Times!D16&lt;&gt;"",IF(AND(Times!J16="M",AI16+AL16=AM16,AK16="Y"),AF16,""),"")</f>
        <v/>
      </c>
      <c r="AH16" s="154" t="str">
        <f>IF(Times!D16&lt;&gt;"",IF(AND(Times!J16="F",AI16+AL16=AM16,AK16="Y"),AF16,""),"")</f>
        <v/>
      </c>
      <c r="AI16" s="154">
        <f>COUNTIF(Z$2:Z16,CONCATENATE("V",AA16))</f>
        <v>1</v>
      </c>
      <c r="AJ16" s="154">
        <f>COUNTIF(Z$2:Z16,CONCATENATE("S",AA16))</f>
        <v>5</v>
      </c>
      <c r="AK16" s="154" t="str">
        <f t="shared" si="0"/>
        <v>N</v>
      </c>
      <c r="AL16" s="154">
        <f>IF(AND(Times!J16="M",AJ16&gt;3),3, IF(AND(Times!J16="F",AJ16&gt;2),2,AJ16))</f>
        <v>3</v>
      </c>
      <c r="AM16" s="154">
        <f>IF(Times!J16="M",6, IF(Times!J16="F",4,""))</f>
        <v>6</v>
      </c>
      <c r="AN16" s="154" t="str">
        <f t="shared" si="1"/>
        <v/>
      </c>
      <c r="AO16" s="154" t="str">
        <f t="shared" si="2"/>
        <v/>
      </c>
      <c r="AS16" s="154" t="str">
        <f t="shared" ref="AS16:AS23" si="79">CONCATENATE("F",BQ16)</f>
        <v>F9</v>
      </c>
      <c r="AT16" s="162" t="s">
        <v>155</v>
      </c>
      <c r="AU16" s="154">
        <f t="shared" si="49"/>
        <v>4</v>
      </c>
      <c r="AV16" s="154">
        <f t="shared" ref="AV16:AV22" si="80">SUM(AY16+BB16+BE16+BH16+BK16+BN16)</f>
        <v>217</v>
      </c>
      <c r="AW16" s="154" t="str">
        <f t="shared" si="50"/>
        <v>Hannah Sheikh</v>
      </c>
      <c r="AX16" s="154" t="str">
        <f t="shared" si="51"/>
        <v>V</v>
      </c>
      <c r="AY16" s="154">
        <f t="shared" si="52"/>
        <v>22</v>
      </c>
      <c r="AZ16" s="154" t="str">
        <f t="shared" si="53"/>
        <v>Louise Chappell</v>
      </c>
      <c r="BA16" s="154" t="str">
        <f t="shared" si="54"/>
        <v>V</v>
      </c>
      <c r="BB16" s="154">
        <f t="shared" si="55"/>
        <v>48</v>
      </c>
      <c r="BC16" s="154" t="str">
        <f t="shared" si="56"/>
        <v>Rosina Salmon</v>
      </c>
      <c r="BD16" s="154" t="str">
        <f t="shared" si="57"/>
        <v>V</v>
      </c>
      <c r="BE16" s="154">
        <f t="shared" si="58"/>
        <v>67</v>
      </c>
      <c r="BF16" s="154" t="str">
        <f t="shared" si="59"/>
        <v>Selon Timi Veerasamy</v>
      </c>
      <c r="BG16" s="154" t="str">
        <f t="shared" si="60"/>
        <v>V</v>
      </c>
      <c r="BH16" s="154">
        <f t="shared" si="61"/>
        <v>80</v>
      </c>
      <c r="BO16" s="154">
        <f t="shared" ref="BO16:BO23" si="81">VALUE(CONCATENATE(RANK(AU16,$AU$15:$AU$23,0),AV16))</f>
        <v>1217</v>
      </c>
      <c r="BP16" s="160">
        <f t="shared" ref="BP16:BP23" si="82">(RANK(BO16,$BO$15:$BO$23,1))</f>
        <v>9</v>
      </c>
      <c r="BQ16" s="154">
        <f>(COUNTIF($BP16:BP$23,BP16)+-1)*0.1+BP16</f>
        <v>9</v>
      </c>
    </row>
    <row r="17" spans="1:69" x14ac:dyDescent="0.25">
      <c r="A17" s="160">
        <v>2</v>
      </c>
      <c r="B17" s="160">
        <f t="shared" si="62"/>
        <v>2</v>
      </c>
      <c r="C17" s="154" t="str">
        <f t="shared" si="63"/>
        <v>Ilford AC</v>
      </c>
      <c r="D17" s="160">
        <f t="shared" si="64"/>
        <v>2</v>
      </c>
      <c r="E17" s="154">
        <f t="shared" si="65"/>
        <v>4</v>
      </c>
      <c r="F17" s="154">
        <f t="shared" si="66"/>
        <v>58</v>
      </c>
      <c r="G17" s="154" t="str">
        <f t="shared" si="67"/>
        <v>Breege Nordin</v>
      </c>
      <c r="H17" s="154" t="str">
        <f t="shared" si="68"/>
        <v>V</v>
      </c>
      <c r="I17" s="154">
        <f t="shared" si="69"/>
        <v>7</v>
      </c>
      <c r="J17" s="154" t="str">
        <f t="shared" si="70"/>
        <v>Carlie Qirem</v>
      </c>
      <c r="K17" s="154" t="str">
        <f t="shared" si="71"/>
        <v>S</v>
      </c>
      <c r="L17" s="154">
        <f t="shared" si="72"/>
        <v>9</v>
      </c>
      <c r="M17" s="154" t="str">
        <f t="shared" si="73"/>
        <v>Jenni Sheehan</v>
      </c>
      <c r="N17" s="154" t="str">
        <f t="shared" si="74"/>
        <v>S</v>
      </c>
      <c r="O17" s="154">
        <f t="shared" si="75"/>
        <v>14</v>
      </c>
      <c r="P17" s="154" t="str">
        <f t="shared" si="76"/>
        <v>Nicola Hopkinson</v>
      </c>
      <c r="Q17" s="154" t="str">
        <f t="shared" si="77"/>
        <v>V</v>
      </c>
      <c r="R17" s="154">
        <f t="shared" si="78"/>
        <v>28</v>
      </c>
      <c r="Z17" s="154" t="str">
        <f>CONCATENATE(AE17,Times!AD17)</f>
        <v>SMIlford AC</v>
      </c>
      <c r="AA17" s="154" t="str">
        <f>Times!AD17</f>
        <v>MIlford AC</v>
      </c>
      <c r="AB17" s="154" t="str">
        <f>IF(AK17="Y",CONCATENATE(AA17,COUNTIFS($AK$2:AK17,"=Y",$AA$2:AA17,AA17)),"")</f>
        <v>MIlford AC5</v>
      </c>
      <c r="AC17" s="154" t="str">
        <f>Times!K17</f>
        <v>Sam Rahman</v>
      </c>
      <c r="AD17" s="154">
        <f>Times!G17</f>
        <v>15</v>
      </c>
      <c r="AE17" s="154" t="str">
        <f>IF(Times!D17&lt;&gt;"",IF(ISERR(SEARCH("V",Times!I17,1)),IF(ISERR(SEARCH("S",Times!I17,1)),"S","S"),"V"),"")</f>
        <v>S</v>
      </c>
      <c r="AF17" s="161">
        <f>IF(Times!D17&lt;&gt;"",SUMIFS(Times!$G$2:G17,$AA$2:AA17,AA17,$AK$2:AK17,"Y"),"")</f>
        <v>36</v>
      </c>
      <c r="AG17" s="154" t="str">
        <f>IF(Times!D17&lt;&gt;"",IF(AND(Times!J17="M",AI17+AL17=AM17,AK17="Y"),AF17,""),"")</f>
        <v/>
      </c>
      <c r="AH17" s="154" t="str">
        <f>IF(Times!D17&lt;&gt;"",IF(AND(Times!J17="F",AI17+AL17=AM17,AK17="Y"),AF17,""),"")</f>
        <v/>
      </c>
      <c r="AI17" s="154">
        <f>COUNTIF(Z$2:Z17,CONCATENATE("V",AA17))</f>
        <v>2</v>
      </c>
      <c r="AJ17" s="154">
        <f>COUNTIF(Z$2:Z17,CONCATENATE("S",AA17))</f>
        <v>3</v>
      </c>
      <c r="AK17" s="154" t="str">
        <f t="shared" si="0"/>
        <v>Y</v>
      </c>
      <c r="AL17" s="154">
        <f>IF(AND(Times!J17="M",AJ17&gt;3),3, IF(AND(Times!J17="F",AJ17&gt;2),2,AJ17))</f>
        <v>3</v>
      </c>
      <c r="AM17" s="154">
        <f>IF(Times!J17="M",6, IF(Times!J17="F",4,""))</f>
        <v>6</v>
      </c>
      <c r="AN17" s="154" t="str">
        <f t="shared" si="1"/>
        <v/>
      </c>
      <c r="AO17" s="154" t="str">
        <f t="shared" si="2"/>
        <v/>
      </c>
      <c r="AS17" s="154" t="str">
        <f t="shared" si="79"/>
        <v>F7</v>
      </c>
      <c r="AT17" s="163" t="s">
        <v>63</v>
      </c>
      <c r="AU17" s="154">
        <f t="shared" si="49"/>
        <v>4</v>
      </c>
      <c r="AV17" s="154">
        <f t="shared" si="80"/>
        <v>145</v>
      </c>
      <c r="AW17" s="154" t="str">
        <f t="shared" si="50"/>
        <v>Megan Davies</v>
      </c>
      <c r="AX17" s="154" t="str">
        <f t="shared" si="51"/>
        <v>S</v>
      </c>
      <c r="AY17" s="154">
        <f t="shared" si="52"/>
        <v>17</v>
      </c>
      <c r="AZ17" s="154" t="str">
        <f t="shared" si="53"/>
        <v>Sarah Bemand</v>
      </c>
      <c r="BA17" s="154" t="str">
        <f t="shared" si="54"/>
        <v>V</v>
      </c>
      <c r="BB17" s="154">
        <f t="shared" si="55"/>
        <v>36</v>
      </c>
      <c r="BC17" s="154" t="str">
        <f t="shared" si="56"/>
        <v>Catherine Jane Apps</v>
      </c>
      <c r="BD17" s="154" t="str">
        <f t="shared" si="57"/>
        <v>V</v>
      </c>
      <c r="BE17" s="154">
        <f t="shared" si="58"/>
        <v>38</v>
      </c>
      <c r="BF17" s="154" t="str">
        <f t="shared" si="59"/>
        <v>Katie Self</v>
      </c>
      <c r="BG17" s="154" t="str">
        <f t="shared" si="60"/>
        <v>S</v>
      </c>
      <c r="BH17" s="154">
        <f t="shared" si="61"/>
        <v>54</v>
      </c>
      <c r="BO17" s="154">
        <f t="shared" si="81"/>
        <v>1145</v>
      </c>
      <c r="BP17" s="160">
        <f t="shared" si="82"/>
        <v>7</v>
      </c>
      <c r="BQ17" s="154">
        <f>(COUNTIF($BP17:BP$23,BP17)+-1)*0.1+BP17</f>
        <v>7</v>
      </c>
    </row>
    <row r="18" spans="1:69" x14ac:dyDescent="0.25">
      <c r="A18" s="160">
        <v>3</v>
      </c>
      <c r="B18" s="160">
        <f t="shared" si="62"/>
        <v>3</v>
      </c>
      <c r="C18" s="154" t="str">
        <f t="shared" si="63"/>
        <v>Orion Harriers</v>
      </c>
      <c r="D18" s="160">
        <f t="shared" si="64"/>
        <v>3</v>
      </c>
      <c r="E18" s="154">
        <f t="shared" si="65"/>
        <v>4</v>
      </c>
      <c r="F18" s="154">
        <f t="shared" si="66"/>
        <v>59</v>
      </c>
      <c r="G18" s="154" t="str">
        <f t="shared" si="67"/>
        <v>Alison Taylor</v>
      </c>
      <c r="H18" s="154" t="str">
        <f t="shared" si="68"/>
        <v>V</v>
      </c>
      <c r="I18" s="154">
        <f t="shared" si="69"/>
        <v>8</v>
      </c>
      <c r="J18" s="154" t="str">
        <f t="shared" si="70"/>
        <v>Christine Inch</v>
      </c>
      <c r="K18" s="154" t="str">
        <f t="shared" si="71"/>
        <v>V</v>
      </c>
      <c r="L18" s="154">
        <f t="shared" si="72"/>
        <v>12</v>
      </c>
      <c r="M18" s="154" t="str">
        <f t="shared" si="73"/>
        <v>Mary Armitage</v>
      </c>
      <c r="N18" s="154" t="str">
        <f t="shared" si="74"/>
        <v>V</v>
      </c>
      <c r="O18" s="154">
        <f t="shared" si="75"/>
        <v>16</v>
      </c>
      <c r="P18" s="154" t="str">
        <f t="shared" si="76"/>
        <v>Frances Wilson</v>
      </c>
      <c r="Q18" s="154" t="str">
        <f t="shared" si="77"/>
        <v>V</v>
      </c>
      <c r="R18" s="154">
        <f t="shared" si="78"/>
        <v>23</v>
      </c>
      <c r="Z18" s="154" t="str">
        <f>CONCATENATE(AE18,Times!AD18)</f>
        <v>SMChorlton Runners</v>
      </c>
      <c r="AA18" s="154" t="str">
        <f>Times!AD18</f>
        <v>MChorlton Runners</v>
      </c>
      <c r="AB18" s="154" t="str">
        <f>IF(AK18="Y",CONCATENATE(AA18,COUNTIFS($AK$2:AK18,"=Y",$AA$2:AA18,AA18)),"")</f>
        <v>MChorlton Runners1</v>
      </c>
      <c r="AC18" s="154" t="str">
        <f>Times!K18</f>
        <v>Russell Price</v>
      </c>
      <c r="AD18" s="154">
        <f>Times!G18</f>
        <v>16</v>
      </c>
      <c r="AE18" s="154" t="str">
        <f>IF(Times!D18&lt;&gt;"",IF(ISERR(SEARCH("V",Times!I18,1)),IF(ISERR(SEARCH("S",Times!I18,1)),"S","S"),"V"),"")</f>
        <v>S</v>
      </c>
      <c r="AF18" s="161">
        <f>IF(Times!D18&lt;&gt;"",SUMIFS(Times!$G$2:G18,$AA$2:AA18,AA18,$AK$2:AK18,"Y"),"")</f>
        <v>16</v>
      </c>
      <c r="AG18" s="154" t="str">
        <f>IF(Times!D18&lt;&gt;"",IF(AND(Times!J18="M",AI18+AL18=AM18,AK18="Y"),AF18,""),"")</f>
        <v/>
      </c>
      <c r="AH18" s="154" t="str">
        <f>IF(Times!D18&lt;&gt;"",IF(AND(Times!J18="F",AI18+AL18=AM18,AK18="Y"),AF18,""),"")</f>
        <v/>
      </c>
      <c r="AI18" s="154">
        <f>COUNTIF(Z$2:Z18,CONCATENATE("V",AA18))</f>
        <v>0</v>
      </c>
      <c r="AJ18" s="154">
        <f>COUNTIF(Z$2:Z18,CONCATENATE("S",AA18))</f>
        <v>1</v>
      </c>
      <c r="AK18" s="154" t="str">
        <f t="shared" si="0"/>
        <v>Y</v>
      </c>
      <c r="AL18" s="154">
        <f>IF(AND(Times!J18="M",AJ18&gt;3),3, IF(AND(Times!J18="F",AJ18&gt;2),2,AJ18))</f>
        <v>1</v>
      </c>
      <c r="AM18" s="154">
        <f>IF(Times!J18="M",6, IF(Times!J18="F",4,""))</f>
        <v>6</v>
      </c>
      <c r="AN18" s="154" t="str">
        <f t="shared" si="1"/>
        <v/>
      </c>
      <c r="AO18" s="154" t="str">
        <f t="shared" si="2"/>
        <v/>
      </c>
      <c r="AS18" s="154" t="str">
        <f t="shared" si="79"/>
        <v>F1</v>
      </c>
      <c r="AT18" s="163" t="s">
        <v>12</v>
      </c>
      <c r="AU18" s="154">
        <f t="shared" si="49"/>
        <v>4</v>
      </c>
      <c r="AV18" s="154">
        <f t="shared" si="80"/>
        <v>27</v>
      </c>
      <c r="AW18" s="154" t="str">
        <f t="shared" si="50"/>
        <v>Zoila Gilham-Fernandez</v>
      </c>
      <c r="AX18" s="154" t="str">
        <f t="shared" si="51"/>
        <v>S</v>
      </c>
      <c r="AY18" s="154">
        <f t="shared" si="52"/>
        <v>3</v>
      </c>
      <c r="AZ18" s="154" t="str">
        <f t="shared" si="53"/>
        <v>Caroline Frith</v>
      </c>
      <c r="BA18" s="154" t="str">
        <f t="shared" si="54"/>
        <v>V</v>
      </c>
      <c r="BB18" s="154">
        <f t="shared" si="55"/>
        <v>5</v>
      </c>
      <c r="BC18" s="154" t="str">
        <f t="shared" si="56"/>
        <v>emily clarke</v>
      </c>
      <c r="BD18" s="154" t="str">
        <f t="shared" si="57"/>
        <v>S</v>
      </c>
      <c r="BE18" s="154">
        <f t="shared" si="58"/>
        <v>6</v>
      </c>
      <c r="BF18" s="154" t="str">
        <f t="shared" si="59"/>
        <v>Katherine Harris</v>
      </c>
      <c r="BG18" s="154" t="str">
        <f t="shared" si="60"/>
        <v>V</v>
      </c>
      <c r="BH18" s="154">
        <f t="shared" si="61"/>
        <v>13</v>
      </c>
      <c r="BO18" s="154">
        <f t="shared" si="81"/>
        <v>127</v>
      </c>
      <c r="BP18" s="160">
        <f t="shared" si="82"/>
        <v>1</v>
      </c>
      <c r="BQ18" s="154">
        <f>(COUNTIF($BP18:BP$23,BP18)+-1)*0.1+BP18</f>
        <v>1</v>
      </c>
    </row>
    <row r="19" spans="1:69" x14ac:dyDescent="0.25">
      <c r="A19" s="160">
        <v>4</v>
      </c>
      <c r="B19" s="160">
        <f t="shared" si="62"/>
        <v>4</v>
      </c>
      <c r="C19" s="154" t="str">
        <f t="shared" si="63"/>
        <v>Eton Manor AC</v>
      </c>
      <c r="D19" s="160">
        <f t="shared" si="64"/>
        <v>4</v>
      </c>
      <c r="E19" s="154">
        <f t="shared" si="65"/>
        <v>4</v>
      </c>
      <c r="F19" s="154">
        <f t="shared" si="66"/>
        <v>60</v>
      </c>
      <c r="G19" s="154" t="str">
        <f t="shared" si="67"/>
        <v>Jennifer Heymann</v>
      </c>
      <c r="H19" s="154" t="str">
        <f t="shared" si="68"/>
        <v>V</v>
      </c>
      <c r="I19" s="154">
        <f t="shared" si="69"/>
        <v>4</v>
      </c>
      <c r="J19" s="154" t="str">
        <f t="shared" si="70"/>
        <v>Kate Malcolm</v>
      </c>
      <c r="K19" s="154" t="str">
        <f t="shared" si="71"/>
        <v>V</v>
      </c>
      <c r="L19" s="154">
        <f t="shared" si="72"/>
        <v>11</v>
      </c>
      <c r="M19" s="154" t="str">
        <f t="shared" si="73"/>
        <v>Gail Hennessy</v>
      </c>
      <c r="N19" s="154" t="str">
        <f t="shared" si="74"/>
        <v>V</v>
      </c>
      <c r="O19" s="154">
        <f t="shared" si="75"/>
        <v>18</v>
      </c>
      <c r="P19" s="154" t="str">
        <f t="shared" si="76"/>
        <v>Sarah Giles</v>
      </c>
      <c r="Q19" s="154" t="str">
        <f t="shared" si="77"/>
        <v>V</v>
      </c>
      <c r="R19" s="154">
        <f t="shared" si="78"/>
        <v>27</v>
      </c>
      <c r="Z19" s="154" t="str">
        <f>CONCATENATE(AE19,Times!AD19)</f>
        <v>SMEast End Road Runners</v>
      </c>
      <c r="AA19" s="154" t="str">
        <f>Times!AD19</f>
        <v>MEast End Road Runners</v>
      </c>
      <c r="AB19" s="154" t="str">
        <f>IF(AK19="Y",CONCATENATE(AA19,COUNTIFS($AK$2:AK19,"=Y",$AA$2:AA19,AA19)),"")</f>
        <v>MEast End Road Runners1</v>
      </c>
      <c r="AC19" s="154" t="str">
        <f>Times!K19</f>
        <v>Jimmi Lee</v>
      </c>
      <c r="AD19" s="154">
        <f>Times!G19</f>
        <v>17</v>
      </c>
      <c r="AE19" s="154" t="str">
        <f>IF(Times!D19&lt;&gt;"",IF(ISERR(SEARCH("V",Times!I19,1)),IF(ISERR(SEARCH("S",Times!I19,1)),"S","S"),"V"),"")</f>
        <v>S</v>
      </c>
      <c r="AF19" s="161">
        <f>IF(Times!D19&lt;&gt;"",SUMIFS(Times!$G$2:G19,$AA$2:AA19,AA19,$AK$2:AK19,"Y"),"")</f>
        <v>17</v>
      </c>
      <c r="AG19" s="154" t="str">
        <f>IF(Times!D19&lt;&gt;"",IF(AND(Times!J19="M",AI19+AL19=AM19,AK19="Y"),AF19,""),"")</f>
        <v/>
      </c>
      <c r="AH19" s="154" t="str">
        <f>IF(Times!D19&lt;&gt;"",IF(AND(Times!J19="F",AI19+AL19=AM19,AK19="Y"),AF19,""),"")</f>
        <v/>
      </c>
      <c r="AI19" s="154">
        <f>COUNTIF(Z$2:Z19,CONCATENATE("V",AA19))</f>
        <v>0</v>
      </c>
      <c r="AJ19" s="154">
        <f>COUNTIF(Z$2:Z19,CONCATENATE("S",AA19))</f>
        <v>1</v>
      </c>
      <c r="AK19" s="154" t="str">
        <f t="shared" si="0"/>
        <v>Y</v>
      </c>
      <c r="AL19" s="154">
        <f>IF(AND(Times!J19="M",AJ19&gt;3),3, IF(AND(Times!J19="F",AJ19&gt;2),2,AJ19))</f>
        <v>1</v>
      </c>
      <c r="AM19" s="154">
        <f>IF(Times!J19="M",6, IF(Times!J19="F",4,""))</f>
        <v>6</v>
      </c>
      <c r="AN19" s="154" t="str">
        <f t="shared" si="1"/>
        <v/>
      </c>
      <c r="AO19" s="154" t="str">
        <f t="shared" si="2"/>
        <v/>
      </c>
      <c r="AS19" s="154" t="str">
        <f t="shared" si="79"/>
        <v>F4</v>
      </c>
      <c r="AT19" s="162" t="s">
        <v>154</v>
      </c>
      <c r="AU19" s="154">
        <f t="shared" si="49"/>
        <v>4</v>
      </c>
      <c r="AV19" s="154">
        <f t="shared" si="80"/>
        <v>60</v>
      </c>
      <c r="AW19" s="154" t="str">
        <f t="shared" si="50"/>
        <v>Jennifer Heymann</v>
      </c>
      <c r="AX19" s="154" t="str">
        <f t="shared" si="51"/>
        <v>V</v>
      </c>
      <c r="AY19" s="154">
        <f t="shared" si="52"/>
        <v>4</v>
      </c>
      <c r="AZ19" s="154" t="str">
        <f t="shared" si="53"/>
        <v>Kate Malcolm</v>
      </c>
      <c r="BA19" s="154" t="str">
        <f t="shared" si="54"/>
        <v>V</v>
      </c>
      <c r="BB19" s="154">
        <f t="shared" si="55"/>
        <v>11</v>
      </c>
      <c r="BC19" s="154" t="str">
        <f t="shared" si="56"/>
        <v>Gail Hennessy</v>
      </c>
      <c r="BD19" s="154" t="str">
        <f t="shared" si="57"/>
        <v>V</v>
      </c>
      <c r="BE19" s="154">
        <f t="shared" si="58"/>
        <v>18</v>
      </c>
      <c r="BF19" s="154" t="str">
        <f t="shared" si="59"/>
        <v>Sarah Giles</v>
      </c>
      <c r="BG19" s="154" t="str">
        <f t="shared" si="60"/>
        <v>V</v>
      </c>
      <c r="BH19" s="154">
        <f t="shared" si="61"/>
        <v>27</v>
      </c>
      <c r="BO19" s="154">
        <f t="shared" si="81"/>
        <v>160</v>
      </c>
      <c r="BP19" s="160">
        <f t="shared" si="82"/>
        <v>4</v>
      </c>
      <c r="BQ19" s="154">
        <f>(COUNTIF($BP19:BP$23,BP19)+-1)*0.1+BP19</f>
        <v>4</v>
      </c>
    </row>
    <row r="20" spans="1:69" x14ac:dyDescent="0.25">
      <c r="A20" s="160">
        <v>5</v>
      </c>
      <c r="B20" s="160">
        <f t="shared" si="62"/>
        <v>5</v>
      </c>
      <c r="C20" s="154" t="str">
        <f t="shared" si="63"/>
        <v>Harold Wood Running Club</v>
      </c>
      <c r="D20" s="160">
        <f t="shared" si="64"/>
        <v>5</v>
      </c>
      <c r="E20" s="154">
        <f t="shared" si="65"/>
        <v>4</v>
      </c>
      <c r="F20" s="154">
        <f t="shared" si="66"/>
        <v>97</v>
      </c>
      <c r="G20" s="154" t="str">
        <f t="shared" si="67"/>
        <v>Linda Day</v>
      </c>
      <c r="H20" s="154" t="str">
        <f t="shared" si="68"/>
        <v>V</v>
      </c>
      <c r="I20" s="154">
        <f t="shared" si="69"/>
        <v>10</v>
      </c>
      <c r="J20" s="154" t="str">
        <f t="shared" si="70"/>
        <v>Rosie Hatch</v>
      </c>
      <c r="K20" s="154" t="str">
        <f t="shared" si="71"/>
        <v>S</v>
      </c>
      <c r="L20" s="154">
        <f t="shared" si="72"/>
        <v>15</v>
      </c>
      <c r="M20" s="154" t="str">
        <f t="shared" si="73"/>
        <v>Ruth Quince</v>
      </c>
      <c r="N20" s="154" t="str">
        <f t="shared" si="74"/>
        <v>V</v>
      </c>
      <c r="O20" s="154">
        <f t="shared" si="75"/>
        <v>21</v>
      </c>
      <c r="P20" s="154" t="str">
        <f t="shared" si="76"/>
        <v>Helen Jenner</v>
      </c>
      <c r="Q20" s="154" t="str">
        <f t="shared" si="77"/>
        <v>V</v>
      </c>
      <c r="R20" s="154">
        <f t="shared" si="78"/>
        <v>51</v>
      </c>
      <c r="Z20" s="154" t="str">
        <f>CONCATENATE(AE20,Times!AD20)</f>
        <v>VMOrion Harriers</v>
      </c>
      <c r="AA20" s="154" t="str">
        <f>Times!AD20</f>
        <v>MOrion Harriers</v>
      </c>
      <c r="AB20" s="154" t="str">
        <f>IF(AK20="Y",CONCATENATE(AA20,COUNTIFS($AK$2:AK20,"=Y",$AA$2:AA20,AA20)),"")</f>
        <v>MOrion Harriers1</v>
      </c>
      <c r="AC20" s="154" t="str">
        <f>Times!K20</f>
        <v>Bob Glasgow</v>
      </c>
      <c r="AD20" s="154">
        <f>Times!G20</f>
        <v>18</v>
      </c>
      <c r="AE20" s="154" t="str">
        <f>IF(Times!D20&lt;&gt;"",IF(ISERR(SEARCH("V",Times!I20,1)),IF(ISERR(SEARCH("S",Times!I20,1)),"S","S"),"V"),"")</f>
        <v>V</v>
      </c>
      <c r="AF20" s="161">
        <f>IF(Times!D20&lt;&gt;"",SUMIFS(Times!$G$2:G20,$AA$2:AA20,AA20,$AK$2:AK20,"Y"),"")</f>
        <v>18</v>
      </c>
      <c r="AG20" s="154" t="str">
        <f>IF(Times!D20&lt;&gt;"",IF(AND(Times!J20="M",AI20+AL20=AM20,AK20="Y"),AF20,""),"")</f>
        <v/>
      </c>
      <c r="AH20" s="154" t="str">
        <f>IF(Times!D20&lt;&gt;"",IF(AND(Times!J20="F",AI20+AL20=AM20,AK20="Y"),AF20,""),"")</f>
        <v/>
      </c>
      <c r="AI20" s="154">
        <f>COUNTIF(Z$2:Z20,CONCATENATE("V",AA20))</f>
        <v>1</v>
      </c>
      <c r="AJ20" s="154">
        <f>COUNTIF(Z$2:Z20,CONCATENATE("S",AA20))</f>
        <v>0</v>
      </c>
      <c r="AK20" s="154" t="str">
        <f t="shared" si="0"/>
        <v>Y</v>
      </c>
      <c r="AL20" s="154">
        <f>IF(AND(Times!J20="M",AJ20&gt;3),3, IF(AND(Times!J20="F",AJ20&gt;2),2,AJ20))</f>
        <v>0</v>
      </c>
      <c r="AM20" s="154">
        <f>IF(Times!J20="M",6, IF(Times!J20="F",4,""))</f>
        <v>6</v>
      </c>
      <c r="AN20" s="154" t="str">
        <f t="shared" si="1"/>
        <v/>
      </c>
      <c r="AO20" s="154" t="str">
        <f t="shared" si="2"/>
        <v/>
      </c>
      <c r="AS20" s="154" t="str">
        <f t="shared" si="79"/>
        <v>F8</v>
      </c>
      <c r="AT20" s="162" t="s">
        <v>38</v>
      </c>
      <c r="AU20" s="154">
        <f t="shared" si="49"/>
        <v>4</v>
      </c>
      <c r="AV20" s="154">
        <f t="shared" si="80"/>
        <v>203</v>
      </c>
      <c r="AW20" s="154" t="str">
        <f t="shared" si="50"/>
        <v>Kate Pettit</v>
      </c>
      <c r="AX20" s="154" t="str">
        <f t="shared" si="51"/>
        <v>V</v>
      </c>
      <c r="AY20" s="154">
        <f t="shared" si="52"/>
        <v>44</v>
      </c>
      <c r="AZ20" s="154" t="str">
        <f t="shared" si="53"/>
        <v>Emma Bolton</v>
      </c>
      <c r="BA20" s="154" t="str">
        <f t="shared" si="54"/>
        <v>V</v>
      </c>
      <c r="BB20" s="154">
        <f t="shared" si="55"/>
        <v>47</v>
      </c>
      <c r="BC20" s="154" t="str">
        <f t="shared" si="56"/>
        <v>Amanda Keasley</v>
      </c>
      <c r="BD20" s="154" t="str">
        <f t="shared" si="57"/>
        <v>V</v>
      </c>
      <c r="BE20" s="154">
        <f t="shared" si="58"/>
        <v>53</v>
      </c>
      <c r="BF20" s="154" t="str">
        <f t="shared" si="59"/>
        <v>Michele Sullivan</v>
      </c>
      <c r="BG20" s="154" t="str">
        <f t="shared" si="60"/>
        <v>V</v>
      </c>
      <c r="BH20" s="154">
        <f t="shared" si="61"/>
        <v>59</v>
      </c>
      <c r="BO20" s="154">
        <f t="shared" si="81"/>
        <v>1203</v>
      </c>
      <c r="BP20" s="160">
        <f t="shared" si="82"/>
        <v>8</v>
      </c>
      <c r="BQ20" s="154">
        <f>(COUNTIF($BP20:BP$23,BP20)+-1)*0.1+BP20</f>
        <v>8</v>
      </c>
    </row>
    <row r="21" spans="1:69" x14ac:dyDescent="0.25">
      <c r="A21" s="160">
        <v>6</v>
      </c>
      <c r="B21" s="160">
        <f t="shared" si="62"/>
        <v>6</v>
      </c>
      <c r="C21" s="154" t="str">
        <f t="shared" si="63"/>
        <v>Barking Road Runners</v>
      </c>
      <c r="D21" s="160">
        <f t="shared" si="64"/>
        <v>6</v>
      </c>
      <c r="E21" s="154">
        <f t="shared" si="65"/>
        <v>4</v>
      </c>
      <c r="F21" s="154">
        <f t="shared" si="66"/>
        <v>122</v>
      </c>
      <c r="G21" s="154" t="str">
        <f t="shared" si="67"/>
        <v>Amanda Heslegrave</v>
      </c>
      <c r="H21" s="154" t="str">
        <f t="shared" si="68"/>
        <v>V</v>
      </c>
      <c r="I21" s="154">
        <f t="shared" si="69"/>
        <v>19</v>
      </c>
      <c r="J21" s="154" t="str">
        <f t="shared" si="70"/>
        <v>Sally Bridge</v>
      </c>
      <c r="K21" s="154" t="str">
        <f t="shared" si="71"/>
        <v>V</v>
      </c>
      <c r="L21" s="154">
        <f t="shared" si="72"/>
        <v>26</v>
      </c>
      <c r="M21" s="154" t="str">
        <f t="shared" si="73"/>
        <v>Faye Spooner</v>
      </c>
      <c r="N21" s="154" t="str">
        <f t="shared" si="74"/>
        <v>V</v>
      </c>
      <c r="O21" s="154">
        <f t="shared" si="75"/>
        <v>35</v>
      </c>
      <c r="P21" s="154" t="str">
        <f t="shared" si="76"/>
        <v>Charlotte Owen</v>
      </c>
      <c r="Q21" s="154" t="str">
        <f t="shared" si="77"/>
        <v>S</v>
      </c>
      <c r="R21" s="154">
        <f t="shared" si="78"/>
        <v>42</v>
      </c>
      <c r="Z21" s="154" t="str">
        <f>CONCATENATE(AE21,Times!AD21)</f>
        <v>VMEton Manor AC</v>
      </c>
      <c r="AA21" s="154" t="str">
        <f>Times!AD21</f>
        <v>MEton Manor AC</v>
      </c>
      <c r="AB21" s="154" t="str">
        <f>IF(AK21="Y",CONCATENATE(AA21,COUNTIFS($AK$2:AK21,"=Y",$AA$2:AA21,AA21)),"")</f>
        <v>MEton Manor AC1</v>
      </c>
      <c r="AC21" s="154" t="str">
        <f>Times!K21</f>
        <v>Paul Boddey</v>
      </c>
      <c r="AD21" s="154">
        <f>Times!G21</f>
        <v>19</v>
      </c>
      <c r="AE21" s="154" t="str">
        <f>IF(Times!D21&lt;&gt;"",IF(ISERR(SEARCH("V",Times!I21,1)),IF(ISERR(SEARCH("S",Times!I21,1)),"S","S"),"V"),"")</f>
        <v>V</v>
      </c>
      <c r="AF21" s="161">
        <f>IF(Times!D21&lt;&gt;"",SUMIFS(Times!$G$2:G21,$AA$2:AA21,AA21,$AK$2:AK21,"Y"),"")</f>
        <v>19</v>
      </c>
      <c r="AG21" s="154" t="str">
        <f>IF(Times!D21&lt;&gt;"",IF(AND(Times!J21="M",AI21+AL21=AM21,AK21="Y"),AF21,""),"")</f>
        <v/>
      </c>
      <c r="AH21" s="154" t="str">
        <f>IF(Times!D21&lt;&gt;"",IF(AND(Times!J21="F",AI21+AL21=AM21,AK21="Y"),AF21,""),"")</f>
        <v/>
      </c>
      <c r="AI21" s="154">
        <f>COUNTIF(Z$2:Z21,CONCATENATE("V",AA21))</f>
        <v>1</v>
      </c>
      <c r="AJ21" s="154">
        <f>COUNTIF(Z$2:Z21,CONCATENATE("S",AA21))</f>
        <v>0</v>
      </c>
      <c r="AK21" s="154" t="str">
        <f t="shared" si="0"/>
        <v>Y</v>
      </c>
      <c r="AL21" s="154">
        <f>IF(AND(Times!J21="M",AJ21&gt;3),3, IF(AND(Times!J21="F",AJ21&gt;2),2,AJ21))</f>
        <v>0</v>
      </c>
      <c r="AM21" s="154">
        <f>IF(Times!J21="M",6, IF(Times!J21="F",4,""))</f>
        <v>6</v>
      </c>
      <c r="AN21" s="154" t="str">
        <f t="shared" si="1"/>
        <v/>
      </c>
      <c r="AO21" s="154" t="str">
        <f t="shared" si="2"/>
        <v/>
      </c>
      <c r="AS21" s="154" t="str">
        <f t="shared" si="79"/>
        <v>F2</v>
      </c>
      <c r="AT21" s="163" t="s">
        <v>108</v>
      </c>
      <c r="AU21" s="154">
        <f t="shared" si="49"/>
        <v>4</v>
      </c>
      <c r="AV21" s="154">
        <f t="shared" si="80"/>
        <v>58</v>
      </c>
      <c r="AW21" s="154" t="str">
        <f t="shared" si="50"/>
        <v>Breege Nordin</v>
      </c>
      <c r="AX21" s="154" t="str">
        <f t="shared" si="51"/>
        <v>V</v>
      </c>
      <c r="AY21" s="154">
        <f t="shared" si="52"/>
        <v>7</v>
      </c>
      <c r="AZ21" s="154" t="str">
        <f t="shared" si="53"/>
        <v>Carlie Qirem</v>
      </c>
      <c r="BA21" s="154" t="str">
        <f t="shared" si="54"/>
        <v>S</v>
      </c>
      <c r="BB21" s="154">
        <f t="shared" si="55"/>
        <v>9</v>
      </c>
      <c r="BC21" s="154" t="str">
        <f t="shared" si="56"/>
        <v>Jenni Sheehan</v>
      </c>
      <c r="BD21" s="154" t="str">
        <f t="shared" si="57"/>
        <v>S</v>
      </c>
      <c r="BE21" s="154">
        <f t="shared" si="58"/>
        <v>14</v>
      </c>
      <c r="BF21" s="154" t="str">
        <f t="shared" si="59"/>
        <v>Nicola Hopkinson</v>
      </c>
      <c r="BG21" s="154" t="str">
        <f t="shared" si="60"/>
        <v>V</v>
      </c>
      <c r="BH21" s="154">
        <f t="shared" si="61"/>
        <v>28</v>
      </c>
      <c r="BO21" s="154">
        <f t="shared" si="81"/>
        <v>158</v>
      </c>
      <c r="BP21" s="160">
        <f t="shared" si="82"/>
        <v>2</v>
      </c>
      <c r="BQ21" s="154">
        <f>(COUNTIF($BP21:BP$23,BP21)+-1)*0.1+BP21</f>
        <v>2</v>
      </c>
    </row>
    <row r="22" spans="1:69" x14ac:dyDescent="0.25">
      <c r="A22" s="160">
        <v>7</v>
      </c>
      <c r="B22" s="160">
        <f t="shared" si="62"/>
        <v>7</v>
      </c>
      <c r="C22" s="154" t="str">
        <f t="shared" si="63"/>
        <v>East End Road Runners</v>
      </c>
      <c r="D22" s="160">
        <f t="shared" si="64"/>
        <v>7</v>
      </c>
      <c r="E22" s="154">
        <f t="shared" si="65"/>
        <v>4</v>
      </c>
      <c r="F22" s="154">
        <f t="shared" si="66"/>
        <v>145</v>
      </c>
      <c r="G22" s="154" t="str">
        <f t="shared" si="67"/>
        <v>Megan Davies</v>
      </c>
      <c r="H22" s="154" t="str">
        <f t="shared" si="68"/>
        <v>S</v>
      </c>
      <c r="I22" s="154">
        <f t="shared" si="69"/>
        <v>17</v>
      </c>
      <c r="J22" s="154" t="str">
        <f t="shared" si="70"/>
        <v>Sarah Bemand</v>
      </c>
      <c r="K22" s="154" t="str">
        <f t="shared" si="71"/>
        <v>V</v>
      </c>
      <c r="L22" s="154">
        <f t="shared" si="72"/>
        <v>36</v>
      </c>
      <c r="M22" s="154" t="str">
        <f t="shared" si="73"/>
        <v>Catherine Jane Apps</v>
      </c>
      <c r="N22" s="154" t="str">
        <f t="shared" si="74"/>
        <v>V</v>
      </c>
      <c r="O22" s="154">
        <f t="shared" si="75"/>
        <v>38</v>
      </c>
      <c r="P22" s="154" t="str">
        <f t="shared" si="76"/>
        <v>Katie Self</v>
      </c>
      <c r="Q22" s="154" t="str">
        <f t="shared" si="77"/>
        <v>S</v>
      </c>
      <c r="R22" s="154">
        <f t="shared" si="78"/>
        <v>54</v>
      </c>
      <c r="Z22" s="154" t="str">
        <f>CONCATENATE(AE22,Times!AD22)</f>
        <v>VMIlford AC</v>
      </c>
      <c r="AA22" s="154" t="str">
        <f>Times!AD22</f>
        <v>MIlford AC</v>
      </c>
      <c r="AB22" s="154" t="str">
        <f>IF(AK22="Y",CONCATENATE(AA22,COUNTIFS($AK$2:AK22,"=Y",$AA$2:AA22,AA22)),"")</f>
        <v>MIlford AC6</v>
      </c>
      <c r="AC22" s="154" t="str">
        <f>Times!K22</f>
        <v>stephen philcox</v>
      </c>
      <c r="AD22" s="154">
        <f>Times!G22</f>
        <v>20</v>
      </c>
      <c r="AE22" s="154" t="str">
        <f>IF(Times!D22&lt;&gt;"",IF(ISERR(SEARCH("V",Times!I22,1)),IF(ISERR(SEARCH("S",Times!I22,1)),"S","S"),"V"),"")</f>
        <v>V</v>
      </c>
      <c r="AF22" s="161">
        <f>IF(Times!D22&lt;&gt;"",SUMIFS(Times!$G$2:G22,$AA$2:AA22,AA22,$AK$2:AK22,"Y"),"")</f>
        <v>56</v>
      </c>
      <c r="AG22" s="154">
        <f>IF(Times!D22&lt;&gt;"",IF(AND(Times!J22="M",AI22+AL22=AM22,AK22="Y"),AF22,""),"")</f>
        <v>56</v>
      </c>
      <c r="AH22" s="154" t="str">
        <f>IF(Times!D22&lt;&gt;"",IF(AND(Times!J22="F",AI22+AL22=AM22,AK22="Y"),AF22,""),"")</f>
        <v/>
      </c>
      <c r="AI22" s="154">
        <f>COUNTIF(Z$2:Z22,CONCATENATE("V",AA22))</f>
        <v>3</v>
      </c>
      <c r="AJ22" s="154">
        <f>COUNTIF(Z$2:Z22,CONCATENATE("S",AA22))</f>
        <v>3</v>
      </c>
      <c r="AK22" s="154" t="str">
        <f t="shared" si="0"/>
        <v>Y</v>
      </c>
      <c r="AL22" s="154">
        <f>IF(AND(Times!J22="M",AJ22&gt;3),3, IF(AND(Times!J22="F",AJ22&gt;2),2,AJ22))</f>
        <v>3</v>
      </c>
      <c r="AM22" s="154">
        <f>IF(Times!J22="M",6, IF(Times!J22="F",4,""))</f>
        <v>6</v>
      </c>
      <c r="AN22" s="154">
        <f t="shared" si="1"/>
        <v>1</v>
      </c>
      <c r="AO22" s="154" t="str">
        <f t="shared" si="2"/>
        <v/>
      </c>
      <c r="AS22" s="154" t="str">
        <f t="shared" si="79"/>
        <v>F3</v>
      </c>
      <c r="AT22" s="163" t="s">
        <v>14</v>
      </c>
      <c r="AU22" s="154">
        <f t="shared" si="49"/>
        <v>4</v>
      </c>
      <c r="AV22" s="154">
        <f t="shared" si="80"/>
        <v>59</v>
      </c>
      <c r="AW22" s="154" t="str">
        <f t="shared" si="50"/>
        <v>Alison Taylor</v>
      </c>
      <c r="AX22" s="154" t="str">
        <f t="shared" si="51"/>
        <v>V</v>
      </c>
      <c r="AY22" s="154">
        <f t="shared" si="52"/>
        <v>8</v>
      </c>
      <c r="AZ22" s="154" t="str">
        <f t="shared" si="53"/>
        <v>Christine Inch</v>
      </c>
      <c r="BA22" s="154" t="str">
        <f t="shared" si="54"/>
        <v>V</v>
      </c>
      <c r="BB22" s="154">
        <f t="shared" si="55"/>
        <v>12</v>
      </c>
      <c r="BC22" s="154" t="str">
        <f t="shared" si="56"/>
        <v>Mary Armitage</v>
      </c>
      <c r="BD22" s="154" t="str">
        <f t="shared" si="57"/>
        <v>V</v>
      </c>
      <c r="BE22" s="154">
        <f t="shared" si="58"/>
        <v>16</v>
      </c>
      <c r="BF22" s="154" t="str">
        <f t="shared" si="59"/>
        <v>Frances Wilson</v>
      </c>
      <c r="BG22" s="154" t="str">
        <f t="shared" si="60"/>
        <v>V</v>
      </c>
      <c r="BH22" s="154">
        <f t="shared" si="61"/>
        <v>23</v>
      </c>
      <c r="BO22" s="154">
        <f t="shared" si="81"/>
        <v>159</v>
      </c>
      <c r="BP22" s="160">
        <f t="shared" si="82"/>
        <v>3</v>
      </c>
      <c r="BQ22" s="154">
        <f>(COUNTIF($BP22:BP$23,BP22)+-1)*0.1+BP22</f>
        <v>3</v>
      </c>
    </row>
    <row r="23" spans="1:69" x14ac:dyDescent="0.25">
      <c r="A23" s="160">
        <v>8</v>
      </c>
      <c r="B23" s="160">
        <f t="shared" si="62"/>
        <v>8</v>
      </c>
      <c r="C23" s="154" t="str">
        <f t="shared" si="63"/>
        <v>Havering 90 Joggers</v>
      </c>
      <c r="D23" s="160">
        <f t="shared" si="64"/>
        <v>8</v>
      </c>
      <c r="E23" s="154">
        <f t="shared" si="65"/>
        <v>4</v>
      </c>
      <c r="F23" s="154">
        <f t="shared" si="66"/>
        <v>203</v>
      </c>
      <c r="G23" s="154" t="str">
        <f t="shared" si="67"/>
        <v>Kate Pettit</v>
      </c>
      <c r="H23" s="154" t="str">
        <f t="shared" si="68"/>
        <v>V</v>
      </c>
      <c r="I23" s="154">
        <f t="shared" si="69"/>
        <v>44</v>
      </c>
      <c r="J23" s="154" t="str">
        <f t="shared" si="70"/>
        <v>Emma Bolton</v>
      </c>
      <c r="K23" s="154" t="str">
        <f t="shared" si="71"/>
        <v>V</v>
      </c>
      <c r="L23" s="154">
        <f t="shared" si="72"/>
        <v>47</v>
      </c>
      <c r="M23" s="154" t="str">
        <f t="shared" si="73"/>
        <v>Amanda Keasley</v>
      </c>
      <c r="N23" s="154" t="str">
        <f t="shared" si="74"/>
        <v>V</v>
      </c>
      <c r="O23" s="154">
        <f t="shared" si="75"/>
        <v>53</v>
      </c>
      <c r="P23" s="154" t="str">
        <f t="shared" si="76"/>
        <v>Michele Sullivan</v>
      </c>
      <c r="Q23" s="154" t="str">
        <f t="shared" si="77"/>
        <v>V</v>
      </c>
      <c r="R23" s="154">
        <f t="shared" si="78"/>
        <v>59</v>
      </c>
      <c r="Z23" s="154" t="str">
        <f>CONCATENATE(AE23,Times!AD23)</f>
        <v>VMEast End Road Runners</v>
      </c>
      <c r="AA23" s="154" t="str">
        <f>Times!AD23</f>
        <v>MEast End Road Runners</v>
      </c>
      <c r="AB23" s="154" t="str">
        <f>IF(AK23="Y",CONCATENATE(AA23,COUNTIFS($AK$2:AK23,"=Y",$AA$2:AA23,AA23)),"")</f>
        <v>MEast End Road Runners2</v>
      </c>
      <c r="AC23" s="154" t="str">
        <f>Times!K23</f>
        <v>Simon Leung-Chester</v>
      </c>
      <c r="AD23" s="154">
        <f>Times!G23</f>
        <v>21</v>
      </c>
      <c r="AE23" s="154" t="str">
        <f>IF(Times!D23&lt;&gt;"",IF(ISERR(SEARCH("V",Times!I23,1)),IF(ISERR(SEARCH("S",Times!I23,1)),"S","S"),"V"),"")</f>
        <v>V</v>
      </c>
      <c r="AF23" s="161">
        <f>IF(Times!D23&lt;&gt;"",SUMIFS(Times!$G$2:G23,$AA$2:AA23,AA23,$AK$2:AK23,"Y"),"")</f>
        <v>38</v>
      </c>
      <c r="AG23" s="154" t="str">
        <f>IF(Times!D23&lt;&gt;"",IF(AND(Times!J23="M",AI23+AL23=AM23,AK23="Y"),AF23,""),"")</f>
        <v/>
      </c>
      <c r="AH23" s="154" t="str">
        <f>IF(Times!D23&lt;&gt;"",IF(AND(Times!J23="F",AI23+AL23=AM23,AK23="Y"),AF23,""),"")</f>
        <v/>
      </c>
      <c r="AI23" s="154">
        <f>COUNTIF(Z$2:Z23,CONCATENATE("V",AA23))</f>
        <v>1</v>
      </c>
      <c r="AJ23" s="154">
        <f>COUNTIF(Z$2:Z23,CONCATENATE("S",AA23))</f>
        <v>1</v>
      </c>
      <c r="AK23" s="154" t="str">
        <f t="shared" si="0"/>
        <v>Y</v>
      </c>
      <c r="AL23" s="154">
        <f>IF(AND(Times!J23="M",AJ23&gt;3),3, IF(AND(Times!J23="F",AJ23&gt;2),2,AJ23))</f>
        <v>1</v>
      </c>
      <c r="AM23" s="154">
        <f>IF(Times!J23="M",6, IF(Times!J23="F",4,""))</f>
        <v>6</v>
      </c>
      <c r="AN23" s="154" t="str">
        <f t="shared" si="1"/>
        <v/>
      </c>
      <c r="AO23" s="154" t="str">
        <f t="shared" si="2"/>
        <v/>
      </c>
      <c r="AS23" s="154" t="str">
        <f t="shared" si="79"/>
        <v>F5</v>
      </c>
      <c r="AT23" s="163" t="s">
        <v>1805</v>
      </c>
      <c r="AU23" s="154">
        <f>COUNTIFS($AK$2:$AK$501,"=y",$AA$2:$AA$501,CONCATENATE("F",AT23))</f>
        <v>4</v>
      </c>
      <c r="AV23" s="154">
        <f>SUM(AY23+BB23+BE23+BH23+BK23+BN23)</f>
        <v>97</v>
      </c>
      <c r="AW23" s="154" t="str">
        <f>IF(ISNA(VLOOKUP(CONCATENATE("F",AT23,1),Elvis_Team,2,FALSE)),IF(ISNA(VLOOKUP(CONCATENATE("F",AT23,1),Elvis_Team,2,FALSE)),"No Runner",VLOOKUP(CONCATENATE("F",AT23,1),Elvis_Team,2,FALSE)),VLOOKUP(CONCATENATE("F",AT23,1),Elvis_Team,2,FALSE))</f>
        <v>Linda Day</v>
      </c>
      <c r="AX23" s="154" t="str">
        <f>IF(ISNA(VLOOKUP(CONCATENATE("F",AT23,1),Elvis_Team,4,FALSE)),IF(ISNA(VLOOKUP(CONCATENATE("F",AT23,1),Elvis_Team,4,FALSE)),"",VLOOKUP(CONCATENATE("F",AT23,1),Elvis_Team,4,FALSE)),VLOOKUP(CONCATENATE("F",AT23,1),Elvis_Team,4,FALSE))</f>
        <v>V</v>
      </c>
      <c r="AY23" s="154">
        <f>IF(ISNA(VLOOKUP(CONCATENATE("F",AT23,1),Elvis_Team,3,FALSE)),IF(ISNA(VLOOKUP(CONCATENATE("F",AT23,1),Elvis_Team,3,FALSE)),$AT$27-AU23+1,VLOOKUP(CONCATENATE("F",AT23,1),Elvis_Team,3,FALSE)),VLOOKUP(CONCATENATE("F",AT23,1),Elvis_Team,3,FALSE))</f>
        <v>10</v>
      </c>
      <c r="AZ23" s="154" t="str">
        <f>IF(ISNA(VLOOKUP(CONCATENATE("F",AT23,2),Elvis_Team,2,FALSE)),IF(ISNA(VLOOKUP(CONCATENATE("F",AT23,2),Elvis_Team,2,FALSE)),"No Runner",VLOOKUP(CONCATENATE("F",AT23,2),Elvis_Team,2,FALSE)),VLOOKUP(CONCATENATE("F",AT23,2),Elvis_Team,2,FALSE))</f>
        <v>Rosie Hatch</v>
      </c>
      <c r="BA23" s="154" t="str">
        <f>IF(ISNA(VLOOKUP(CONCATENATE("F",AT23,2),Elvis_Team,4,FALSE)),IF(ISNA(VLOOKUP(CONCATENATE("F",AT23,2),Elvis_Team,4,FALSE)),"",VLOOKUP(CONCATENATE("F",AT23,2),Elvis_Team,4,FALSE)),VLOOKUP(CONCATENATE("F",AT23,2),Elvis_Team,4,FALSE))</f>
        <v>S</v>
      </c>
      <c r="BB23" s="154">
        <f>IF(ISNA(VLOOKUP(CONCATENATE("F",AT23,2),Elvis_Team,3,FALSE)),IF(ISNA(VLOOKUP(CONCATENATE("F",AT23,2),Elvis_Team,3,FALSE)),$AT$27-AU23+2,VLOOKUP(CONCATENATE("F",AT23,2),Elvis_Team,3,FALSE)),VLOOKUP(CONCATENATE("F",AT23,2),Elvis_Team,3,FALSE))</f>
        <v>15</v>
      </c>
      <c r="BC23" s="154" t="str">
        <f>IF(ISNA(VLOOKUP(CONCATENATE("F",AT23,3),Elvis_Team,2,FALSE)),IF(ISNA(VLOOKUP(CONCATENATE("F",AT23,3),Elvis_Team,2,FALSE)),"No Runner",VLOOKUP(CONCATENATE("F",AT23,3),Elvis_Team,2,FALSE)),VLOOKUP(CONCATENATE("F",AT23,3),Elvis_Team,2,FALSE))</f>
        <v>Ruth Quince</v>
      </c>
      <c r="BD23" s="154" t="str">
        <f>IF(ISNA(VLOOKUP(CONCATENATE("F",AT23,3),Elvis_Team,4,FALSE)),IF(ISNA(VLOOKUP(CONCATENATE("F",AT23,3),Elvis_Team,4,FALSE)),"",VLOOKUP(CONCATENATE("F",AT23,3),Elvis_Team,4,FALSE)),VLOOKUP(CONCATENATE("F",AT23,3),Elvis_Team,4,FALSE))</f>
        <v>V</v>
      </c>
      <c r="BE23" s="154">
        <f>IF(ISNA(VLOOKUP(CONCATENATE("F",AT23,3),Elvis_Team,3,FALSE)),IF(ISNA(VLOOKUP(CONCATENATE("F",AT23,3),Elvis_Team,3,FALSE)),$AT$27-AU23+3,VLOOKUP(CONCATENATE("F",AT23,3),Elvis_Team,3,FALSE)),VLOOKUP(CONCATENATE("F",AT23,3),Elvis_Team,3,FALSE))</f>
        <v>21</v>
      </c>
      <c r="BF23" s="154" t="str">
        <f t="shared" si="59"/>
        <v>Helen Jenner</v>
      </c>
      <c r="BG23" s="154" t="str">
        <f>IF(ISNA(VLOOKUP(CONCATENATE("F",AT11,4),Elvis_Team,4,FALSE)),IF(ISNA(VLOOKUP(CONCATENATE("F",AT11,4),Elvis_Team,4,FALSE)),"",VLOOKUP(CONCATENATE("F",AT11,4),Elvis_Team,4,FALSE)),VLOOKUP(CONCATENATE("F",AT11,4),Elvis_Team,4,FALSE))</f>
        <v>V</v>
      </c>
      <c r="BH23" s="154">
        <f>IF(ISNA(VLOOKUP(CONCATENATE("F",AT23,4),Elvis_Team,3,FALSE)),IF(ISNA(VLOOKUP(CONCATENATE("F",AT23,4),Elvis_Team,3,FALSE)),$AT$27-AU23+4,VLOOKUP(CONCATENATE("F",AT23,4),Elvis_Team,3,FALSE)),VLOOKUP(CONCATENATE("F",AT23,4),Elvis_Team,3,FALSE))</f>
        <v>51</v>
      </c>
      <c r="BO23" s="154">
        <f t="shared" si="81"/>
        <v>197</v>
      </c>
      <c r="BP23" s="160">
        <f t="shared" si="82"/>
        <v>5</v>
      </c>
      <c r="BQ23" s="154">
        <f>(COUNTIF($BP23:BP$23,BP23)+-1)*0.1+BP23</f>
        <v>5</v>
      </c>
    </row>
    <row r="24" spans="1:69" x14ac:dyDescent="0.25">
      <c r="A24" s="154">
        <v>9</v>
      </c>
      <c r="B24" s="160">
        <f>SMALL($BQ$15:$BQ$23,A24)</f>
        <v>9</v>
      </c>
      <c r="C24" s="154" t="str">
        <f t="shared" si="63"/>
        <v>Dagenham 88 Runners</v>
      </c>
      <c r="D24" s="160">
        <f t="shared" si="64"/>
        <v>9</v>
      </c>
      <c r="E24" s="154">
        <f t="shared" si="65"/>
        <v>4</v>
      </c>
      <c r="F24" s="154">
        <f t="shared" si="66"/>
        <v>217</v>
      </c>
      <c r="G24" s="154" t="str">
        <f t="shared" si="67"/>
        <v>Hannah Sheikh</v>
      </c>
      <c r="H24" s="154" t="str">
        <f t="shared" si="68"/>
        <v>V</v>
      </c>
      <c r="I24" s="154">
        <f t="shared" si="69"/>
        <v>22</v>
      </c>
      <c r="J24" s="154" t="str">
        <f t="shared" si="70"/>
        <v>Louise Chappell</v>
      </c>
      <c r="K24" s="154" t="str">
        <f t="shared" si="71"/>
        <v>V</v>
      </c>
      <c r="L24" s="154">
        <f t="shared" si="72"/>
        <v>48</v>
      </c>
      <c r="M24" s="154" t="str">
        <f t="shared" si="73"/>
        <v>Rosina Salmon</v>
      </c>
      <c r="N24" s="154" t="str">
        <f t="shared" si="74"/>
        <v>V</v>
      </c>
      <c r="O24" s="154">
        <f t="shared" si="75"/>
        <v>67</v>
      </c>
      <c r="P24" s="154" t="str">
        <f t="shared" si="76"/>
        <v>Selon Timi Veerasamy</v>
      </c>
      <c r="Q24" s="154" t="str">
        <f t="shared" si="77"/>
        <v>V</v>
      </c>
      <c r="R24" s="154">
        <f t="shared" si="78"/>
        <v>80</v>
      </c>
      <c r="Z24" s="154" t="str">
        <f>CONCATENATE(AE24,Times!AD24)</f>
        <v>SMEast London Runners</v>
      </c>
      <c r="AA24" s="154" t="str">
        <f>Times!AD24</f>
        <v>MEast London Runners</v>
      </c>
      <c r="AB24" s="154" t="str">
        <f>IF(AK24="Y",CONCATENATE(AA24,COUNTIFS($AK$2:AK24,"=Y",$AA$2:AA24,AA24)),"")</f>
        <v/>
      </c>
      <c r="AC24" s="154" t="str">
        <f>Times!K24</f>
        <v>Spencer Evans</v>
      </c>
      <c r="AD24" s="154">
        <f>Times!G24</f>
        <v>22</v>
      </c>
      <c r="AE24" s="154" t="str">
        <f>IF(Times!D24&lt;&gt;"",IF(ISERR(SEARCH("V",Times!I24,1)),IF(ISERR(SEARCH("S",Times!I24,1)),"S","S"),"V"),"")</f>
        <v>S</v>
      </c>
      <c r="AF24" s="161">
        <f>IF(Times!D24&lt;&gt;"",SUMIFS(Times!$G$2:G24,$AA$2:AA24,AA24,$AK$2:AK24,"Y"),"")</f>
        <v>29</v>
      </c>
      <c r="AG24" s="154" t="str">
        <f>IF(Times!D24&lt;&gt;"",IF(AND(Times!J24="M",AI24+AL24=AM24,AK24="Y"),AF24,""),"")</f>
        <v/>
      </c>
      <c r="AH24" s="154" t="str">
        <f>IF(Times!D24&lt;&gt;"",IF(AND(Times!J24="F",AI24+AL24=AM24,AK24="Y"),AF24,""),"")</f>
        <v/>
      </c>
      <c r="AI24" s="154">
        <f>COUNTIF(Z$2:Z24,CONCATENATE("V",AA24))</f>
        <v>1</v>
      </c>
      <c r="AJ24" s="154">
        <f>COUNTIF(Z$2:Z24,CONCATENATE("S",AA24))</f>
        <v>6</v>
      </c>
      <c r="AK24" s="154" t="str">
        <f t="shared" si="0"/>
        <v>N</v>
      </c>
      <c r="AL24" s="154">
        <f>IF(AND(Times!J24="M",AJ24&gt;3),3, IF(AND(Times!J24="F",AJ24&gt;2),2,AJ24))</f>
        <v>3</v>
      </c>
      <c r="AM24" s="154">
        <f>IF(Times!J24="M",6, IF(Times!J24="F",4,""))</f>
        <v>6</v>
      </c>
      <c r="AN24" s="154" t="str">
        <f t="shared" si="1"/>
        <v/>
      </c>
      <c r="AO24" s="154" t="str">
        <f t="shared" si="2"/>
        <v/>
      </c>
    </row>
    <row r="25" spans="1:69" x14ac:dyDescent="0.25">
      <c r="Z25" s="154" t="str">
        <f>CONCATENATE(AE25,Times!AD25)</f>
        <v>SMEast London Runners</v>
      </c>
      <c r="AA25" s="154" t="str">
        <f>Times!AD25</f>
        <v>MEast London Runners</v>
      </c>
      <c r="AB25" s="154" t="str">
        <f>IF(AK25="Y",CONCATENATE(AA25,COUNTIFS($AK$2:AK25,"=Y",$AA$2:AA25,AA25)),"")</f>
        <v/>
      </c>
      <c r="AC25" s="154" t="str">
        <f>Times!K25</f>
        <v>Patrick Brown</v>
      </c>
      <c r="AD25" s="154">
        <f>Times!G25</f>
        <v>23</v>
      </c>
      <c r="AE25" s="154" t="str">
        <f>IF(Times!D25&lt;&gt;"",IF(ISERR(SEARCH("V",Times!I25,1)),IF(ISERR(SEARCH("S",Times!I25,1)),"S","S"),"V"),"")</f>
        <v>S</v>
      </c>
      <c r="AF25" s="161">
        <f>IF(Times!D25&lt;&gt;"",SUMIFS(Times!$G$2:G25,$AA$2:AA25,AA25,$AK$2:AK25,"Y"),"")</f>
        <v>29</v>
      </c>
      <c r="AG25" s="154" t="str">
        <f>IF(Times!D25&lt;&gt;"",IF(AND(Times!J25="M",AI25+AL25=AM25,AK25="Y"),AF25,""),"")</f>
        <v/>
      </c>
      <c r="AH25" s="154" t="str">
        <f>IF(Times!D25&lt;&gt;"",IF(AND(Times!J25="F",AI25+AL25=AM25,AK25="Y"),AF25,""),"")</f>
        <v/>
      </c>
      <c r="AI25" s="154">
        <f>COUNTIF(Z$2:Z25,CONCATENATE("V",AA25))</f>
        <v>1</v>
      </c>
      <c r="AJ25" s="154">
        <f>COUNTIF(Z$2:Z25,CONCATENATE("S",AA25))</f>
        <v>7</v>
      </c>
      <c r="AK25" s="154" t="str">
        <f t="shared" si="0"/>
        <v>N</v>
      </c>
      <c r="AL25" s="154">
        <f>IF(AND(Times!J25="M",AJ25&gt;3),3, IF(AND(Times!J25="F",AJ25&gt;2),2,AJ25))</f>
        <v>3</v>
      </c>
      <c r="AM25" s="154">
        <f>IF(Times!J25="M",6, IF(Times!J25="F",4,""))</f>
        <v>6</v>
      </c>
      <c r="AN25" s="154" t="str">
        <f t="shared" si="1"/>
        <v/>
      </c>
      <c r="AO25" s="154" t="str">
        <f t="shared" si="2"/>
        <v/>
      </c>
      <c r="AS25" s="154" t="s">
        <v>1279</v>
      </c>
      <c r="AT25" s="154">
        <f>COUNTIFS(Times!$J$2:$J$504,"=M")</f>
        <v>184</v>
      </c>
    </row>
    <row r="26" spans="1:69" x14ac:dyDescent="0.25">
      <c r="Z26" s="154" t="str">
        <f>CONCATENATE(AE26,Times!AD26)</f>
        <v>SMEast London Runners</v>
      </c>
      <c r="AA26" s="154" t="str">
        <f>Times!AD26</f>
        <v>MEast London Runners</v>
      </c>
      <c r="AB26" s="154" t="str">
        <f>IF(AK26="Y",CONCATENATE(AA26,COUNTIFS($AK$2:AK26,"=Y",$AA$2:AA26,AA26)),"")</f>
        <v/>
      </c>
      <c r="AC26" s="154" t="str">
        <f>Times!K26</f>
        <v>Aaron Browne</v>
      </c>
      <c r="AD26" s="154">
        <f>Times!G26</f>
        <v>24</v>
      </c>
      <c r="AE26" s="154" t="str">
        <f>IF(Times!D26&lt;&gt;"",IF(ISERR(SEARCH("V",Times!I26,1)),IF(ISERR(SEARCH("S",Times!I26,1)),"S","S"),"V"),"")</f>
        <v>S</v>
      </c>
      <c r="AF26" s="161">
        <f>IF(Times!D26&lt;&gt;"",SUMIFS(Times!$G$2:G26,$AA$2:AA26,AA26,$AK$2:AK26,"Y"),"")</f>
        <v>29</v>
      </c>
      <c r="AG26" s="154" t="str">
        <f>IF(Times!D26&lt;&gt;"",IF(AND(Times!J26="M",AI26+AL26=AM26,AK26="Y"),AF26,""),"")</f>
        <v/>
      </c>
      <c r="AH26" s="154" t="str">
        <f>IF(Times!D26&lt;&gt;"",IF(AND(Times!J26="F",AI26+AL26=AM26,AK26="Y"),AF26,""),"")</f>
        <v/>
      </c>
      <c r="AI26" s="154">
        <f>COUNTIF(Z$2:Z26,CONCATENATE("V",AA26))</f>
        <v>1</v>
      </c>
      <c r="AJ26" s="154">
        <f>COUNTIF(Z$2:Z26,CONCATENATE("S",AA26))</f>
        <v>8</v>
      </c>
      <c r="AK26" s="154" t="str">
        <f t="shared" si="0"/>
        <v>N</v>
      </c>
      <c r="AL26" s="154">
        <f>IF(AND(Times!J26="M",AJ26&gt;3),3, IF(AND(Times!J26="F",AJ26&gt;2),2,AJ26))</f>
        <v>3</v>
      </c>
      <c r="AM26" s="154">
        <f>IF(Times!J26="M",6, IF(Times!J26="F",4,""))</f>
        <v>6</v>
      </c>
      <c r="AN26" s="154" t="str">
        <f t="shared" si="1"/>
        <v/>
      </c>
      <c r="AO26" s="154" t="str">
        <f t="shared" si="2"/>
        <v/>
      </c>
    </row>
    <row r="27" spans="1:69" x14ac:dyDescent="0.25">
      <c r="Z27" s="154" t="str">
        <f>CONCATENATE(AE27,Times!AD27)</f>
        <v>SMIlford AC</v>
      </c>
      <c r="AA27" s="154" t="str">
        <f>Times!AD27</f>
        <v>MIlford AC</v>
      </c>
      <c r="AB27" s="154" t="str">
        <f>IF(AK27="Y",CONCATENATE(AA27,COUNTIFS($AK$2:AK27,"=Y",$AA$2:AA27,AA27)),"")</f>
        <v/>
      </c>
      <c r="AC27" s="154" t="str">
        <f>Times!K27</f>
        <v>John Crawley</v>
      </c>
      <c r="AD27" s="154">
        <f>Times!G27</f>
        <v>25</v>
      </c>
      <c r="AE27" s="154" t="str">
        <f>IF(Times!D27&lt;&gt;"",IF(ISERR(SEARCH("V",Times!I27,1)),IF(ISERR(SEARCH("S",Times!I27,1)),"S","S"),"V"),"")</f>
        <v>S</v>
      </c>
      <c r="AF27" s="161">
        <f>IF(Times!D27&lt;&gt;"",SUMIFS(Times!$G$2:G27,$AA$2:AA27,AA27,$AK$2:AK27,"Y"),"")</f>
        <v>56</v>
      </c>
      <c r="AG27" s="154" t="str">
        <f>IF(Times!D27&lt;&gt;"",IF(AND(Times!J27="M",AI27+AL27=AM27,AK27="Y"),AF27,""),"")</f>
        <v/>
      </c>
      <c r="AH27" s="154" t="str">
        <f>IF(Times!D27&lt;&gt;"",IF(AND(Times!J27="F",AI27+AL27=AM27,AK27="Y"),AF27,""),"")</f>
        <v/>
      </c>
      <c r="AI27" s="154">
        <f>COUNTIF(Z$2:Z27,CONCATENATE("V",AA27))</f>
        <v>3</v>
      </c>
      <c r="AJ27" s="154">
        <f>COUNTIF(Z$2:Z27,CONCATENATE("S",AA27))</f>
        <v>4</v>
      </c>
      <c r="AK27" s="154" t="str">
        <f t="shared" si="0"/>
        <v>N</v>
      </c>
      <c r="AL27" s="154">
        <f>IF(AND(Times!J27="M",AJ27&gt;3),3, IF(AND(Times!J27="F",AJ27&gt;2),2,AJ27))</f>
        <v>3</v>
      </c>
      <c r="AM27" s="154">
        <f>IF(Times!J27="M",6, IF(Times!J27="F",4,""))</f>
        <v>6</v>
      </c>
      <c r="AN27" s="154" t="str">
        <f t="shared" si="1"/>
        <v/>
      </c>
      <c r="AO27" s="154" t="str">
        <f t="shared" si="2"/>
        <v/>
      </c>
      <c r="AS27" s="154" t="s">
        <v>1280</v>
      </c>
      <c r="AT27" s="154">
        <f>COUNTIFS(Times!$J$2:$J$504,"=F")</f>
        <v>121</v>
      </c>
    </row>
    <row r="28" spans="1:69" x14ac:dyDescent="0.25">
      <c r="Z28" s="154" t="str">
        <f>CONCATENATE(AE28,Times!AD28)</f>
        <v>VMEast London Runners</v>
      </c>
      <c r="AA28" s="154" t="str">
        <f>Times!AD28</f>
        <v>MEast London Runners</v>
      </c>
      <c r="AB28" s="154" t="str">
        <f>IF(AK28="Y",CONCATENATE(AA28,COUNTIFS($AK$2:AK28,"=Y",$AA$2:AA28,AA28)),"")</f>
        <v>MEast London Runners5</v>
      </c>
      <c r="AC28" s="154" t="str">
        <f>Times!K28</f>
        <v>Scott McMillan</v>
      </c>
      <c r="AD28" s="154">
        <f>Times!G28</f>
        <v>26</v>
      </c>
      <c r="AE28" s="154" t="str">
        <f>IF(Times!D28&lt;&gt;"",IF(ISERR(SEARCH("V",Times!I28,1)),IF(ISERR(SEARCH("S",Times!I28,1)),"S","S"),"V"),"")</f>
        <v>V</v>
      </c>
      <c r="AF28" s="161">
        <f>IF(Times!D28&lt;&gt;"",SUMIFS(Times!$G$2:G28,$AA$2:AA28,AA28,$AK$2:AK28,"Y"),"")</f>
        <v>55</v>
      </c>
      <c r="AG28" s="154" t="str">
        <f>IF(Times!D28&lt;&gt;"",IF(AND(Times!J28="M",AI28+AL28=AM28,AK28="Y"),AF28,""),"")</f>
        <v/>
      </c>
      <c r="AH28" s="154" t="str">
        <f>IF(Times!D28&lt;&gt;"",IF(AND(Times!J28="F",AI28+AL28=AM28,AK28="Y"),AF28,""),"")</f>
        <v/>
      </c>
      <c r="AI28" s="154">
        <f>COUNTIF(Z$2:Z28,CONCATENATE("V",AA28))</f>
        <v>2</v>
      </c>
      <c r="AJ28" s="154">
        <f>COUNTIF(Z$2:Z28,CONCATENATE("S",AA28))</f>
        <v>8</v>
      </c>
      <c r="AK28" s="154" t="str">
        <f t="shared" si="0"/>
        <v>Y</v>
      </c>
      <c r="AL28" s="154">
        <f>IF(AND(Times!J28="M",AJ28&gt;3),3, IF(AND(Times!J28="F",AJ28&gt;2),2,AJ28))</f>
        <v>3</v>
      </c>
      <c r="AM28" s="154">
        <f>IF(Times!J28="M",6, IF(Times!J28="F",4,""))</f>
        <v>6</v>
      </c>
      <c r="AN28" s="154" t="str">
        <f t="shared" si="1"/>
        <v/>
      </c>
      <c r="AO28" s="154" t="str">
        <f t="shared" si="2"/>
        <v/>
      </c>
    </row>
    <row r="29" spans="1:69" x14ac:dyDescent="0.25">
      <c r="Z29" s="154" t="str">
        <f>CONCATENATE(AE29,Times!AD29)</f>
        <v>SMBarking Road Runners</v>
      </c>
      <c r="AA29" s="154" t="str">
        <f>Times!AD29</f>
        <v>MBarking Road Runners</v>
      </c>
      <c r="AB29" s="154" t="str">
        <f>IF(AK29="Y",CONCATENATE(AA29,COUNTIFS($AK$2:AK29,"=Y",$AA$2:AA29,AA29)),"")</f>
        <v>MBarking Road Runners2</v>
      </c>
      <c r="AC29" s="154" t="str">
        <f>Times!K29</f>
        <v>Philip Ellul</v>
      </c>
      <c r="AD29" s="154">
        <f>Times!G29</f>
        <v>27</v>
      </c>
      <c r="AE29" s="154" t="str">
        <f>IF(Times!D29&lt;&gt;"",IF(ISERR(SEARCH("V",Times!I29,1)),IF(ISERR(SEARCH("S",Times!I29,1)),"S","S"),"V"),"")</f>
        <v>S</v>
      </c>
      <c r="AF29" s="161">
        <f>IF(Times!D29&lt;&gt;"",SUMIFS(Times!$G$2:G29,$AA$2:AA29,AA29,$AK$2:AK29,"Y"),"")</f>
        <v>33</v>
      </c>
      <c r="AG29" s="154" t="str">
        <f>IF(Times!D29&lt;&gt;"",IF(AND(Times!J29="M",AI29+AL29=AM29,AK29="Y"),AF29,""),"")</f>
        <v/>
      </c>
      <c r="AH29" s="154" t="str">
        <f>IF(Times!D29&lt;&gt;"",IF(AND(Times!J29="F",AI29+AL29=AM29,AK29="Y"),AF29,""),"")</f>
        <v/>
      </c>
      <c r="AI29" s="154">
        <f>COUNTIF(Z$2:Z29,CONCATENATE("V",AA29))</f>
        <v>0</v>
      </c>
      <c r="AJ29" s="154">
        <f>COUNTIF(Z$2:Z29,CONCATENATE("S",AA29))</f>
        <v>2</v>
      </c>
      <c r="AK29" s="154" t="str">
        <f t="shared" si="0"/>
        <v>Y</v>
      </c>
      <c r="AL29" s="154">
        <f>IF(AND(Times!J29="M",AJ29&gt;3),3, IF(AND(Times!J29="F",AJ29&gt;2),2,AJ29))</f>
        <v>2</v>
      </c>
      <c r="AM29" s="154">
        <f>IF(Times!J29="M",6, IF(Times!J29="F",4,""))</f>
        <v>6</v>
      </c>
      <c r="AN29" s="154" t="str">
        <f t="shared" si="1"/>
        <v/>
      </c>
      <c r="AO29" s="154" t="str">
        <f t="shared" si="2"/>
        <v/>
      </c>
      <c r="AS29" s="160" t="s">
        <v>1281</v>
      </c>
      <c r="AT29" s="154">
        <f>SUM(AT25,AT27)</f>
        <v>305</v>
      </c>
    </row>
    <row r="30" spans="1:69" x14ac:dyDescent="0.25">
      <c r="Z30" s="154" t="str">
        <f>CONCATENATE(AE30,Times!AD30)</f>
        <v>SFBasildon AC</v>
      </c>
      <c r="AA30" s="154" t="str">
        <f>Times!AD30</f>
        <v>FBasildon AC</v>
      </c>
      <c r="AB30" s="154" t="str">
        <f>IF(AK30="Y",CONCATENATE(AA30,COUNTIFS($AK$2:AK30,"=Y",$AA$2:AA30,AA30)),"")</f>
        <v>FBasildon AC2</v>
      </c>
      <c r="AC30" s="154" t="str">
        <f>Times!K30</f>
        <v xml:space="preserve">Emily Bullis	</v>
      </c>
      <c r="AD30" s="154">
        <f>Times!G30</f>
        <v>2</v>
      </c>
      <c r="AE30" s="154" t="str">
        <f>IF(Times!D30&lt;&gt;"",IF(ISERR(SEARCH("V",Times!I30,1)),IF(ISERR(SEARCH("S",Times!I30,1)),"S","S"),"V"),"")</f>
        <v>S</v>
      </c>
      <c r="AF30" s="161">
        <f>IF(Times!D30&lt;&gt;"",SUMIFS(Times!$G$2:G30,$AA$2:AA30,AA30,$AK$2:AK30,"Y"),"")</f>
        <v>3</v>
      </c>
      <c r="AG30" s="154" t="str">
        <f>IF(Times!D30&lt;&gt;"",IF(AND(Times!J30="M",AI30+AL30=AM30,AK30="Y"),AF30,""),"")</f>
        <v/>
      </c>
      <c r="AH30" s="154" t="str">
        <f>IF(Times!D30&lt;&gt;"",IF(AND(Times!J30="F",AI30+AL30=AM30,AK30="Y"),AF30,""),"")</f>
        <v/>
      </c>
      <c r="AI30" s="154">
        <f>COUNTIF(Z$2:Z30,CONCATENATE("V",AA30))</f>
        <v>0</v>
      </c>
      <c r="AJ30" s="154">
        <f>COUNTIF(Z$2:Z30,CONCATENATE("S",AA30))</f>
        <v>2</v>
      </c>
      <c r="AK30" s="154" t="str">
        <f t="shared" si="0"/>
        <v>Y</v>
      </c>
      <c r="AL30" s="154">
        <f>IF(AND(Times!J30="M",AJ30&gt;3),3, IF(AND(Times!J30="F",AJ30&gt;2),2,AJ30))</f>
        <v>2</v>
      </c>
      <c r="AM30" s="154">
        <f>IF(Times!J30="M",6, IF(Times!J30="F",4,""))</f>
        <v>4</v>
      </c>
      <c r="AN30" s="154" t="str">
        <f t="shared" si="1"/>
        <v/>
      </c>
      <c r="AO30" s="154" t="str">
        <f t="shared" si="2"/>
        <v/>
      </c>
    </row>
    <row r="31" spans="1:69" x14ac:dyDescent="0.25">
      <c r="Z31" s="154" t="str">
        <f>CONCATENATE(AE31,Times!AD31)</f>
        <v>SMHarold Wood Running Club</v>
      </c>
      <c r="AA31" s="154" t="str">
        <f>Times!AD31</f>
        <v>MHarold Wood Running Club</v>
      </c>
      <c r="AB31" s="154" t="str">
        <f>IF(AK31="Y",CONCATENATE(AA31,COUNTIFS($AK$2:AK31,"=Y",$AA$2:AA31,AA31)),"")</f>
        <v>MHarold Wood Running Club2</v>
      </c>
      <c r="AC31" s="154" t="str">
        <f>Times!K31</f>
        <v>Christopher King</v>
      </c>
      <c r="AD31" s="154">
        <f>Times!G31</f>
        <v>28</v>
      </c>
      <c r="AE31" s="154" t="str">
        <f>IF(Times!D31&lt;&gt;"",IF(ISERR(SEARCH("V",Times!I31,1)),IF(ISERR(SEARCH("S",Times!I31,1)),"S","S"),"V"),"")</f>
        <v>S</v>
      </c>
      <c r="AF31" s="161">
        <f>IF(Times!D31&lt;&gt;"",SUMIFS(Times!$G$2:G31,$AA$2:AA31,AA31,$AK$2:AK31,"Y"),"")</f>
        <v>40</v>
      </c>
      <c r="AG31" s="154" t="str">
        <f>IF(Times!D31&lt;&gt;"",IF(AND(Times!J31="M",AI31+AL31=AM31,AK31="Y"),AF31,""),"")</f>
        <v/>
      </c>
      <c r="AH31" s="154" t="str">
        <f>IF(Times!D31&lt;&gt;"",IF(AND(Times!J31="F",AI31+AL31=AM31,AK31="Y"),AF31,""),"")</f>
        <v/>
      </c>
      <c r="AI31" s="154">
        <f>COUNTIF(Z$2:Z31,CONCATENATE("V",AA31))</f>
        <v>0</v>
      </c>
      <c r="AJ31" s="154">
        <f>COUNTIF(Z$2:Z31,CONCATENATE("S",AA31))</f>
        <v>2</v>
      </c>
      <c r="AK31" s="154" t="str">
        <f t="shared" si="0"/>
        <v>Y</v>
      </c>
      <c r="AL31" s="154">
        <f>IF(AND(Times!J31="M",AJ31&gt;3),3, IF(AND(Times!J31="F",AJ31&gt;2),2,AJ31))</f>
        <v>2</v>
      </c>
      <c r="AM31" s="154">
        <f>IF(Times!J31="M",6, IF(Times!J31="F",4,""))</f>
        <v>6</v>
      </c>
      <c r="AN31" s="154" t="str">
        <f t="shared" si="1"/>
        <v/>
      </c>
      <c r="AO31" s="154" t="str">
        <f t="shared" si="2"/>
        <v/>
      </c>
    </row>
    <row r="32" spans="1:69" x14ac:dyDescent="0.25">
      <c r="Z32" s="154" t="str">
        <f>CONCATENATE(AE32,Times!AD32)</f>
        <v>VMEast London Runners</v>
      </c>
      <c r="AA32" s="154" t="str">
        <f>Times!AD32</f>
        <v>MEast London Runners</v>
      </c>
      <c r="AB32" s="154" t="str">
        <f>IF(AK32="Y",CONCATENATE(AA32,COUNTIFS($AK$2:AK32,"=Y",$AA$2:AA32,AA32)),"")</f>
        <v>MEast London Runners6</v>
      </c>
      <c r="AC32" s="154" t="str">
        <f>Times!K32</f>
        <v>Dan Senior</v>
      </c>
      <c r="AD32" s="154">
        <f>Times!G32</f>
        <v>29</v>
      </c>
      <c r="AE32" s="154" t="str">
        <f>IF(Times!D32&lt;&gt;"",IF(ISERR(SEARCH("V",Times!I32,1)),IF(ISERR(SEARCH("S",Times!I32,1)),"S","S"),"V"),"")</f>
        <v>V</v>
      </c>
      <c r="AF32" s="161">
        <f>IF(Times!D32&lt;&gt;"",SUMIFS(Times!$G$2:G32,$AA$2:AA32,AA32,$AK$2:AK32,"Y"),"")</f>
        <v>84</v>
      </c>
      <c r="AG32" s="154">
        <f>IF(Times!D32&lt;&gt;"",IF(AND(Times!J32="M",AI32+AL32=AM32,AK32="Y"),AF32,""),"")</f>
        <v>84</v>
      </c>
      <c r="AH32" s="154" t="str">
        <f>IF(Times!D32&lt;&gt;"",IF(AND(Times!J32="F",AI32+AL32=AM32,AK32="Y"),AF32,""),"")</f>
        <v/>
      </c>
      <c r="AI32" s="154">
        <f>COUNTIF(Z$2:Z32,CONCATENATE("V",AA32))</f>
        <v>3</v>
      </c>
      <c r="AJ32" s="154">
        <f>COUNTIF(Z$2:Z32,CONCATENATE("S",AA32))</f>
        <v>8</v>
      </c>
      <c r="AK32" s="154" t="str">
        <f t="shared" si="0"/>
        <v>Y</v>
      </c>
      <c r="AL32" s="154">
        <f>IF(AND(Times!J32="M",AJ32&gt;3),3, IF(AND(Times!J32="F",AJ32&gt;2),2,AJ32))</f>
        <v>3</v>
      </c>
      <c r="AM32" s="154">
        <f>IF(Times!J32="M",6, IF(Times!J32="F",4,""))</f>
        <v>6</v>
      </c>
      <c r="AN32" s="154">
        <f t="shared" si="1"/>
        <v>2</v>
      </c>
      <c r="AO32" s="154" t="str">
        <f t="shared" si="2"/>
        <v/>
      </c>
    </row>
    <row r="33" spans="26:41" x14ac:dyDescent="0.25">
      <c r="Z33" s="154" t="str">
        <f>CONCATENATE(AE33,Times!AD33)</f>
        <v>VMBarking Road Runners</v>
      </c>
      <c r="AA33" s="154" t="str">
        <f>Times!AD33</f>
        <v>MBarking Road Runners</v>
      </c>
      <c r="AB33" s="154" t="str">
        <f>IF(AK33="Y",CONCATENATE(AA33,COUNTIFS($AK$2:AK33,"=Y",$AA$2:AA33,AA33)),"")</f>
        <v>MBarking Road Runners3</v>
      </c>
      <c r="AC33" s="154" t="str">
        <f>Times!K33</f>
        <v>Diarmuid Mac Donnell</v>
      </c>
      <c r="AD33" s="154">
        <f>Times!G33</f>
        <v>30</v>
      </c>
      <c r="AE33" s="154" t="str">
        <f>IF(Times!D33&lt;&gt;"",IF(ISERR(SEARCH("V",Times!I33,1)),IF(ISERR(SEARCH("S",Times!I33,1)),"S","S"),"V"),"")</f>
        <v>V</v>
      </c>
      <c r="AF33" s="161">
        <f>IF(Times!D33&lt;&gt;"",SUMIFS(Times!$G$2:G33,$AA$2:AA33,AA33,$AK$2:AK33,"Y"),"")</f>
        <v>63</v>
      </c>
      <c r="AG33" s="154" t="str">
        <f>IF(Times!D33&lt;&gt;"",IF(AND(Times!J33="M",AI33+AL33=AM33,AK33="Y"),AF33,""),"")</f>
        <v/>
      </c>
      <c r="AH33" s="154" t="str">
        <f>IF(Times!D33&lt;&gt;"",IF(AND(Times!J33="F",AI33+AL33=AM33,AK33="Y"),AF33,""),"")</f>
        <v/>
      </c>
      <c r="AI33" s="154">
        <f>COUNTIF(Z$2:Z33,CONCATENATE("V",AA33))</f>
        <v>1</v>
      </c>
      <c r="AJ33" s="154">
        <f>COUNTIF(Z$2:Z33,CONCATENATE("S",AA33))</f>
        <v>2</v>
      </c>
      <c r="AK33" s="154" t="str">
        <f t="shared" si="0"/>
        <v>Y</v>
      </c>
      <c r="AL33" s="154">
        <f>IF(AND(Times!J33="M",AJ33&gt;3),3, IF(AND(Times!J33="F",AJ33&gt;2),2,AJ33))</f>
        <v>2</v>
      </c>
      <c r="AM33" s="154">
        <f>IF(Times!J33="M",6, IF(Times!J33="F",4,""))</f>
        <v>6</v>
      </c>
      <c r="AN33" s="154" t="str">
        <f t="shared" si="1"/>
        <v/>
      </c>
      <c r="AO33" s="154" t="str">
        <f t="shared" si="2"/>
        <v/>
      </c>
    </row>
    <row r="34" spans="26:41" x14ac:dyDescent="0.25">
      <c r="Z34" s="154" t="str">
        <f>CONCATENATE(AE34,Times!AD34)</f>
        <v>SMEast London Runners</v>
      </c>
      <c r="AA34" s="154" t="str">
        <f>Times!AD34</f>
        <v>MEast London Runners</v>
      </c>
      <c r="AB34" s="154" t="str">
        <f>IF(AK34="Y",CONCATENATE(AA34,COUNTIFS($AK$2:AK34,"=Y",$AA$2:AA34,AA34)),"")</f>
        <v/>
      </c>
      <c r="AC34" s="154" t="str">
        <f>Times!K34</f>
        <v>James Nichols</v>
      </c>
      <c r="AD34" s="154">
        <f>Times!G34</f>
        <v>31</v>
      </c>
      <c r="AE34" s="154" t="str">
        <f>IF(Times!D34&lt;&gt;"",IF(ISERR(SEARCH("V",Times!I34,1)),IF(ISERR(SEARCH("S",Times!I34,1)),"S","S"),"V"),"")</f>
        <v>S</v>
      </c>
      <c r="AF34" s="161">
        <f>IF(Times!D34&lt;&gt;"",SUMIFS(Times!$G$2:G34,$AA$2:AA34,AA34,$AK$2:AK34,"Y"),"")</f>
        <v>84</v>
      </c>
      <c r="AG34" s="154" t="str">
        <f>IF(Times!D34&lt;&gt;"",IF(AND(Times!J34="M",AI34+AL34=AM34,AK34="Y"),AF34,""),"")</f>
        <v/>
      </c>
      <c r="AH34" s="154" t="str">
        <f>IF(Times!D34&lt;&gt;"",IF(AND(Times!J34="F",AI34+AL34=AM34,AK34="Y"),AF34,""),"")</f>
        <v/>
      </c>
      <c r="AI34" s="154">
        <f>COUNTIF(Z$2:Z34,CONCATENATE("V",AA34))</f>
        <v>3</v>
      </c>
      <c r="AJ34" s="154">
        <f>COUNTIF(Z$2:Z34,CONCATENATE("S",AA34))</f>
        <v>9</v>
      </c>
      <c r="AK34" s="154" t="str">
        <f t="shared" si="0"/>
        <v>N</v>
      </c>
      <c r="AL34" s="154">
        <f>IF(AND(Times!J34="M",AJ34&gt;3),3, IF(AND(Times!J34="F",AJ34&gt;2),2,AJ34))</f>
        <v>3</v>
      </c>
      <c r="AM34" s="154">
        <f>IF(Times!J34="M",6, IF(Times!J34="F",4,""))</f>
        <v>6</v>
      </c>
      <c r="AN34" s="154" t="str">
        <f t="shared" si="1"/>
        <v/>
      </c>
      <c r="AO34" s="154" t="str">
        <f t="shared" si="2"/>
        <v/>
      </c>
    </row>
    <row r="35" spans="26:41" x14ac:dyDescent="0.25">
      <c r="Z35" s="154" t="str">
        <f>CONCATENATE(AE35,Times!AD35)</f>
        <v>SMEast London Runners</v>
      </c>
      <c r="AA35" s="154" t="str">
        <f>Times!AD35</f>
        <v>MEast London Runners</v>
      </c>
      <c r="AB35" s="154" t="str">
        <f>IF(AK35="Y",CONCATENATE(AA35,COUNTIFS($AK$2:AK35,"=Y",$AA$2:AA35,AA35)),"")</f>
        <v/>
      </c>
      <c r="AC35" s="154" t="str">
        <f>Times!K35</f>
        <v>Mark Wyatt</v>
      </c>
      <c r="AD35" s="154">
        <f>Times!G35</f>
        <v>32</v>
      </c>
      <c r="AE35" s="154" t="str">
        <f>IF(Times!D35&lt;&gt;"",IF(ISERR(SEARCH("V",Times!I35,1)),IF(ISERR(SEARCH("S",Times!I35,1)),"S","S"),"V"),"")</f>
        <v>S</v>
      </c>
      <c r="AF35" s="161">
        <f>IF(Times!D35&lt;&gt;"",SUMIFS(Times!$G$2:G35,$AA$2:AA35,AA35,$AK$2:AK35,"Y"),"")</f>
        <v>84</v>
      </c>
      <c r="AG35" s="154" t="str">
        <f>IF(Times!D35&lt;&gt;"",IF(AND(Times!J35="M",AI35+AL35=AM35,AK35="Y"),AF35,""),"")</f>
        <v/>
      </c>
      <c r="AH35" s="154" t="str">
        <f>IF(Times!D35&lt;&gt;"",IF(AND(Times!J35="F",AI35+AL35=AM35,AK35="Y"),AF35,""),"")</f>
        <v/>
      </c>
      <c r="AI35" s="154">
        <f>COUNTIF(Z$2:Z35,CONCATENATE("V",AA35))</f>
        <v>3</v>
      </c>
      <c r="AJ35" s="154">
        <f>COUNTIF(Z$2:Z35,CONCATENATE("S",AA35))</f>
        <v>10</v>
      </c>
      <c r="AK35" s="154" t="str">
        <f t="shared" si="0"/>
        <v>N</v>
      </c>
      <c r="AL35" s="154">
        <f>IF(AND(Times!J35="M",AJ35&gt;3),3, IF(AND(Times!J35="F",AJ35&gt;2),2,AJ35))</f>
        <v>3</v>
      </c>
      <c r="AM35" s="154">
        <f>IF(Times!J35="M",6, IF(Times!J35="F",4,""))</f>
        <v>6</v>
      </c>
      <c r="AN35" s="154" t="str">
        <f t="shared" si="1"/>
        <v/>
      </c>
      <c r="AO35" s="154" t="str">
        <f t="shared" si="2"/>
        <v/>
      </c>
    </row>
    <row r="36" spans="26:41" x14ac:dyDescent="0.25">
      <c r="Z36" s="154" t="str">
        <f>CONCATENATE(AE36,Times!AD36)</f>
        <v>SMIlford AC</v>
      </c>
      <c r="AA36" s="154" t="str">
        <f>Times!AD36</f>
        <v>MIlford AC</v>
      </c>
      <c r="AB36" s="154" t="str">
        <f>IF(AK36="Y",CONCATENATE(AA36,COUNTIFS($AK$2:AK36,"=Y",$AA$2:AA36,AA36)),"")</f>
        <v/>
      </c>
      <c r="AC36" s="154" t="str">
        <f>Times!K36</f>
        <v>Bradley Deacon</v>
      </c>
      <c r="AD36" s="154">
        <f>Times!G36</f>
        <v>33</v>
      </c>
      <c r="AE36" s="154" t="str">
        <f>IF(Times!D36&lt;&gt;"",IF(ISERR(SEARCH("V",Times!I36,1)),IF(ISERR(SEARCH("S",Times!I36,1)),"S","S"),"V"),"")</f>
        <v>S</v>
      </c>
      <c r="AF36" s="161">
        <f>IF(Times!D36&lt;&gt;"",SUMIFS(Times!$G$2:G36,$AA$2:AA36,AA36,$AK$2:AK36,"Y"),"")</f>
        <v>56</v>
      </c>
      <c r="AG36" s="154" t="str">
        <f>IF(Times!D36&lt;&gt;"",IF(AND(Times!J36="M",AI36+AL36=AM36,AK36="Y"),AF36,""),"")</f>
        <v/>
      </c>
      <c r="AH36" s="154" t="str">
        <f>IF(Times!D36&lt;&gt;"",IF(AND(Times!J36="F",AI36+AL36=AM36,AK36="Y"),AF36,""),"")</f>
        <v/>
      </c>
      <c r="AI36" s="154">
        <f>COUNTIF(Z$2:Z36,CONCATENATE("V",AA36))</f>
        <v>3</v>
      </c>
      <c r="AJ36" s="154">
        <f>COUNTIF(Z$2:Z36,CONCATENATE("S",AA36))</f>
        <v>5</v>
      </c>
      <c r="AK36" s="154" t="str">
        <f t="shared" si="0"/>
        <v>N</v>
      </c>
      <c r="AL36" s="154">
        <f>IF(AND(Times!J36="M",AJ36&gt;3),3, IF(AND(Times!J36="F",AJ36&gt;2),2,AJ36))</f>
        <v>3</v>
      </c>
      <c r="AM36" s="154">
        <f>IF(Times!J36="M",6, IF(Times!J36="F",4,""))</f>
        <v>6</v>
      </c>
      <c r="AN36" s="154" t="str">
        <f t="shared" si="1"/>
        <v/>
      </c>
      <c r="AO36" s="154" t="str">
        <f t="shared" si="2"/>
        <v/>
      </c>
    </row>
    <row r="37" spans="26:41" x14ac:dyDescent="0.25">
      <c r="Z37" s="154" t="str">
        <f>CONCATENATE(AE37,Times!AD37)</f>
        <v>VMWoodford Green AC with Essex Ladies</v>
      </c>
      <c r="AA37" s="154" t="str">
        <f>Times!AD37</f>
        <v>MWoodford Green AC with Essex Ladies</v>
      </c>
      <c r="AB37" s="154" t="str">
        <f>IF(AK37="Y",CONCATENATE(AA37,COUNTIFS($AK$2:AK37,"=Y",$AA$2:AA37,AA37)),"")</f>
        <v>MWoodford Green AC with Essex Ladies1</v>
      </c>
      <c r="AC37" s="154" t="str">
        <f>Times!K37</f>
        <v>Dave Cox</v>
      </c>
      <c r="AD37" s="154">
        <f>Times!G37</f>
        <v>34</v>
      </c>
      <c r="AE37" s="154" t="str">
        <f>IF(Times!D37&lt;&gt;"",IF(ISERR(SEARCH("V",Times!I37,1)),IF(ISERR(SEARCH("S",Times!I37,1)),"S","S"),"V"),"")</f>
        <v>V</v>
      </c>
      <c r="AF37" s="161">
        <f>IF(Times!D37&lt;&gt;"",SUMIFS(Times!$G$2:G37,$AA$2:AA37,AA37,$AK$2:AK37,"Y"),"")</f>
        <v>34</v>
      </c>
      <c r="AG37" s="154" t="str">
        <f>IF(Times!D37&lt;&gt;"",IF(AND(Times!J37="M",AI37+AL37=AM37,AK37="Y"),AF37,""),"")</f>
        <v/>
      </c>
      <c r="AH37" s="154" t="str">
        <f>IF(Times!D37&lt;&gt;"",IF(AND(Times!J37="F",AI37+AL37=AM37,AK37="Y"),AF37,""),"")</f>
        <v/>
      </c>
      <c r="AI37" s="154">
        <f>COUNTIF(Z$2:Z37,CONCATENATE("V",AA37))</f>
        <v>1</v>
      </c>
      <c r="AJ37" s="154">
        <f>COUNTIF(Z$2:Z37,CONCATENATE("S",AA37))</f>
        <v>0</v>
      </c>
      <c r="AK37" s="154" t="str">
        <f t="shared" si="0"/>
        <v>Y</v>
      </c>
      <c r="AL37" s="154">
        <f>IF(AND(Times!J37="M",AJ37&gt;3),3, IF(AND(Times!J37="F",AJ37&gt;2),2,AJ37))</f>
        <v>0</v>
      </c>
      <c r="AM37" s="154">
        <f>IF(Times!J37="M",6, IF(Times!J37="F",4,""))</f>
        <v>6</v>
      </c>
      <c r="AN37" s="154" t="str">
        <f t="shared" si="1"/>
        <v/>
      </c>
      <c r="AO37" s="154" t="str">
        <f t="shared" si="2"/>
        <v/>
      </c>
    </row>
    <row r="38" spans="26:41" x14ac:dyDescent="0.25">
      <c r="Z38" s="154" t="str">
        <f>CONCATENATE(AE38,Times!AD38)</f>
        <v>SMHarold Wood Running Club</v>
      </c>
      <c r="AA38" s="154" t="str">
        <f>Times!AD38</f>
        <v>MHarold Wood Running Club</v>
      </c>
      <c r="AB38" s="154" t="str">
        <f>IF(AK38="Y",CONCATENATE(AA38,COUNTIFS($AK$2:AK38,"=Y",$AA$2:AA38,AA38)),"")</f>
        <v>MHarold Wood Running Club3</v>
      </c>
      <c r="AC38" s="154" t="str">
        <f>Times!K38</f>
        <v>James Coker</v>
      </c>
      <c r="AD38" s="154">
        <f>Times!G38</f>
        <v>35</v>
      </c>
      <c r="AE38" s="154" t="str">
        <f>IF(Times!D38&lt;&gt;"",IF(ISERR(SEARCH("V",Times!I38,1)),IF(ISERR(SEARCH("S",Times!I38,1)),"S","S"),"V"),"")</f>
        <v>S</v>
      </c>
      <c r="AF38" s="161">
        <f>IF(Times!D38&lt;&gt;"",SUMIFS(Times!$G$2:G38,$AA$2:AA38,AA38,$AK$2:AK38,"Y"),"")</f>
        <v>75</v>
      </c>
      <c r="AG38" s="154" t="str">
        <f>IF(Times!D38&lt;&gt;"",IF(AND(Times!J38="M",AI38+AL38=AM38,AK38="Y"),AF38,""),"")</f>
        <v/>
      </c>
      <c r="AH38" s="154" t="str">
        <f>IF(Times!D38&lt;&gt;"",IF(AND(Times!J38="F",AI38+AL38=AM38,AK38="Y"),AF38,""),"")</f>
        <v/>
      </c>
      <c r="AI38" s="154">
        <f>COUNTIF(Z$2:Z38,CONCATENATE("V",AA38))</f>
        <v>0</v>
      </c>
      <c r="AJ38" s="154">
        <f>COUNTIF(Z$2:Z38,CONCATENATE("S",AA38))</f>
        <v>3</v>
      </c>
      <c r="AK38" s="154" t="str">
        <f t="shared" si="0"/>
        <v>Y</v>
      </c>
      <c r="AL38" s="154">
        <f>IF(AND(Times!J38="M",AJ38&gt;3),3, IF(AND(Times!J38="F",AJ38&gt;2),2,AJ38))</f>
        <v>3</v>
      </c>
      <c r="AM38" s="154">
        <f>IF(Times!J38="M",6, IF(Times!J38="F",4,""))</f>
        <v>6</v>
      </c>
      <c r="AN38" s="154" t="str">
        <f t="shared" si="1"/>
        <v/>
      </c>
      <c r="AO38" s="154" t="str">
        <f t="shared" si="2"/>
        <v/>
      </c>
    </row>
    <row r="39" spans="26:41" x14ac:dyDescent="0.25">
      <c r="Z39" s="154" t="str">
        <f>CONCATENATE(AE39,Times!AD39)</f>
        <v>SMEton Manor AC</v>
      </c>
      <c r="AA39" s="154" t="str">
        <f>Times!AD39</f>
        <v>MEton Manor AC</v>
      </c>
      <c r="AB39" s="154" t="str">
        <f>IF(AK39="Y",CONCATENATE(AA39,COUNTIFS($AK$2:AK39,"=Y",$AA$2:AA39,AA39)),"")</f>
        <v>MEton Manor AC2</v>
      </c>
      <c r="AC39" s="154" t="str">
        <f>Times!K39</f>
        <v>George Fernandez</v>
      </c>
      <c r="AD39" s="154">
        <f>Times!G39</f>
        <v>36</v>
      </c>
      <c r="AE39" s="154" t="str">
        <f>IF(Times!D39&lt;&gt;"",IF(ISERR(SEARCH("V",Times!I39,1)),IF(ISERR(SEARCH("S",Times!I39,1)),"S","S"),"V"),"")</f>
        <v>S</v>
      </c>
      <c r="AF39" s="161">
        <f>IF(Times!D39&lt;&gt;"",SUMIFS(Times!$G$2:G39,$AA$2:AA39,AA39,$AK$2:AK39,"Y"),"")</f>
        <v>55</v>
      </c>
      <c r="AG39" s="154" t="str">
        <f>IF(Times!D39&lt;&gt;"",IF(AND(Times!J39="M",AI39+AL39=AM39,AK39="Y"),AF39,""),"")</f>
        <v/>
      </c>
      <c r="AH39" s="154" t="str">
        <f>IF(Times!D39&lt;&gt;"",IF(AND(Times!J39="F",AI39+AL39=AM39,AK39="Y"),AF39,""),"")</f>
        <v/>
      </c>
      <c r="AI39" s="154">
        <f>COUNTIF(Z$2:Z39,CONCATENATE("V",AA39))</f>
        <v>1</v>
      </c>
      <c r="AJ39" s="154">
        <f>COUNTIF(Z$2:Z39,CONCATENATE("S",AA39))</f>
        <v>1</v>
      </c>
      <c r="AK39" s="154" t="str">
        <f t="shared" si="0"/>
        <v>Y</v>
      </c>
      <c r="AL39" s="154">
        <f>IF(AND(Times!J39="M",AJ39&gt;3),3, IF(AND(Times!J39="F",AJ39&gt;2),2,AJ39))</f>
        <v>1</v>
      </c>
      <c r="AM39" s="154">
        <f>IF(Times!J39="M",6, IF(Times!J39="F",4,""))</f>
        <v>6</v>
      </c>
      <c r="AN39" s="154" t="str">
        <f t="shared" si="1"/>
        <v/>
      </c>
      <c r="AO39" s="154" t="str">
        <f t="shared" si="2"/>
        <v/>
      </c>
    </row>
    <row r="40" spans="26:41" x14ac:dyDescent="0.25">
      <c r="Z40" s="154" t="str">
        <f>CONCATENATE(AE40,Times!AD40)</f>
        <v>SMEast End Road Runners</v>
      </c>
      <c r="AA40" s="154" t="str">
        <f>Times!AD40</f>
        <v>MEast End Road Runners</v>
      </c>
      <c r="AB40" s="154" t="str">
        <f>IF(AK40="Y",CONCATENATE(AA40,COUNTIFS($AK$2:AK40,"=Y",$AA$2:AA40,AA40)),"")</f>
        <v>MEast End Road Runners3</v>
      </c>
      <c r="AC40" s="154" t="str">
        <f>Times!K40</f>
        <v>Rodney Baldwin</v>
      </c>
      <c r="AD40" s="154">
        <f>Times!G40</f>
        <v>37</v>
      </c>
      <c r="AE40" s="154" t="str">
        <f>IF(Times!D40&lt;&gt;"",IF(ISERR(SEARCH("V",Times!I40,1)),IF(ISERR(SEARCH("S",Times!I40,1)),"S","S"),"V"),"")</f>
        <v>S</v>
      </c>
      <c r="AF40" s="161">
        <f>IF(Times!D40&lt;&gt;"",SUMIFS(Times!$G$2:G40,$AA$2:AA40,AA40,$AK$2:AK40,"Y"),"")</f>
        <v>75</v>
      </c>
      <c r="AG40" s="154" t="str">
        <f>IF(Times!D40&lt;&gt;"",IF(AND(Times!J40="M",AI40+AL40=AM40,AK40="Y"),AF40,""),"")</f>
        <v/>
      </c>
      <c r="AH40" s="154" t="str">
        <f>IF(Times!D40&lt;&gt;"",IF(AND(Times!J40="F",AI40+AL40=AM40,AK40="Y"),AF40,""),"")</f>
        <v/>
      </c>
      <c r="AI40" s="154">
        <f>COUNTIF(Z$2:Z40,CONCATENATE("V",AA40))</f>
        <v>1</v>
      </c>
      <c r="AJ40" s="154">
        <f>COUNTIF(Z$2:Z40,CONCATENATE("S",AA40))</f>
        <v>2</v>
      </c>
      <c r="AK40" s="154" t="str">
        <f t="shared" si="0"/>
        <v>Y</v>
      </c>
      <c r="AL40" s="154">
        <f>IF(AND(Times!J40="M",AJ40&gt;3),3, IF(AND(Times!J40="F",AJ40&gt;2),2,AJ40))</f>
        <v>2</v>
      </c>
      <c r="AM40" s="154">
        <f>IF(Times!J40="M",6, IF(Times!J40="F",4,""))</f>
        <v>6</v>
      </c>
      <c r="AN40" s="154" t="str">
        <f t="shared" si="1"/>
        <v/>
      </c>
      <c r="AO40" s="154" t="str">
        <f t="shared" si="2"/>
        <v/>
      </c>
    </row>
    <row r="41" spans="26:41" x14ac:dyDescent="0.25">
      <c r="Z41" s="154" t="str">
        <f>CONCATENATE(AE41,Times!AD41)</f>
        <v>SMEast London Runners</v>
      </c>
      <c r="AA41" s="154" t="str">
        <f>Times!AD41</f>
        <v>MEast London Runners</v>
      </c>
      <c r="AB41" s="154" t="str">
        <f>IF(AK41="Y",CONCATENATE(AA41,COUNTIFS($AK$2:AK41,"=Y",$AA$2:AA41,AA41)),"")</f>
        <v/>
      </c>
      <c r="AC41" s="154" t="str">
        <f>Times!K41</f>
        <v>Craig Livermore</v>
      </c>
      <c r="AD41" s="154">
        <f>Times!G41</f>
        <v>38</v>
      </c>
      <c r="AE41" s="154" t="str">
        <f>IF(Times!D41&lt;&gt;"",IF(ISERR(SEARCH("V",Times!I41,1)),IF(ISERR(SEARCH("S",Times!I41,1)),"S","S"),"V"),"")</f>
        <v>S</v>
      </c>
      <c r="AF41" s="161">
        <f>IF(Times!D41&lt;&gt;"",SUMIFS(Times!$G$2:G41,$AA$2:AA41,AA41,$AK$2:AK41,"Y"),"")</f>
        <v>84</v>
      </c>
      <c r="AG41" s="154" t="str">
        <f>IF(Times!D41&lt;&gt;"",IF(AND(Times!J41="M",AI41+AL41=AM41,AK41="Y"),AF41,""),"")</f>
        <v/>
      </c>
      <c r="AH41" s="154" t="str">
        <f>IF(Times!D41&lt;&gt;"",IF(AND(Times!J41="F",AI41+AL41=AM41,AK41="Y"),AF41,""),"")</f>
        <v/>
      </c>
      <c r="AI41" s="154">
        <f>COUNTIF(Z$2:Z41,CONCATENATE("V",AA41))</f>
        <v>3</v>
      </c>
      <c r="AJ41" s="154">
        <f>COUNTIF(Z$2:Z41,CONCATENATE("S",AA41))</f>
        <v>11</v>
      </c>
      <c r="AK41" s="154" t="str">
        <f t="shared" si="0"/>
        <v>N</v>
      </c>
      <c r="AL41" s="154">
        <f>IF(AND(Times!J41="M",AJ41&gt;3),3, IF(AND(Times!J41="F",AJ41&gt;2),2,AJ41))</f>
        <v>3</v>
      </c>
      <c r="AM41" s="154">
        <f>IF(Times!J41="M",6, IF(Times!J41="F",4,""))</f>
        <v>6</v>
      </c>
      <c r="AN41" s="154" t="str">
        <f t="shared" si="1"/>
        <v/>
      </c>
      <c r="AO41" s="154" t="str">
        <f t="shared" si="2"/>
        <v/>
      </c>
    </row>
    <row r="42" spans="26:41" x14ac:dyDescent="0.25">
      <c r="Z42" s="154" t="str">
        <f>CONCATENATE(AE42,Times!AD42)</f>
        <v>SMHarold Wood Running Club</v>
      </c>
      <c r="AA42" s="154" t="str">
        <f>Times!AD42</f>
        <v>MHarold Wood Running Club</v>
      </c>
      <c r="AB42" s="154" t="str">
        <f>IF(AK42="Y",CONCATENATE(AA42,COUNTIFS($AK$2:AK42,"=Y",$AA$2:AA42,AA42)),"")</f>
        <v/>
      </c>
      <c r="AC42" s="154" t="str">
        <f>Times!K42</f>
        <v>Josh Jenner</v>
      </c>
      <c r="AD42" s="154">
        <f>Times!G42</f>
        <v>39</v>
      </c>
      <c r="AE42" s="154" t="str">
        <f>IF(Times!D42&lt;&gt;"",IF(ISERR(SEARCH("V",Times!I42,1)),IF(ISERR(SEARCH("S",Times!I42,1)),"S","S"),"V"),"")</f>
        <v>S</v>
      </c>
      <c r="AF42" s="161">
        <f>IF(Times!D42&lt;&gt;"",SUMIFS(Times!$G$2:G42,$AA$2:AA42,AA42,$AK$2:AK42,"Y"),"")</f>
        <v>75</v>
      </c>
      <c r="AG42" s="154" t="str">
        <f>IF(Times!D42&lt;&gt;"",IF(AND(Times!J42="M",AI42+AL42=AM42,AK42="Y"),AF42,""),"")</f>
        <v/>
      </c>
      <c r="AH42" s="154" t="str">
        <f>IF(Times!D42&lt;&gt;"",IF(AND(Times!J42="F",AI42+AL42=AM42,AK42="Y"),AF42,""),"")</f>
        <v/>
      </c>
      <c r="AI42" s="154">
        <f>COUNTIF(Z$2:Z42,CONCATENATE("V",AA42))</f>
        <v>0</v>
      </c>
      <c r="AJ42" s="154">
        <f>COUNTIF(Z$2:Z42,CONCATENATE("S",AA42))</f>
        <v>4</v>
      </c>
      <c r="AK42" s="154" t="str">
        <f t="shared" si="0"/>
        <v>N</v>
      </c>
      <c r="AL42" s="154">
        <f>IF(AND(Times!J42="M",AJ42&gt;3),3, IF(AND(Times!J42="F",AJ42&gt;2),2,AJ42))</f>
        <v>3</v>
      </c>
      <c r="AM42" s="154">
        <f>IF(Times!J42="M",6, IF(Times!J42="F",4,""))</f>
        <v>6</v>
      </c>
      <c r="AN42" s="154" t="str">
        <f t="shared" si="1"/>
        <v/>
      </c>
      <c r="AO42" s="154" t="str">
        <f t="shared" si="2"/>
        <v/>
      </c>
    </row>
    <row r="43" spans="26:41" x14ac:dyDescent="0.25">
      <c r="Z43" s="154" t="str">
        <f>CONCATENATE(AE43,Times!AD43)</f>
        <v>VMIlford AC</v>
      </c>
      <c r="AA43" s="154" t="str">
        <f>Times!AD43</f>
        <v>MIlford AC</v>
      </c>
      <c r="AB43" s="154" t="str">
        <f>IF(AK43="Y",CONCATENATE(AA43,COUNTIFS($AK$2:AK43,"=Y",$AA$2:AA43,AA43)),"")</f>
        <v/>
      </c>
      <c r="AC43" s="154" t="str">
        <f>Times!K43</f>
        <v>Terry Knightley</v>
      </c>
      <c r="AD43" s="154">
        <f>Times!G43</f>
        <v>40</v>
      </c>
      <c r="AE43" s="154" t="str">
        <f>IF(Times!D43&lt;&gt;"",IF(ISERR(SEARCH("V",Times!I43,1)),IF(ISERR(SEARCH("S",Times!I43,1)),"S","S"),"V"),"")</f>
        <v>V</v>
      </c>
      <c r="AF43" s="161">
        <f>IF(Times!D43&lt;&gt;"",SUMIFS(Times!$G$2:G43,$AA$2:AA43,AA43,$AK$2:AK43,"Y"),"")</f>
        <v>56</v>
      </c>
      <c r="AG43" s="154" t="str">
        <f>IF(Times!D43&lt;&gt;"",IF(AND(Times!J43="M",AI43+AL43=AM43,AK43="Y"),AF43,""),"")</f>
        <v/>
      </c>
      <c r="AH43" s="154" t="str">
        <f>IF(Times!D43&lt;&gt;"",IF(AND(Times!J43="F",AI43+AL43=AM43,AK43="Y"),AF43,""),"")</f>
        <v/>
      </c>
      <c r="AI43" s="154">
        <f>COUNTIF(Z$2:Z43,CONCATENATE("V",AA43))</f>
        <v>4</v>
      </c>
      <c r="AJ43" s="154">
        <f>COUNTIF(Z$2:Z43,CONCATENATE("S",AA43))</f>
        <v>5</v>
      </c>
      <c r="AK43" s="154" t="str">
        <f t="shared" si="0"/>
        <v>N</v>
      </c>
      <c r="AL43" s="154">
        <f>IF(AND(Times!J43="M",AJ43&gt;3),3, IF(AND(Times!J43="F",AJ43&gt;2),2,AJ43))</f>
        <v>3</v>
      </c>
      <c r="AM43" s="154">
        <f>IF(Times!J43="M",6, IF(Times!J43="F",4,""))</f>
        <v>6</v>
      </c>
      <c r="AN43" s="154" t="str">
        <f t="shared" si="1"/>
        <v/>
      </c>
      <c r="AO43" s="154" t="str">
        <f t="shared" si="2"/>
        <v/>
      </c>
    </row>
    <row r="44" spans="26:41" x14ac:dyDescent="0.25">
      <c r="Z44" s="154" t="str">
        <f>CONCATENATE(AE44,Times!AD44)</f>
        <v>VMBarking Road Runners</v>
      </c>
      <c r="AA44" s="154" t="str">
        <f>Times!AD44</f>
        <v>MBarking Road Runners</v>
      </c>
      <c r="AB44" s="154" t="str">
        <f>IF(AK44="Y",CONCATENATE(AA44,COUNTIFS($AK$2:AK44,"=Y",$AA$2:AA44,AA44)),"")</f>
        <v>MBarking Road Runners4</v>
      </c>
      <c r="AC44" s="154" t="str">
        <f>Times!K44</f>
        <v>Dervish Bartlett</v>
      </c>
      <c r="AD44" s="154">
        <f>Times!G44</f>
        <v>41</v>
      </c>
      <c r="AE44" s="154" t="str">
        <f>IF(Times!D44&lt;&gt;"",IF(ISERR(SEARCH("V",Times!I44,1)),IF(ISERR(SEARCH("S",Times!I44,1)),"S","S"),"V"),"")</f>
        <v>V</v>
      </c>
      <c r="AF44" s="161">
        <f>IF(Times!D44&lt;&gt;"",SUMIFS(Times!$G$2:G44,$AA$2:AA44,AA44,$AK$2:AK44,"Y"),"")</f>
        <v>104</v>
      </c>
      <c r="AG44" s="154" t="str">
        <f>IF(Times!D44&lt;&gt;"",IF(AND(Times!J44="M",AI44+AL44=AM44,AK44="Y"),AF44,""),"")</f>
        <v/>
      </c>
      <c r="AH44" s="154" t="str">
        <f>IF(Times!D44&lt;&gt;"",IF(AND(Times!J44="F",AI44+AL44=AM44,AK44="Y"),AF44,""),"")</f>
        <v/>
      </c>
      <c r="AI44" s="154">
        <f>COUNTIF(Z$2:Z44,CONCATENATE("V",AA44))</f>
        <v>2</v>
      </c>
      <c r="AJ44" s="154">
        <f>COUNTIF(Z$2:Z44,CONCATENATE("S",AA44))</f>
        <v>2</v>
      </c>
      <c r="AK44" s="154" t="str">
        <f t="shared" si="0"/>
        <v>Y</v>
      </c>
      <c r="AL44" s="154">
        <f>IF(AND(Times!J44="M",AJ44&gt;3),3, IF(AND(Times!J44="F",AJ44&gt;2),2,AJ44))</f>
        <v>2</v>
      </c>
      <c r="AM44" s="154">
        <f>IF(Times!J44="M",6, IF(Times!J44="F",4,""))</f>
        <v>6</v>
      </c>
      <c r="AN44" s="154" t="str">
        <f t="shared" si="1"/>
        <v/>
      </c>
      <c r="AO44" s="154" t="str">
        <f t="shared" si="2"/>
        <v/>
      </c>
    </row>
    <row r="45" spans="26:41" x14ac:dyDescent="0.25">
      <c r="Z45" s="154" t="str">
        <f>CONCATENATE(AE45,Times!AD45)</f>
        <v>VMUnattached</v>
      </c>
      <c r="AA45" s="154" t="str">
        <f>Times!AD45</f>
        <v>MUnattached</v>
      </c>
      <c r="AB45" s="154" t="str">
        <f>IF(AK45="Y",CONCATENATE(AA45,COUNTIFS($AK$2:AK45,"=Y",$AA$2:AA45,AA45)),"")</f>
        <v>MUnattached1</v>
      </c>
      <c r="AC45" s="154" t="str">
        <f>Times!K45</f>
        <v>Phil Enright</v>
      </c>
      <c r="AD45" s="154">
        <f>Times!G45</f>
        <v>42</v>
      </c>
      <c r="AE45" s="154" t="str">
        <f>IF(Times!D45&lt;&gt;"",IF(ISERR(SEARCH("V",Times!I45,1)),IF(ISERR(SEARCH("S",Times!I45,1)),"S","S"),"V"),"")</f>
        <v>V</v>
      </c>
      <c r="AF45" s="161">
        <f>IF(Times!D45&lt;&gt;"",SUMIFS(Times!$G$2:G45,$AA$2:AA45,AA45,$AK$2:AK45,"Y"),"")</f>
        <v>42</v>
      </c>
      <c r="AG45" s="154" t="str">
        <f>IF(Times!D45&lt;&gt;"",IF(AND(Times!J45="M",AI45+AL45=AM45,AK45="Y"),AF45,""),"")</f>
        <v/>
      </c>
      <c r="AH45" s="154" t="str">
        <f>IF(Times!D45&lt;&gt;"",IF(AND(Times!J45="F",AI45+AL45=AM45,AK45="Y"),AF45,""),"")</f>
        <v/>
      </c>
      <c r="AI45" s="154">
        <f>COUNTIF(Z$2:Z45,CONCATENATE("V",AA45))</f>
        <v>1</v>
      </c>
      <c r="AJ45" s="154">
        <f>COUNTIF(Z$2:Z45,CONCATENATE("S",AA45))</f>
        <v>0</v>
      </c>
      <c r="AK45" s="154" t="str">
        <f t="shared" si="0"/>
        <v>Y</v>
      </c>
      <c r="AL45" s="154">
        <f>IF(AND(Times!J45="M",AJ45&gt;3),3, IF(AND(Times!J45="F",AJ45&gt;2),2,AJ45))</f>
        <v>0</v>
      </c>
      <c r="AM45" s="154">
        <f>IF(Times!J45="M",6, IF(Times!J45="F",4,""))</f>
        <v>6</v>
      </c>
      <c r="AN45" s="154" t="str">
        <f t="shared" si="1"/>
        <v/>
      </c>
      <c r="AO45" s="154" t="str">
        <f t="shared" si="2"/>
        <v/>
      </c>
    </row>
    <row r="46" spans="26:41" x14ac:dyDescent="0.25">
      <c r="Z46" s="154" t="str">
        <f>CONCATENATE(AE46,Times!AD46)</f>
        <v>SMEast London Runners</v>
      </c>
      <c r="AA46" s="154" t="str">
        <f>Times!AD46</f>
        <v>MEast London Runners</v>
      </c>
      <c r="AB46" s="154" t="str">
        <f>IF(AK46="Y",CONCATENATE(AA46,COUNTIFS($AK$2:AK46,"=Y",$AA$2:AA46,AA46)),"")</f>
        <v/>
      </c>
      <c r="AC46" s="154" t="str">
        <f>Times!K46</f>
        <v>Shahib Ali</v>
      </c>
      <c r="AD46" s="154">
        <f>Times!G46</f>
        <v>43</v>
      </c>
      <c r="AE46" s="154" t="str">
        <f>IF(Times!D46&lt;&gt;"",IF(ISERR(SEARCH("V",Times!I46,1)),IF(ISERR(SEARCH("S",Times!I46,1)),"S","S"),"V"),"")</f>
        <v>S</v>
      </c>
      <c r="AF46" s="161">
        <f>IF(Times!D46&lt;&gt;"",SUMIFS(Times!$G$2:G46,$AA$2:AA46,AA46,$AK$2:AK46,"Y"),"")</f>
        <v>84</v>
      </c>
      <c r="AG46" s="154" t="str">
        <f>IF(Times!D46&lt;&gt;"",IF(AND(Times!J46="M",AI46+AL46=AM46,AK46="Y"),AF46,""),"")</f>
        <v/>
      </c>
      <c r="AH46" s="154" t="str">
        <f>IF(Times!D46&lt;&gt;"",IF(AND(Times!J46="F",AI46+AL46=AM46,AK46="Y"),AF46,""),"")</f>
        <v/>
      </c>
      <c r="AI46" s="154">
        <f>COUNTIF(Z$2:Z46,CONCATENATE("V",AA46))</f>
        <v>3</v>
      </c>
      <c r="AJ46" s="154">
        <f>COUNTIF(Z$2:Z46,CONCATENATE("S",AA46))</f>
        <v>12</v>
      </c>
      <c r="AK46" s="154" t="str">
        <f t="shared" si="0"/>
        <v>N</v>
      </c>
      <c r="AL46" s="154">
        <f>IF(AND(Times!J46="M",AJ46&gt;3),3, IF(AND(Times!J46="F",AJ46&gt;2),2,AJ46))</f>
        <v>3</v>
      </c>
      <c r="AM46" s="154">
        <f>IF(Times!J46="M",6, IF(Times!J46="F",4,""))</f>
        <v>6</v>
      </c>
      <c r="AN46" s="154" t="str">
        <f t="shared" si="1"/>
        <v/>
      </c>
      <c r="AO46" s="154" t="str">
        <f t="shared" si="2"/>
        <v/>
      </c>
    </row>
    <row r="47" spans="26:41" x14ac:dyDescent="0.25">
      <c r="Z47" s="154" t="str">
        <f>CONCATENATE(AE47,Times!AD47)</f>
        <v>VMIlford AC</v>
      </c>
      <c r="AA47" s="154" t="str">
        <f>Times!AD47</f>
        <v>MIlford AC</v>
      </c>
      <c r="AB47" s="154" t="str">
        <f>IF(AK47="Y",CONCATENATE(AA47,COUNTIFS($AK$2:AK47,"=Y",$AA$2:AA47,AA47)),"")</f>
        <v/>
      </c>
      <c r="AC47" s="154" t="str">
        <f>Times!K47</f>
        <v>Daniel Holeyman</v>
      </c>
      <c r="AD47" s="154">
        <f>Times!G47</f>
        <v>44</v>
      </c>
      <c r="AE47" s="154" t="str">
        <f>IF(Times!D47&lt;&gt;"",IF(ISERR(SEARCH("V",Times!I47,1)),IF(ISERR(SEARCH("S",Times!I47,1)),"S","S"),"V"),"")</f>
        <v>V</v>
      </c>
      <c r="AF47" s="161">
        <f>IF(Times!D47&lt;&gt;"",SUMIFS(Times!$G$2:G47,$AA$2:AA47,AA47,$AK$2:AK47,"Y"),"")</f>
        <v>56</v>
      </c>
      <c r="AG47" s="154" t="str">
        <f>IF(Times!D47&lt;&gt;"",IF(AND(Times!J47="M",AI47+AL47=AM47,AK47="Y"),AF47,""),"")</f>
        <v/>
      </c>
      <c r="AH47" s="154" t="str">
        <f>IF(Times!D47&lt;&gt;"",IF(AND(Times!J47="F",AI47+AL47=AM47,AK47="Y"),AF47,""),"")</f>
        <v/>
      </c>
      <c r="AI47" s="154">
        <f>COUNTIF(Z$2:Z47,CONCATENATE("V",AA47))</f>
        <v>5</v>
      </c>
      <c r="AJ47" s="154">
        <f>COUNTIF(Z$2:Z47,CONCATENATE("S",AA47))</f>
        <v>5</v>
      </c>
      <c r="AK47" s="154" t="str">
        <f t="shared" si="0"/>
        <v>N</v>
      </c>
      <c r="AL47" s="154">
        <f>IF(AND(Times!J47="M",AJ47&gt;3),3, IF(AND(Times!J47="F",AJ47&gt;2),2,AJ47))</f>
        <v>3</v>
      </c>
      <c r="AM47" s="154">
        <f>IF(Times!J47="M",6, IF(Times!J47="F",4,""))</f>
        <v>6</v>
      </c>
      <c r="AN47" s="154" t="str">
        <f t="shared" si="1"/>
        <v/>
      </c>
      <c r="AO47" s="154" t="str">
        <f t="shared" si="2"/>
        <v/>
      </c>
    </row>
    <row r="48" spans="26:41" x14ac:dyDescent="0.25">
      <c r="Z48" s="154" t="str">
        <f>CONCATENATE(AE48,Times!AD48)</f>
        <v>VMEast London Runners</v>
      </c>
      <c r="AA48" s="154" t="str">
        <f>Times!AD48</f>
        <v>MEast London Runners</v>
      </c>
      <c r="AB48" s="154" t="str">
        <f>IF(AK48="Y",CONCATENATE(AA48,COUNTIFS($AK$2:AK48,"=Y",$AA$2:AA48,AA48)),"")</f>
        <v/>
      </c>
      <c r="AC48" s="154" t="str">
        <f>Times!K48</f>
        <v>Peter Craik</v>
      </c>
      <c r="AD48" s="154">
        <f>Times!G48</f>
        <v>45</v>
      </c>
      <c r="AE48" s="154" t="str">
        <f>IF(Times!D48&lt;&gt;"",IF(ISERR(SEARCH("V",Times!I48,1)),IF(ISERR(SEARCH("S",Times!I48,1)),"S","S"),"V"),"")</f>
        <v>V</v>
      </c>
      <c r="AF48" s="161">
        <f>IF(Times!D48&lt;&gt;"",SUMIFS(Times!$G$2:G48,$AA$2:AA48,AA48,$AK$2:AK48,"Y"),"")</f>
        <v>84</v>
      </c>
      <c r="AG48" s="154" t="str">
        <f>IF(Times!D48&lt;&gt;"",IF(AND(Times!J48="M",AI48+AL48=AM48,AK48="Y"),AF48,""),"")</f>
        <v/>
      </c>
      <c r="AH48" s="154" t="str">
        <f>IF(Times!D48&lt;&gt;"",IF(AND(Times!J48="F",AI48+AL48=AM48,AK48="Y"),AF48,""),"")</f>
        <v/>
      </c>
      <c r="AI48" s="154">
        <f>COUNTIF(Z$2:Z48,CONCATENATE("V",AA48))</f>
        <v>4</v>
      </c>
      <c r="AJ48" s="154">
        <f>COUNTIF(Z$2:Z48,CONCATENATE("S",AA48))</f>
        <v>12</v>
      </c>
      <c r="AK48" s="154" t="str">
        <f t="shared" si="0"/>
        <v>N</v>
      </c>
      <c r="AL48" s="154">
        <f>IF(AND(Times!J48="M",AJ48&gt;3),3, IF(AND(Times!J48="F",AJ48&gt;2),2,AJ48))</f>
        <v>3</v>
      </c>
      <c r="AM48" s="154">
        <f>IF(Times!J48="M",6, IF(Times!J48="F",4,""))</f>
        <v>6</v>
      </c>
      <c r="AN48" s="154" t="str">
        <f t="shared" si="1"/>
        <v/>
      </c>
      <c r="AO48" s="154" t="str">
        <f t="shared" si="2"/>
        <v/>
      </c>
    </row>
    <row r="49" spans="26:41" x14ac:dyDescent="0.25">
      <c r="Z49" s="154" t="str">
        <f>CONCATENATE(AE49,Times!AD49)</f>
        <v>VMDagenham 88 Runners</v>
      </c>
      <c r="AA49" s="154" t="str">
        <f>Times!AD49</f>
        <v>MDagenham 88 Runners</v>
      </c>
      <c r="AB49" s="154" t="str">
        <f>IF(AK49="Y",CONCATENATE(AA49,COUNTIFS($AK$2:AK49,"=Y",$AA$2:AA49,AA49)),"")</f>
        <v>MDagenham 88 Runners1</v>
      </c>
      <c r="AC49" s="154" t="str">
        <f>Times!K49</f>
        <v>Peter Salmon</v>
      </c>
      <c r="AD49" s="154">
        <f>Times!G49</f>
        <v>46</v>
      </c>
      <c r="AE49" s="154" t="str">
        <f>IF(Times!D49&lt;&gt;"",IF(ISERR(SEARCH("V",Times!I49,1)),IF(ISERR(SEARCH("S",Times!I49,1)),"S","S"),"V"),"")</f>
        <v>V</v>
      </c>
      <c r="AF49" s="161">
        <f>IF(Times!D49&lt;&gt;"",SUMIFS(Times!$G$2:G49,$AA$2:AA49,AA49,$AK$2:AK49,"Y"),"")</f>
        <v>46</v>
      </c>
      <c r="AG49" s="154" t="str">
        <f>IF(Times!D49&lt;&gt;"",IF(AND(Times!J49="M",AI49+AL49=AM49,AK49="Y"),AF49,""),"")</f>
        <v/>
      </c>
      <c r="AH49" s="154" t="str">
        <f>IF(Times!D49&lt;&gt;"",IF(AND(Times!J49="F",AI49+AL49=AM49,AK49="Y"),AF49,""),"")</f>
        <v/>
      </c>
      <c r="AI49" s="154">
        <f>COUNTIF(Z$2:Z49,CONCATENATE("V",AA49))</f>
        <v>1</v>
      </c>
      <c r="AJ49" s="154">
        <f>COUNTIF(Z$2:Z49,CONCATENATE("S",AA49))</f>
        <v>0</v>
      </c>
      <c r="AK49" s="154" t="str">
        <f t="shared" si="0"/>
        <v>Y</v>
      </c>
      <c r="AL49" s="154">
        <f>IF(AND(Times!J49="M",AJ49&gt;3),3, IF(AND(Times!J49="F",AJ49&gt;2),2,AJ49))</f>
        <v>0</v>
      </c>
      <c r="AM49" s="154">
        <f>IF(Times!J49="M",6, IF(Times!J49="F",4,""))</f>
        <v>6</v>
      </c>
      <c r="AN49" s="154" t="str">
        <f t="shared" si="1"/>
        <v/>
      </c>
      <c r="AO49" s="154" t="str">
        <f t="shared" si="2"/>
        <v/>
      </c>
    </row>
    <row r="50" spans="26:41" x14ac:dyDescent="0.25">
      <c r="Z50" s="154" t="str">
        <f>CONCATENATE(AE50,Times!AD50)</f>
        <v>SMEton Manor AC</v>
      </c>
      <c r="AA50" s="154" t="str">
        <f>Times!AD50</f>
        <v>MEton Manor AC</v>
      </c>
      <c r="AB50" s="154" t="str">
        <f>IF(AK50="Y",CONCATENATE(AA50,COUNTIFS($AK$2:AK50,"=Y",$AA$2:AA50,AA50)),"")</f>
        <v>MEton Manor AC3</v>
      </c>
      <c r="AC50" s="154" t="str">
        <f>Times!K50</f>
        <v>david cato</v>
      </c>
      <c r="AD50" s="154">
        <f>Times!G50</f>
        <v>47</v>
      </c>
      <c r="AE50" s="154" t="str">
        <f>IF(Times!D50&lt;&gt;"",IF(ISERR(SEARCH("V",Times!I50,1)),IF(ISERR(SEARCH("S",Times!I50,1)),"S","S"),"V"),"")</f>
        <v>S</v>
      </c>
      <c r="AF50" s="161">
        <f>IF(Times!D50&lt;&gt;"",SUMIFS(Times!$G$2:G50,$AA$2:AA50,AA50,$AK$2:AK50,"Y"),"")</f>
        <v>102</v>
      </c>
      <c r="AG50" s="154" t="str">
        <f>IF(Times!D50&lt;&gt;"",IF(AND(Times!J50="M",AI50+AL50=AM50,AK50="Y"),AF50,""),"")</f>
        <v/>
      </c>
      <c r="AH50" s="154" t="str">
        <f>IF(Times!D50&lt;&gt;"",IF(AND(Times!J50="F",AI50+AL50=AM50,AK50="Y"),AF50,""),"")</f>
        <v/>
      </c>
      <c r="AI50" s="154">
        <f>COUNTIF(Z$2:Z50,CONCATENATE("V",AA50))</f>
        <v>1</v>
      </c>
      <c r="AJ50" s="154">
        <f>COUNTIF(Z$2:Z50,CONCATENATE("S",AA50))</f>
        <v>2</v>
      </c>
      <c r="AK50" s="154" t="str">
        <f t="shared" si="0"/>
        <v>Y</v>
      </c>
      <c r="AL50" s="154">
        <f>IF(AND(Times!J50="M",AJ50&gt;3),3, IF(AND(Times!J50="F",AJ50&gt;2),2,AJ50))</f>
        <v>2</v>
      </c>
      <c r="AM50" s="154">
        <f>IF(Times!J50="M",6, IF(Times!J50="F",4,""))</f>
        <v>6</v>
      </c>
      <c r="AN50" s="154" t="str">
        <f t="shared" si="1"/>
        <v/>
      </c>
      <c r="AO50" s="154" t="str">
        <f t="shared" si="2"/>
        <v/>
      </c>
    </row>
    <row r="51" spans="26:41" x14ac:dyDescent="0.25">
      <c r="Z51" s="154" t="str">
        <f>CONCATENATE(AE51,Times!AD51)</f>
        <v>VMEast London Runners</v>
      </c>
      <c r="AA51" s="154" t="str">
        <f>Times!AD51</f>
        <v>MEast London Runners</v>
      </c>
      <c r="AB51" s="154" t="str">
        <f>IF(AK51="Y",CONCATENATE(AA51,COUNTIFS($AK$2:AK51,"=Y",$AA$2:AA51,AA51)),"")</f>
        <v/>
      </c>
      <c r="AC51" s="154" t="str">
        <f>Times!K51</f>
        <v>Robert Rayworth</v>
      </c>
      <c r="AD51" s="154">
        <f>Times!G51</f>
        <v>48</v>
      </c>
      <c r="AE51" s="154" t="str">
        <f>IF(Times!D51&lt;&gt;"",IF(ISERR(SEARCH("V",Times!I51,1)),IF(ISERR(SEARCH("S",Times!I51,1)),"S","S"),"V"),"")</f>
        <v>V</v>
      </c>
      <c r="AF51" s="161">
        <f>IF(Times!D51&lt;&gt;"",SUMIFS(Times!$G$2:G51,$AA$2:AA51,AA51,$AK$2:AK51,"Y"),"")</f>
        <v>84</v>
      </c>
      <c r="AG51" s="154" t="str">
        <f>IF(Times!D51&lt;&gt;"",IF(AND(Times!J51="M",AI51+AL51=AM51,AK51="Y"),AF51,""),"")</f>
        <v/>
      </c>
      <c r="AH51" s="154" t="str">
        <f>IF(Times!D51&lt;&gt;"",IF(AND(Times!J51="F",AI51+AL51=AM51,AK51="Y"),AF51,""),"")</f>
        <v/>
      </c>
      <c r="AI51" s="154">
        <f>COUNTIF(Z$2:Z51,CONCATENATE("V",AA51))</f>
        <v>5</v>
      </c>
      <c r="AJ51" s="154">
        <f>COUNTIF(Z$2:Z51,CONCATENATE("S",AA51))</f>
        <v>12</v>
      </c>
      <c r="AK51" s="154" t="str">
        <f t="shared" si="0"/>
        <v>N</v>
      </c>
      <c r="AL51" s="154">
        <f>IF(AND(Times!J51="M",AJ51&gt;3),3, IF(AND(Times!J51="F",AJ51&gt;2),2,AJ51))</f>
        <v>3</v>
      </c>
      <c r="AM51" s="154">
        <f>IF(Times!J51="M",6, IF(Times!J51="F",4,""))</f>
        <v>6</v>
      </c>
      <c r="AN51" s="154" t="str">
        <f t="shared" si="1"/>
        <v/>
      </c>
      <c r="AO51" s="154" t="str">
        <f t="shared" si="2"/>
        <v/>
      </c>
    </row>
    <row r="52" spans="26:41" x14ac:dyDescent="0.25">
      <c r="Z52" s="154" t="str">
        <f>CONCATENATE(AE52,Times!AD52)</f>
        <v>SMBarking Road Runners</v>
      </c>
      <c r="AA52" s="154" t="str">
        <f>Times!AD52</f>
        <v>MBarking Road Runners</v>
      </c>
      <c r="AB52" s="154" t="str">
        <f>IF(AK52="Y",CONCATENATE(AA52,COUNTIFS($AK$2:AK52,"=Y",$AA$2:AA52,AA52)),"")</f>
        <v>MBarking Road Runners5</v>
      </c>
      <c r="AC52" s="154" t="str">
        <f>Times!K52</f>
        <v>James Lowndes</v>
      </c>
      <c r="AD52" s="154">
        <f>Times!G52</f>
        <v>49</v>
      </c>
      <c r="AE52" s="154" t="str">
        <f>IF(Times!D52&lt;&gt;"",IF(ISERR(SEARCH("V",Times!I52,1)),IF(ISERR(SEARCH("S",Times!I52,1)),"S","S"),"V"),"")</f>
        <v>S</v>
      </c>
      <c r="AF52" s="161">
        <f>IF(Times!D52&lt;&gt;"",SUMIFS(Times!$G$2:G52,$AA$2:AA52,AA52,$AK$2:AK52,"Y"),"")</f>
        <v>153</v>
      </c>
      <c r="AG52" s="154" t="str">
        <f>IF(Times!D52&lt;&gt;"",IF(AND(Times!J52="M",AI52+AL52=AM52,AK52="Y"),AF52,""),"")</f>
        <v/>
      </c>
      <c r="AH52" s="154" t="str">
        <f>IF(Times!D52&lt;&gt;"",IF(AND(Times!J52="F",AI52+AL52=AM52,AK52="Y"),AF52,""),"")</f>
        <v/>
      </c>
      <c r="AI52" s="154">
        <f>COUNTIF(Z$2:Z52,CONCATENATE("V",AA52))</f>
        <v>2</v>
      </c>
      <c r="AJ52" s="154">
        <f>COUNTIF(Z$2:Z52,CONCATENATE("S",AA52))</f>
        <v>3</v>
      </c>
      <c r="AK52" s="154" t="str">
        <f t="shared" si="0"/>
        <v>Y</v>
      </c>
      <c r="AL52" s="154">
        <f>IF(AND(Times!J52="M",AJ52&gt;3),3, IF(AND(Times!J52="F",AJ52&gt;2),2,AJ52))</f>
        <v>3</v>
      </c>
      <c r="AM52" s="154">
        <f>IF(Times!J52="M",6, IF(Times!J52="F",4,""))</f>
        <v>6</v>
      </c>
      <c r="AN52" s="154" t="str">
        <f t="shared" si="1"/>
        <v/>
      </c>
      <c r="AO52" s="154" t="str">
        <f t="shared" si="2"/>
        <v/>
      </c>
    </row>
    <row r="53" spans="26:41" x14ac:dyDescent="0.25">
      <c r="Z53" s="154" t="str">
        <f>CONCATENATE(AE53,Times!AD53)</f>
        <v>SMEast End Road Runners</v>
      </c>
      <c r="AA53" s="154" t="str">
        <f>Times!AD53</f>
        <v>MEast End Road Runners</v>
      </c>
      <c r="AB53" s="154" t="str">
        <f>IF(AK53="Y",CONCATENATE(AA53,COUNTIFS($AK$2:AK53,"=Y",$AA$2:AA53,AA53)),"")</f>
        <v>MEast End Road Runners4</v>
      </c>
      <c r="AC53" s="154" t="str">
        <f>Times!K53</f>
        <v>In-Yong Hwang</v>
      </c>
      <c r="AD53" s="154">
        <f>Times!G53</f>
        <v>50</v>
      </c>
      <c r="AE53" s="154" t="str">
        <f>IF(Times!D53&lt;&gt;"",IF(ISERR(SEARCH("V",Times!I53,1)),IF(ISERR(SEARCH("S",Times!I53,1)),"S","S"),"V"),"")</f>
        <v>S</v>
      </c>
      <c r="AF53" s="161">
        <f>IF(Times!D53&lt;&gt;"",SUMIFS(Times!$G$2:G53,$AA$2:AA53,AA53,$AK$2:AK53,"Y"),"")</f>
        <v>125</v>
      </c>
      <c r="AG53" s="154" t="str">
        <f>IF(Times!D53&lt;&gt;"",IF(AND(Times!J53="M",AI53+AL53=AM53,AK53="Y"),AF53,""),"")</f>
        <v/>
      </c>
      <c r="AH53" s="154" t="str">
        <f>IF(Times!D53&lt;&gt;"",IF(AND(Times!J53="F",AI53+AL53=AM53,AK53="Y"),AF53,""),"")</f>
        <v/>
      </c>
      <c r="AI53" s="154">
        <f>COUNTIF(Z$2:Z53,CONCATENATE("V",AA53))</f>
        <v>1</v>
      </c>
      <c r="AJ53" s="154">
        <f>COUNTIF(Z$2:Z53,CONCATENATE("S",AA53))</f>
        <v>3</v>
      </c>
      <c r="AK53" s="154" t="str">
        <f t="shared" si="0"/>
        <v>Y</v>
      </c>
      <c r="AL53" s="154">
        <f>IF(AND(Times!J53="M",AJ53&gt;3),3, IF(AND(Times!J53="F",AJ53&gt;2),2,AJ53))</f>
        <v>3</v>
      </c>
      <c r="AM53" s="154">
        <f>IF(Times!J53="M",6, IF(Times!J53="F",4,""))</f>
        <v>6</v>
      </c>
      <c r="AN53" s="154" t="str">
        <f t="shared" si="1"/>
        <v/>
      </c>
      <c r="AO53" s="154" t="str">
        <f t="shared" si="2"/>
        <v/>
      </c>
    </row>
    <row r="54" spans="26:41" x14ac:dyDescent="0.25">
      <c r="Z54" s="154" t="str">
        <f>CONCATENATE(AE54,Times!AD54)</f>
        <v>SMUnattached</v>
      </c>
      <c r="AA54" s="154" t="str">
        <f>Times!AD54</f>
        <v>MUnattached</v>
      </c>
      <c r="AB54" s="154" t="str">
        <f>IF(AK54="Y",CONCATENATE(AA54,COUNTIFS($AK$2:AK54,"=Y",$AA$2:AA54,AA54)),"")</f>
        <v>MUnattached2</v>
      </c>
      <c r="AC54" s="154" t="str">
        <f>Times!K54</f>
        <v>Radoslaw Michalczuk</v>
      </c>
      <c r="AD54" s="154">
        <f>Times!G54</f>
        <v>51</v>
      </c>
      <c r="AE54" s="154" t="str">
        <f>IF(Times!D54&lt;&gt;"",IF(ISERR(SEARCH("V",Times!I54,1)),IF(ISERR(SEARCH("S",Times!I54,1)),"S","S"),"V"),"")</f>
        <v>S</v>
      </c>
      <c r="AF54" s="161">
        <f>IF(Times!D54&lt;&gt;"",SUMIFS(Times!$G$2:G54,$AA$2:AA54,AA54,$AK$2:AK54,"Y"),"")</f>
        <v>93</v>
      </c>
      <c r="AG54" s="154" t="str">
        <f>IF(Times!D54&lt;&gt;"",IF(AND(Times!J54="M",AI54+AL54=AM54,AK54="Y"),AF54,""),"")</f>
        <v/>
      </c>
      <c r="AH54" s="154" t="str">
        <f>IF(Times!D54&lt;&gt;"",IF(AND(Times!J54="F",AI54+AL54=AM54,AK54="Y"),AF54,""),"")</f>
        <v/>
      </c>
      <c r="AI54" s="154">
        <f>COUNTIF(Z$2:Z54,CONCATENATE("V",AA54))</f>
        <v>1</v>
      </c>
      <c r="AJ54" s="154">
        <f>COUNTIF(Z$2:Z54,CONCATENATE("S",AA54))</f>
        <v>1</v>
      </c>
      <c r="AK54" s="154" t="str">
        <f t="shared" si="0"/>
        <v>Y</v>
      </c>
      <c r="AL54" s="154">
        <f>IF(AND(Times!J54="M",AJ54&gt;3),3, IF(AND(Times!J54="F",AJ54&gt;2),2,AJ54))</f>
        <v>1</v>
      </c>
      <c r="AM54" s="154">
        <f>IF(Times!J54="M",6, IF(Times!J54="F",4,""))</f>
        <v>6</v>
      </c>
      <c r="AN54" s="154" t="str">
        <f t="shared" si="1"/>
        <v/>
      </c>
      <c r="AO54" s="154" t="str">
        <f t="shared" si="2"/>
        <v/>
      </c>
    </row>
    <row r="55" spans="26:41" x14ac:dyDescent="0.25">
      <c r="Z55" s="154" t="str">
        <f>CONCATENATE(AE55,Times!AD55)</f>
        <v>SMOrion Harriers</v>
      </c>
      <c r="AA55" s="154" t="str">
        <f>Times!AD55</f>
        <v>MOrion Harriers</v>
      </c>
      <c r="AB55" s="154" t="str">
        <f>IF(AK55="Y",CONCATENATE(AA55,COUNTIFS($AK$2:AK55,"=Y",$AA$2:AA55,AA55)),"")</f>
        <v>MOrion Harriers2</v>
      </c>
      <c r="AC55" s="154" t="str">
        <f>Times!K55</f>
        <v>Martin Reynolds</v>
      </c>
      <c r="AD55" s="154">
        <f>Times!G55</f>
        <v>52</v>
      </c>
      <c r="AE55" s="154" t="str">
        <f>IF(Times!D55&lt;&gt;"",IF(ISERR(SEARCH("V",Times!I55,1)),IF(ISERR(SEARCH("S",Times!I55,1)),"S","S"),"V"),"")</f>
        <v>S</v>
      </c>
      <c r="AF55" s="161">
        <f>IF(Times!D55&lt;&gt;"",SUMIFS(Times!$G$2:G55,$AA$2:AA55,AA55,$AK$2:AK55,"Y"),"")</f>
        <v>70</v>
      </c>
      <c r="AG55" s="154" t="str">
        <f>IF(Times!D55&lt;&gt;"",IF(AND(Times!J55="M",AI55+AL55=AM55,AK55="Y"),AF55,""),"")</f>
        <v/>
      </c>
      <c r="AH55" s="154" t="str">
        <f>IF(Times!D55&lt;&gt;"",IF(AND(Times!J55="F",AI55+AL55=AM55,AK55="Y"),AF55,""),"")</f>
        <v/>
      </c>
      <c r="AI55" s="154">
        <f>COUNTIF(Z$2:Z55,CONCATENATE("V",AA55))</f>
        <v>1</v>
      </c>
      <c r="AJ55" s="154">
        <f>COUNTIF(Z$2:Z55,CONCATENATE("S",AA55))</f>
        <v>1</v>
      </c>
      <c r="AK55" s="154" t="str">
        <f t="shared" si="0"/>
        <v>Y</v>
      </c>
      <c r="AL55" s="154">
        <f>IF(AND(Times!J55="M",AJ55&gt;3),3, IF(AND(Times!J55="F",AJ55&gt;2),2,AJ55))</f>
        <v>1</v>
      </c>
      <c r="AM55" s="154">
        <f>IF(Times!J55="M",6, IF(Times!J55="F",4,""))</f>
        <v>6</v>
      </c>
      <c r="AN55" s="154" t="str">
        <f t="shared" si="1"/>
        <v/>
      </c>
      <c r="AO55" s="154" t="str">
        <f t="shared" si="2"/>
        <v/>
      </c>
    </row>
    <row r="56" spans="26:41" x14ac:dyDescent="0.25">
      <c r="Z56" s="154" t="str">
        <f>CONCATENATE(AE56,Times!AD56)</f>
        <v>VMOrion Harriers</v>
      </c>
      <c r="AA56" s="154" t="str">
        <f>Times!AD56</f>
        <v>MOrion Harriers</v>
      </c>
      <c r="AB56" s="154" t="str">
        <f>IF(AK56="Y",CONCATENATE(AA56,COUNTIFS($AK$2:AK56,"=Y",$AA$2:AA56,AA56)),"")</f>
        <v>MOrion Harriers3</v>
      </c>
      <c r="AC56" s="154" t="str">
        <f>Times!K56</f>
        <v>Dan Green</v>
      </c>
      <c r="AD56" s="154">
        <f>Times!G56</f>
        <v>53</v>
      </c>
      <c r="AE56" s="154" t="str">
        <f>IF(Times!D56&lt;&gt;"",IF(ISERR(SEARCH("V",Times!I56,1)),IF(ISERR(SEARCH("S",Times!I56,1)),"S","S"),"V"),"")</f>
        <v>V</v>
      </c>
      <c r="AF56" s="161">
        <f>IF(Times!D56&lt;&gt;"",SUMIFS(Times!$G$2:G56,$AA$2:AA56,AA56,$AK$2:AK56,"Y"),"")</f>
        <v>123</v>
      </c>
      <c r="AG56" s="154" t="str">
        <f>IF(Times!D56&lt;&gt;"",IF(AND(Times!J56="M",AI56+AL56=AM56,AK56="Y"),AF56,""),"")</f>
        <v/>
      </c>
      <c r="AH56" s="154" t="str">
        <f>IF(Times!D56&lt;&gt;"",IF(AND(Times!J56="F",AI56+AL56=AM56,AK56="Y"),AF56,""),"")</f>
        <v/>
      </c>
      <c r="AI56" s="154">
        <f>COUNTIF(Z$2:Z56,CONCATENATE("V",AA56))</f>
        <v>2</v>
      </c>
      <c r="AJ56" s="154">
        <f>COUNTIF(Z$2:Z56,CONCATENATE("S",AA56))</f>
        <v>1</v>
      </c>
      <c r="AK56" s="154" t="str">
        <f t="shared" si="0"/>
        <v>Y</v>
      </c>
      <c r="AL56" s="154">
        <f>IF(AND(Times!J56="M",AJ56&gt;3),3, IF(AND(Times!J56="F",AJ56&gt;2),2,AJ56))</f>
        <v>1</v>
      </c>
      <c r="AM56" s="154">
        <f>IF(Times!J56="M",6, IF(Times!J56="F",4,""))</f>
        <v>6</v>
      </c>
      <c r="AN56" s="154" t="str">
        <f t="shared" si="1"/>
        <v/>
      </c>
      <c r="AO56" s="154" t="str">
        <f t="shared" si="2"/>
        <v/>
      </c>
    </row>
    <row r="57" spans="26:41" x14ac:dyDescent="0.25">
      <c r="Z57" s="154" t="str">
        <f>CONCATENATE(AE57,Times!AD57)</f>
        <v>SMBarking Road Runners</v>
      </c>
      <c r="AA57" s="154" t="str">
        <f>Times!AD57</f>
        <v>MBarking Road Runners</v>
      </c>
      <c r="AB57" s="154" t="str">
        <f>IF(AK57="Y",CONCATENATE(AA57,COUNTIFS($AK$2:AK57,"=Y",$AA$2:AA57,AA57)),"")</f>
        <v/>
      </c>
      <c r="AC57" s="154" t="str">
        <f>Times!K57</f>
        <v>Paul Withyman</v>
      </c>
      <c r="AD57" s="154">
        <f>Times!G57</f>
        <v>54</v>
      </c>
      <c r="AE57" s="154" t="str">
        <f>IF(Times!D57&lt;&gt;"",IF(ISERR(SEARCH("V",Times!I57,1)),IF(ISERR(SEARCH("S",Times!I57,1)),"S","S"),"V"),"")</f>
        <v>S</v>
      </c>
      <c r="AF57" s="161">
        <f>IF(Times!D57&lt;&gt;"",SUMIFS(Times!$G$2:G57,$AA$2:AA57,AA57,$AK$2:AK57,"Y"),"")</f>
        <v>153</v>
      </c>
      <c r="AG57" s="154" t="str">
        <f>IF(Times!D57&lt;&gt;"",IF(AND(Times!J57="M",AI57+AL57=AM57,AK57="Y"),AF57,""),"")</f>
        <v/>
      </c>
      <c r="AH57" s="154" t="str">
        <f>IF(Times!D57&lt;&gt;"",IF(AND(Times!J57="F",AI57+AL57=AM57,AK57="Y"),AF57,""),"")</f>
        <v/>
      </c>
      <c r="AI57" s="154">
        <f>COUNTIF(Z$2:Z57,CONCATENATE("V",AA57))</f>
        <v>2</v>
      </c>
      <c r="AJ57" s="154">
        <f>COUNTIF(Z$2:Z57,CONCATENATE("S",AA57))</f>
        <v>4</v>
      </c>
      <c r="AK57" s="154" t="str">
        <f t="shared" si="0"/>
        <v>N</v>
      </c>
      <c r="AL57" s="154">
        <f>IF(AND(Times!J57="M",AJ57&gt;3),3, IF(AND(Times!J57="F",AJ57&gt;2),2,AJ57))</f>
        <v>3</v>
      </c>
      <c r="AM57" s="154">
        <f>IF(Times!J57="M",6, IF(Times!J57="F",4,""))</f>
        <v>6</v>
      </c>
      <c r="AN57" s="154" t="str">
        <f t="shared" si="1"/>
        <v/>
      </c>
      <c r="AO57" s="154" t="str">
        <f t="shared" si="2"/>
        <v/>
      </c>
    </row>
    <row r="58" spans="26:41" x14ac:dyDescent="0.25">
      <c r="Z58" s="154" t="str">
        <f>CONCATENATE(AE58,Times!AD58)</f>
        <v>VMEast London Runners</v>
      </c>
      <c r="AA58" s="154" t="str">
        <f>Times!AD58</f>
        <v>MEast London Runners</v>
      </c>
      <c r="AB58" s="154" t="str">
        <f>IF(AK58="Y",CONCATENATE(AA58,COUNTIFS($AK$2:AK58,"=Y",$AA$2:AA58,AA58)),"")</f>
        <v/>
      </c>
      <c r="AC58" s="154" t="str">
        <f>Times!K58</f>
        <v>Ashley Faria</v>
      </c>
      <c r="AD58" s="154">
        <f>Times!G58</f>
        <v>55</v>
      </c>
      <c r="AE58" s="154" t="str">
        <f>IF(Times!D58&lt;&gt;"",IF(ISERR(SEARCH("V",Times!I58,1)),IF(ISERR(SEARCH("S",Times!I58,1)),"S","S"),"V"),"")</f>
        <v>V</v>
      </c>
      <c r="AF58" s="161">
        <f>IF(Times!D58&lt;&gt;"",SUMIFS(Times!$G$2:G58,$AA$2:AA58,AA58,$AK$2:AK58,"Y"),"")</f>
        <v>84</v>
      </c>
      <c r="AG58" s="154" t="str">
        <f>IF(Times!D58&lt;&gt;"",IF(AND(Times!J58="M",AI58+AL58=AM58,AK58="Y"),AF58,""),"")</f>
        <v/>
      </c>
      <c r="AH58" s="154" t="str">
        <f>IF(Times!D58&lt;&gt;"",IF(AND(Times!J58="F",AI58+AL58=AM58,AK58="Y"),AF58,""),"")</f>
        <v/>
      </c>
      <c r="AI58" s="154">
        <f>COUNTIF(Z$2:Z58,CONCATENATE("V",AA58))</f>
        <v>6</v>
      </c>
      <c r="AJ58" s="154">
        <f>COUNTIF(Z$2:Z58,CONCATENATE("S",AA58))</f>
        <v>12</v>
      </c>
      <c r="AK58" s="154" t="str">
        <f t="shared" si="0"/>
        <v>N</v>
      </c>
      <c r="AL58" s="154">
        <f>IF(AND(Times!J58="M",AJ58&gt;3),3, IF(AND(Times!J58="F",AJ58&gt;2),2,AJ58))</f>
        <v>3</v>
      </c>
      <c r="AM58" s="154">
        <f>IF(Times!J58="M",6, IF(Times!J58="F",4,""))</f>
        <v>6</v>
      </c>
      <c r="AN58" s="154" t="str">
        <f t="shared" si="1"/>
        <v/>
      </c>
      <c r="AO58" s="154" t="str">
        <f t="shared" si="2"/>
        <v/>
      </c>
    </row>
    <row r="59" spans="26:41" x14ac:dyDescent="0.25">
      <c r="Z59" s="154" t="str">
        <f>CONCATENATE(AE59,Times!AD59)</f>
        <v>SFEast London Runners</v>
      </c>
      <c r="AA59" s="154" t="str">
        <f>Times!AD59</f>
        <v>FEast London Runners</v>
      </c>
      <c r="AB59" s="154" t="str">
        <f>IF(AK59="Y",CONCATENATE(AA59,COUNTIFS($AK$2:AK59,"=Y",$AA$2:AA59,AA59)),"")</f>
        <v>FEast London Runners1</v>
      </c>
      <c r="AC59" s="154" t="str">
        <f>Times!K59</f>
        <v>Zoila Gilham-Fernandez</v>
      </c>
      <c r="AD59" s="154">
        <f>Times!G59</f>
        <v>3</v>
      </c>
      <c r="AE59" s="154" t="str">
        <f>IF(Times!D59&lt;&gt;"",IF(ISERR(SEARCH("V",Times!I59,1)),IF(ISERR(SEARCH("S",Times!I59,1)),"S","S"),"V"),"")</f>
        <v>S</v>
      </c>
      <c r="AF59" s="161">
        <f>IF(Times!D59&lt;&gt;"",SUMIFS(Times!$G$2:G59,$AA$2:AA59,AA59,$AK$2:AK59,"Y"),"")</f>
        <v>3</v>
      </c>
      <c r="AG59" s="154" t="str">
        <f>IF(Times!D59&lt;&gt;"",IF(AND(Times!J59="M",AI59+AL59=AM59,AK59="Y"),AF59,""),"")</f>
        <v/>
      </c>
      <c r="AH59" s="154" t="str">
        <f>IF(Times!D59&lt;&gt;"",IF(AND(Times!J59="F",AI59+AL59=AM59,AK59="Y"),AF59,""),"")</f>
        <v/>
      </c>
      <c r="AI59" s="154">
        <f>COUNTIF(Z$2:Z59,CONCATENATE("V",AA59))</f>
        <v>0</v>
      </c>
      <c r="AJ59" s="154">
        <f>COUNTIF(Z$2:Z59,CONCATENATE("S",AA59))</f>
        <v>1</v>
      </c>
      <c r="AK59" s="154" t="str">
        <f t="shared" si="0"/>
        <v>Y</v>
      </c>
      <c r="AL59" s="154">
        <f>IF(AND(Times!J59="M",AJ59&gt;3),3, IF(AND(Times!J59="F",AJ59&gt;2),2,AJ59))</f>
        <v>1</v>
      </c>
      <c r="AM59" s="154">
        <f>IF(Times!J59="M",6, IF(Times!J59="F",4,""))</f>
        <v>4</v>
      </c>
      <c r="AN59" s="154" t="str">
        <f t="shared" si="1"/>
        <v/>
      </c>
      <c r="AO59" s="154" t="str">
        <f t="shared" si="2"/>
        <v/>
      </c>
    </row>
    <row r="60" spans="26:41" x14ac:dyDescent="0.25">
      <c r="Z60" s="154" t="str">
        <f>CONCATENATE(AE60,Times!AD60)</f>
        <v>VMHavering 90 Joggers</v>
      </c>
      <c r="AA60" s="154" t="str">
        <f>Times!AD60</f>
        <v>MHavering 90 Joggers</v>
      </c>
      <c r="AB60" s="154" t="str">
        <f>IF(AK60="Y",CONCATENATE(AA60,COUNTIFS($AK$2:AK60,"=Y",$AA$2:AA60,AA60)),"")</f>
        <v>MHavering 90 Joggers1</v>
      </c>
      <c r="AC60" s="154" t="str">
        <f>Times!K60</f>
        <v>Gary Flint</v>
      </c>
      <c r="AD60" s="154">
        <f>Times!G60</f>
        <v>56</v>
      </c>
      <c r="AE60" s="154" t="str">
        <f>IF(Times!D60&lt;&gt;"",IF(ISERR(SEARCH("V",Times!I60,1)),IF(ISERR(SEARCH("S",Times!I60,1)),"S","S"),"V"),"")</f>
        <v>V</v>
      </c>
      <c r="AF60" s="161">
        <f>IF(Times!D60&lt;&gt;"",SUMIFS(Times!$G$2:G60,$AA$2:AA60,AA60,$AK$2:AK60,"Y"),"")</f>
        <v>56</v>
      </c>
      <c r="AG60" s="154" t="str">
        <f>IF(Times!D60&lt;&gt;"",IF(AND(Times!J60="M",AI60+AL60=AM60,AK60="Y"),AF60,""),"")</f>
        <v/>
      </c>
      <c r="AH60" s="154" t="str">
        <f>IF(Times!D60&lt;&gt;"",IF(AND(Times!J60="F",AI60+AL60=AM60,AK60="Y"),AF60,""),"")</f>
        <v/>
      </c>
      <c r="AI60" s="154">
        <f>COUNTIF(Z$2:Z60,CONCATENATE("V",AA60))</f>
        <v>1</v>
      </c>
      <c r="AJ60" s="154">
        <f>COUNTIF(Z$2:Z60,CONCATENATE("S",AA60))</f>
        <v>0</v>
      </c>
      <c r="AK60" s="154" t="str">
        <f t="shared" si="0"/>
        <v>Y</v>
      </c>
      <c r="AL60" s="154">
        <f>IF(AND(Times!J60="M",AJ60&gt;3),3, IF(AND(Times!J60="F",AJ60&gt;2),2,AJ60))</f>
        <v>0</v>
      </c>
      <c r="AM60" s="154">
        <f>IF(Times!J60="M",6, IF(Times!J60="F",4,""))</f>
        <v>6</v>
      </c>
      <c r="AN60" s="154" t="str">
        <f t="shared" si="1"/>
        <v/>
      </c>
      <c r="AO60" s="154" t="str">
        <f t="shared" si="2"/>
        <v/>
      </c>
    </row>
    <row r="61" spans="26:41" x14ac:dyDescent="0.25">
      <c r="Z61" s="154" t="str">
        <f>CONCATENATE(AE61,Times!AD61)</f>
        <v>SMEast London Runners</v>
      </c>
      <c r="AA61" s="154" t="str">
        <f>Times!AD61</f>
        <v>MEast London Runners</v>
      </c>
      <c r="AB61" s="154" t="str">
        <f>IF(AK61="Y",CONCATENATE(AA61,COUNTIFS($AK$2:AK61,"=Y",$AA$2:AA61,AA61)),"")</f>
        <v/>
      </c>
      <c r="AC61" s="154" t="str">
        <f>Times!K61</f>
        <v>Tom Howourth</v>
      </c>
      <c r="AD61" s="154">
        <f>Times!G61</f>
        <v>57</v>
      </c>
      <c r="AE61" s="154" t="str">
        <f>IF(Times!D61&lt;&gt;"",IF(ISERR(SEARCH("V",Times!I61,1)),IF(ISERR(SEARCH("S",Times!I61,1)),"S","S"),"V"),"")</f>
        <v>S</v>
      </c>
      <c r="AF61" s="161">
        <f>IF(Times!D61&lt;&gt;"",SUMIFS(Times!$G$2:G61,$AA$2:AA61,AA61,$AK$2:AK61,"Y"),"")</f>
        <v>84</v>
      </c>
      <c r="AG61" s="154" t="str">
        <f>IF(Times!D61&lt;&gt;"",IF(AND(Times!J61="M",AI61+AL61=AM61,AK61="Y"),AF61,""),"")</f>
        <v/>
      </c>
      <c r="AH61" s="154" t="str">
        <f>IF(Times!D61&lt;&gt;"",IF(AND(Times!J61="F",AI61+AL61=AM61,AK61="Y"),AF61,""),"")</f>
        <v/>
      </c>
      <c r="AI61" s="154">
        <f>COUNTIF(Z$2:Z61,CONCATENATE("V",AA61))</f>
        <v>6</v>
      </c>
      <c r="AJ61" s="154">
        <f>COUNTIF(Z$2:Z61,CONCATENATE("S",AA61))</f>
        <v>13</v>
      </c>
      <c r="AK61" s="154" t="str">
        <f t="shared" si="0"/>
        <v>N</v>
      </c>
      <c r="AL61" s="154">
        <f>IF(AND(Times!J61="M",AJ61&gt;3),3, IF(AND(Times!J61="F",AJ61&gt;2),2,AJ61))</f>
        <v>3</v>
      </c>
      <c r="AM61" s="154">
        <f>IF(Times!J61="M",6, IF(Times!J61="F",4,""))</f>
        <v>6</v>
      </c>
      <c r="AN61" s="154" t="str">
        <f t="shared" si="1"/>
        <v/>
      </c>
      <c r="AO61" s="154" t="str">
        <f t="shared" si="2"/>
        <v/>
      </c>
    </row>
    <row r="62" spans="26:41" x14ac:dyDescent="0.25">
      <c r="Z62" s="154" t="str">
        <f>CONCATENATE(AE62,Times!AD62)</f>
        <v>VMEast London Runners</v>
      </c>
      <c r="AA62" s="154" t="str">
        <f>Times!AD62</f>
        <v>MEast London Runners</v>
      </c>
      <c r="AB62" s="154" t="str">
        <f>IF(AK62="Y",CONCATENATE(AA62,COUNTIFS($AK$2:AK62,"=Y",$AA$2:AA62,AA62)),"")</f>
        <v/>
      </c>
      <c r="AC62" s="154" t="str">
        <f>Times!K62</f>
        <v>Neil Gage</v>
      </c>
      <c r="AD62" s="154">
        <f>Times!G62</f>
        <v>58</v>
      </c>
      <c r="AE62" s="154" t="str">
        <f>IF(Times!D62&lt;&gt;"",IF(ISERR(SEARCH("V",Times!I62,1)),IF(ISERR(SEARCH("S",Times!I62,1)),"S","S"),"V"),"")</f>
        <v>V</v>
      </c>
      <c r="AF62" s="161">
        <f>IF(Times!D62&lt;&gt;"",SUMIFS(Times!$G$2:G62,$AA$2:AA62,AA62,$AK$2:AK62,"Y"),"")</f>
        <v>84</v>
      </c>
      <c r="AG62" s="154" t="str">
        <f>IF(Times!D62&lt;&gt;"",IF(AND(Times!J62="M",AI62+AL62=AM62,AK62="Y"),AF62,""),"")</f>
        <v/>
      </c>
      <c r="AH62" s="154" t="str">
        <f>IF(Times!D62&lt;&gt;"",IF(AND(Times!J62="F",AI62+AL62=AM62,AK62="Y"),AF62,""),"")</f>
        <v/>
      </c>
      <c r="AI62" s="154">
        <f>COUNTIF(Z$2:Z62,CONCATENATE("V",AA62))</f>
        <v>7</v>
      </c>
      <c r="AJ62" s="154">
        <f>COUNTIF(Z$2:Z62,CONCATENATE("S",AA62))</f>
        <v>13</v>
      </c>
      <c r="AK62" s="154" t="str">
        <f t="shared" si="0"/>
        <v>N</v>
      </c>
      <c r="AL62" s="154">
        <f>IF(AND(Times!J62="M",AJ62&gt;3),3, IF(AND(Times!J62="F",AJ62&gt;2),2,AJ62))</f>
        <v>3</v>
      </c>
      <c r="AM62" s="154">
        <f>IF(Times!J62="M",6, IF(Times!J62="F",4,""))</f>
        <v>6</v>
      </c>
      <c r="AN62" s="154" t="str">
        <f t="shared" si="1"/>
        <v/>
      </c>
      <c r="AO62" s="154" t="str">
        <f t="shared" si="2"/>
        <v/>
      </c>
    </row>
    <row r="63" spans="26:41" x14ac:dyDescent="0.25">
      <c r="Z63" s="154" t="str">
        <f>CONCATENATE(AE63,Times!AD63)</f>
        <v>VMEast London Runners</v>
      </c>
      <c r="AA63" s="154" t="str">
        <f>Times!AD63</f>
        <v>MEast London Runners</v>
      </c>
      <c r="AB63" s="154" t="str">
        <f>IF(AK63="Y",CONCATENATE(AA63,COUNTIFS($AK$2:AK63,"=Y",$AA$2:AA63,AA63)),"")</f>
        <v/>
      </c>
      <c r="AC63" s="154" t="str">
        <f>Times!K63</f>
        <v>Jacob Stevens</v>
      </c>
      <c r="AD63" s="154">
        <f>Times!G63</f>
        <v>59</v>
      </c>
      <c r="AE63" s="154" t="str">
        <f>IF(Times!D63&lt;&gt;"",IF(ISERR(SEARCH("V",Times!I63,1)),IF(ISERR(SEARCH("S",Times!I63,1)),"S","S"),"V"),"")</f>
        <v>V</v>
      </c>
      <c r="AF63" s="161">
        <f>IF(Times!D63&lt;&gt;"",SUMIFS(Times!$G$2:G63,$AA$2:AA63,AA63,$AK$2:AK63,"Y"),"")</f>
        <v>84</v>
      </c>
      <c r="AG63" s="154" t="str">
        <f>IF(Times!D63&lt;&gt;"",IF(AND(Times!J63="M",AI63+AL63=AM63,AK63="Y"),AF63,""),"")</f>
        <v/>
      </c>
      <c r="AH63" s="154" t="str">
        <f>IF(Times!D63&lt;&gt;"",IF(AND(Times!J63="F",AI63+AL63=AM63,AK63="Y"),AF63,""),"")</f>
        <v/>
      </c>
      <c r="AI63" s="154">
        <f>COUNTIF(Z$2:Z63,CONCATENATE("V",AA63))</f>
        <v>8</v>
      </c>
      <c r="AJ63" s="154">
        <f>COUNTIF(Z$2:Z63,CONCATENATE("S",AA63))</f>
        <v>13</v>
      </c>
      <c r="AK63" s="154" t="str">
        <f t="shared" si="0"/>
        <v>N</v>
      </c>
      <c r="AL63" s="154">
        <f>IF(AND(Times!J63="M",AJ63&gt;3),3, IF(AND(Times!J63="F",AJ63&gt;2),2,AJ63))</f>
        <v>3</v>
      </c>
      <c r="AM63" s="154">
        <f>IF(Times!J63="M",6, IF(Times!J63="F",4,""))</f>
        <v>6</v>
      </c>
      <c r="AN63" s="154" t="str">
        <f t="shared" si="1"/>
        <v/>
      </c>
      <c r="AO63" s="154" t="str">
        <f t="shared" si="2"/>
        <v/>
      </c>
    </row>
    <row r="64" spans="26:41" x14ac:dyDescent="0.25">
      <c r="Z64" s="154" t="str">
        <f>CONCATENATE(AE64,Times!AD64)</f>
        <v>SMEast End Road Runners</v>
      </c>
      <c r="AA64" s="154" t="str">
        <f>Times!AD64</f>
        <v>MEast End Road Runners</v>
      </c>
      <c r="AB64" s="154" t="str">
        <f>IF(AK64="Y",CONCATENATE(AA64,COUNTIFS($AK$2:AK64,"=Y",$AA$2:AA64,AA64)),"")</f>
        <v/>
      </c>
      <c r="AC64" s="154" t="str">
        <f>Times!K64</f>
        <v>Ian Pithouse</v>
      </c>
      <c r="AD64" s="154">
        <f>Times!G64</f>
        <v>60</v>
      </c>
      <c r="AE64" s="154" t="str">
        <f>IF(Times!D64&lt;&gt;"",IF(ISERR(SEARCH("V",Times!I64,1)),IF(ISERR(SEARCH("S",Times!I64,1)),"S","S"),"V"),"")</f>
        <v>S</v>
      </c>
      <c r="AF64" s="161">
        <f>IF(Times!D64&lt;&gt;"",SUMIFS(Times!$G$2:G64,$AA$2:AA64,AA64,$AK$2:AK64,"Y"),"")</f>
        <v>125</v>
      </c>
      <c r="AG64" s="154" t="str">
        <f>IF(Times!D64&lt;&gt;"",IF(AND(Times!J64="M",AI64+AL64=AM64,AK64="Y"),AF64,""),"")</f>
        <v/>
      </c>
      <c r="AH64" s="154" t="str">
        <f>IF(Times!D64&lt;&gt;"",IF(AND(Times!J64="F",AI64+AL64=AM64,AK64="Y"),AF64,""),"")</f>
        <v/>
      </c>
      <c r="AI64" s="154">
        <f>COUNTIF(Z$2:Z64,CONCATENATE("V",AA64))</f>
        <v>1</v>
      </c>
      <c r="AJ64" s="154">
        <f>COUNTIF(Z$2:Z64,CONCATENATE("S",AA64))</f>
        <v>4</v>
      </c>
      <c r="AK64" s="154" t="str">
        <f t="shared" si="0"/>
        <v>N</v>
      </c>
      <c r="AL64" s="154">
        <f>IF(AND(Times!J64="M",AJ64&gt;3),3, IF(AND(Times!J64="F",AJ64&gt;2),2,AJ64))</f>
        <v>3</v>
      </c>
      <c r="AM64" s="154">
        <f>IF(Times!J64="M",6, IF(Times!J64="F",4,""))</f>
        <v>6</v>
      </c>
      <c r="AN64" s="154" t="str">
        <f t="shared" si="1"/>
        <v/>
      </c>
      <c r="AO64" s="154" t="str">
        <f t="shared" si="2"/>
        <v/>
      </c>
    </row>
    <row r="65" spans="26:41" x14ac:dyDescent="0.25">
      <c r="Z65" s="154" t="str">
        <f>CONCATENATE(AE65,Times!AD65)</f>
        <v>SMEton Manor AC</v>
      </c>
      <c r="AA65" s="154" t="str">
        <f>Times!AD65</f>
        <v>MEton Manor AC</v>
      </c>
      <c r="AB65" s="154" t="str">
        <f>IF(AK65="Y",CONCATENATE(AA65,COUNTIFS($AK$2:AK65,"=Y",$AA$2:AA65,AA65)),"")</f>
        <v>MEton Manor AC4</v>
      </c>
      <c r="AC65" s="154" t="str">
        <f>Times!K65</f>
        <v>Dylan Williams</v>
      </c>
      <c r="AD65" s="154">
        <f>Times!G65</f>
        <v>61</v>
      </c>
      <c r="AE65" s="154" t="str">
        <f>IF(Times!D65&lt;&gt;"",IF(ISERR(SEARCH("V",Times!I65,1)),IF(ISERR(SEARCH("S",Times!I65,1)),"S","S"),"V"),"")</f>
        <v>S</v>
      </c>
      <c r="AF65" s="161">
        <f>IF(Times!D65&lt;&gt;"",SUMIFS(Times!$G$2:G65,$AA$2:AA65,AA65,$AK$2:AK65,"Y"),"")</f>
        <v>163</v>
      </c>
      <c r="AG65" s="154" t="str">
        <f>IF(Times!D65&lt;&gt;"",IF(AND(Times!J65="M",AI65+AL65=AM65,AK65="Y"),AF65,""),"")</f>
        <v/>
      </c>
      <c r="AH65" s="154" t="str">
        <f>IF(Times!D65&lt;&gt;"",IF(AND(Times!J65="F",AI65+AL65=AM65,AK65="Y"),AF65,""),"")</f>
        <v/>
      </c>
      <c r="AI65" s="154">
        <f>COUNTIF(Z$2:Z65,CONCATENATE("V",AA65))</f>
        <v>1</v>
      </c>
      <c r="AJ65" s="154">
        <f>COUNTIF(Z$2:Z65,CONCATENATE("S",AA65))</f>
        <v>3</v>
      </c>
      <c r="AK65" s="154" t="str">
        <f t="shared" si="0"/>
        <v>Y</v>
      </c>
      <c r="AL65" s="154">
        <f>IF(AND(Times!J65="M",AJ65&gt;3),3, IF(AND(Times!J65="F",AJ65&gt;2),2,AJ65))</f>
        <v>3</v>
      </c>
      <c r="AM65" s="154">
        <f>IF(Times!J65="M",6, IF(Times!J65="F",4,""))</f>
        <v>6</v>
      </c>
      <c r="AN65" s="154" t="str">
        <f t="shared" si="1"/>
        <v/>
      </c>
      <c r="AO65" s="154" t="str">
        <f t="shared" si="2"/>
        <v/>
      </c>
    </row>
    <row r="66" spans="26:41" x14ac:dyDescent="0.25">
      <c r="Z66" s="154" t="str">
        <f>CONCATENATE(AE66,Times!AD66)</f>
        <v>SMHavering 90 Joggers</v>
      </c>
      <c r="AA66" s="154" t="str">
        <f>Times!AD66</f>
        <v>MHavering 90 Joggers</v>
      </c>
      <c r="AB66" s="154" t="str">
        <f>IF(AK66="Y",CONCATENATE(AA66,COUNTIFS($AK$2:AK66,"=Y",$AA$2:AA66,AA66)),"")</f>
        <v>MHavering 90 Joggers2</v>
      </c>
      <c r="AC66" s="154" t="str">
        <f>Times!K66</f>
        <v>TONY COLLINS</v>
      </c>
      <c r="AD66" s="154">
        <f>Times!G66</f>
        <v>62</v>
      </c>
      <c r="AE66" s="154" t="str">
        <f>IF(Times!D66&lt;&gt;"",IF(ISERR(SEARCH("V",Times!I66,1)),IF(ISERR(SEARCH("S",Times!I66,1)),"S","S"),"V"),"")</f>
        <v>S</v>
      </c>
      <c r="AF66" s="161">
        <f>IF(Times!D66&lt;&gt;"",SUMIFS(Times!$G$2:G66,$AA$2:AA66,AA66,$AK$2:AK66,"Y"),"")</f>
        <v>118</v>
      </c>
      <c r="AG66" s="154" t="str">
        <f>IF(Times!D66&lt;&gt;"",IF(AND(Times!J66="M",AI66+AL66=AM66,AK66="Y"),AF66,""),"")</f>
        <v/>
      </c>
      <c r="AH66" s="154" t="str">
        <f>IF(Times!D66&lt;&gt;"",IF(AND(Times!J66="F",AI66+AL66=AM66,AK66="Y"),AF66,""),"")</f>
        <v/>
      </c>
      <c r="AI66" s="154">
        <f>COUNTIF(Z$2:Z66,CONCATENATE("V",AA66))</f>
        <v>1</v>
      </c>
      <c r="AJ66" s="154">
        <f>COUNTIF(Z$2:Z66,CONCATENATE("S",AA66))</f>
        <v>1</v>
      </c>
      <c r="AK66" s="154" t="str">
        <f t="shared" si="0"/>
        <v>Y</v>
      </c>
      <c r="AL66" s="154">
        <f>IF(AND(Times!J66="M",AJ66&gt;3),3, IF(AND(Times!J66="F",AJ66&gt;2),2,AJ66))</f>
        <v>1</v>
      </c>
      <c r="AM66" s="154">
        <f>IF(Times!J66="M",6, IF(Times!J66="F",4,""))</f>
        <v>6</v>
      </c>
      <c r="AN66" s="154" t="str">
        <f t="shared" si="1"/>
        <v/>
      </c>
      <c r="AO66" s="154" t="str">
        <f t="shared" si="2"/>
        <v/>
      </c>
    </row>
    <row r="67" spans="26:41" x14ac:dyDescent="0.25">
      <c r="Z67" s="154" t="str">
        <f>CONCATENATE(AE67,Times!AD67)</f>
        <v>VMEast London Runners</v>
      </c>
      <c r="AA67" s="154" t="str">
        <f>Times!AD67</f>
        <v>MEast London Runners</v>
      </c>
      <c r="AB67" s="154" t="str">
        <f>IF(AK67="Y",CONCATENATE(AA67,COUNTIFS($AK$2:AK67,"=Y",$AA$2:AA67,AA67)),"")</f>
        <v/>
      </c>
      <c r="AC67" s="154" t="str">
        <f>Times!K67</f>
        <v>Paul Thompson</v>
      </c>
      <c r="AD67" s="154">
        <f>Times!G67</f>
        <v>63</v>
      </c>
      <c r="AE67" s="154" t="str">
        <f>IF(Times!D67&lt;&gt;"",IF(ISERR(SEARCH("V",Times!I67,1)),IF(ISERR(SEARCH("S",Times!I67,1)),"S","S"),"V"),"")</f>
        <v>V</v>
      </c>
      <c r="AF67" s="161">
        <f>IF(Times!D67&lt;&gt;"",SUMIFS(Times!$G$2:G67,$AA$2:AA67,AA67,$AK$2:AK67,"Y"),"")</f>
        <v>84</v>
      </c>
      <c r="AG67" s="154" t="str">
        <f>IF(Times!D67&lt;&gt;"",IF(AND(Times!J67="M",AI67+AL67=AM67,AK67="Y"),AF67,""),"")</f>
        <v/>
      </c>
      <c r="AH67" s="154" t="str">
        <f>IF(Times!D67&lt;&gt;"",IF(AND(Times!J67="F",AI67+AL67=AM67,AK67="Y"),AF67,""),"")</f>
        <v/>
      </c>
      <c r="AI67" s="154">
        <f>COUNTIF(Z$2:Z67,CONCATENATE("V",AA67))</f>
        <v>9</v>
      </c>
      <c r="AJ67" s="154">
        <f>COUNTIF(Z$2:Z67,CONCATENATE("S",AA67))</f>
        <v>13</v>
      </c>
      <c r="AK67" s="154" t="str">
        <f t="shared" ref="AK67:AK130" si="83">IF(AND(AE67="V",AI67&lt;=AM67-AL67),"Y",IF(AND(AE67="S",AJ67&lt;=AM67/2,AJ67&lt;=AM67-AI67),"Y","N"))</f>
        <v>N</v>
      </c>
      <c r="AL67" s="154">
        <f>IF(AND(Times!J67="M",AJ67&gt;3),3, IF(AND(Times!J67="F",AJ67&gt;2),2,AJ67))</f>
        <v>3</v>
      </c>
      <c r="AM67" s="154">
        <f>IF(Times!J67="M",6, IF(Times!J67="F",4,""))</f>
        <v>6</v>
      </c>
      <c r="AN67" s="154" t="str">
        <f t="shared" ref="AN67:AN130" si="84">IF(AG67&lt;&gt;"",RANK(AG67,AG$2:AG$501,1),"")</f>
        <v/>
      </c>
      <c r="AO67" s="154" t="str">
        <f t="shared" ref="AO67:AO130" si="85">IF(AH67&lt;&gt;"",RANK(AH67,AH$2:AH$501,1),"")</f>
        <v/>
      </c>
    </row>
    <row r="68" spans="26:41" x14ac:dyDescent="0.25">
      <c r="Z68" s="154" t="str">
        <f>CONCATENATE(AE68,Times!AD68)</f>
        <v>VMEast London Runners</v>
      </c>
      <c r="AA68" s="154" t="str">
        <f>Times!AD68</f>
        <v>MEast London Runners</v>
      </c>
      <c r="AB68" s="154" t="str">
        <f>IF(AK68="Y",CONCATENATE(AA68,COUNTIFS($AK$2:AK68,"=Y",$AA$2:AA68,AA68)),"")</f>
        <v/>
      </c>
      <c r="AC68" s="154" t="str">
        <f>Times!K68</f>
        <v>Calvin Bobin</v>
      </c>
      <c r="AD68" s="154">
        <f>Times!G68</f>
        <v>64</v>
      </c>
      <c r="AE68" s="154" t="str">
        <f>IF(Times!D68&lt;&gt;"",IF(ISERR(SEARCH("V",Times!I68,1)),IF(ISERR(SEARCH("S",Times!I68,1)),"S","S"),"V"),"")</f>
        <v>V</v>
      </c>
      <c r="AF68" s="161">
        <f>IF(Times!D68&lt;&gt;"",SUMIFS(Times!$G$2:G68,$AA$2:AA68,AA68,$AK$2:AK68,"Y"),"")</f>
        <v>84</v>
      </c>
      <c r="AG68" s="154" t="str">
        <f>IF(Times!D68&lt;&gt;"",IF(AND(Times!J68="M",AI68+AL68=AM68,AK68="Y"),AF68,""),"")</f>
        <v/>
      </c>
      <c r="AH68" s="154" t="str">
        <f>IF(Times!D68&lt;&gt;"",IF(AND(Times!J68="F",AI68+AL68=AM68,AK68="Y"),AF68,""),"")</f>
        <v/>
      </c>
      <c r="AI68" s="154">
        <f>COUNTIF(Z$2:Z68,CONCATENATE("V",AA68))</f>
        <v>10</v>
      </c>
      <c r="AJ68" s="154">
        <f>COUNTIF(Z$2:Z68,CONCATENATE("S",AA68))</f>
        <v>13</v>
      </c>
      <c r="AK68" s="154" t="str">
        <f t="shared" si="83"/>
        <v>N</v>
      </c>
      <c r="AL68" s="154">
        <f>IF(AND(Times!J68="M",AJ68&gt;3),3, IF(AND(Times!J68="F",AJ68&gt;2),2,AJ68))</f>
        <v>3</v>
      </c>
      <c r="AM68" s="154">
        <f>IF(Times!J68="M",6, IF(Times!J68="F",4,""))</f>
        <v>6</v>
      </c>
      <c r="AN68" s="154" t="str">
        <f t="shared" si="84"/>
        <v/>
      </c>
      <c r="AO68" s="154" t="str">
        <f t="shared" si="85"/>
        <v/>
      </c>
    </row>
    <row r="69" spans="26:41" x14ac:dyDescent="0.25">
      <c r="Z69" s="154" t="str">
        <f>CONCATENATE(AE69,Times!AD69)</f>
        <v>VMEast London Runners</v>
      </c>
      <c r="AA69" s="154" t="str">
        <f>Times!AD69</f>
        <v>MEast London Runners</v>
      </c>
      <c r="AB69" s="154" t="str">
        <f>IF(AK69="Y",CONCATENATE(AA69,COUNTIFS($AK$2:AK69,"=Y",$AA$2:AA69,AA69)),"")</f>
        <v/>
      </c>
      <c r="AC69" s="154" t="str">
        <f>Times!K69</f>
        <v>Alain Fieulaine</v>
      </c>
      <c r="AD69" s="154">
        <f>Times!G69</f>
        <v>65</v>
      </c>
      <c r="AE69" s="154" t="str">
        <f>IF(Times!D69&lt;&gt;"",IF(ISERR(SEARCH("V",Times!I69,1)),IF(ISERR(SEARCH("S",Times!I69,1)),"S","S"),"V"),"")</f>
        <v>V</v>
      </c>
      <c r="AF69" s="161">
        <f>IF(Times!D69&lt;&gt;"",SUMIFS(Times!$G$2:G69,$AA$2:AA69,AA69,$AK$2:AK69,"Y"),"")</f>
        <v>84</v>
      </c>
      <c r="AG69" s="154" t="str">
        <f>IF(Times!D69&lt;&gt;"",IF(AND(Times!J69="M",AI69+AL69=AM69,AK69="Y"),AF69,""),"")</f>
        <v/>
      </c>
      <c r="AH69" s="154" t="str">
        <f>IF(Times!D69&lt;&gt;"",IF(AND(Times!J69="F",AI69+AL69=AM69,AK69="Y"),AF69,""),"")</f>
        <v/>
      </c>
      <c r="AI69" s="154">
        <f>COUNTIF(Z$2:Z69,CONCATENATE("V",AA69))</f>
        <v>11</v>
      </c>
      <c r="AJ69" s="154">
        <f>COUNTIF(Z$2:Z69,CONCATENATE("S",AA69))</f>
        <v>13</v>
      </c>
      <c r="AK69" s="154" t="str">
        <f t="shared" si="83"/>
        <v>N</v>
      </c>
      <c r="AL69" s="154">
        <f>IF(AND(Times!J69="M",AJ69&gt;3),3, IF(AND(Times!J69="F",AJ69&gt;2),2,AJ69))</f>
        <v>3</v>
      </c>
      <c r="AM69" s="154">
        <f>IF(Times!J69="M",6, IF(Times!J69="F",4,""))</f>
        <v>6</v>
      </c>
      <c r="AN69" s="154" t="str">
        <f t="shared" si="84"/>
        <v/>
      </c>
      <c r="AO69" s="154" t="str">
        <f t="shared" si="85"/>
        <v/>
      </c>
    </row>
    <row r="70" spans="26:41" x14ac:dyDescent="0.25">
      <c r="Z70" s="154" t="str">
        <f>CONCATENATE(AE70,Times!AD70)</f>
        <v>SMOrion Harriers</v>
      </c>
      <c r="AA70" s="154" t="str">
        <f>Times!AD70</f>
        <v>MOrion Harriers</v>
      </c>
      <c r="AB70" s="154" t="str">
        <f>IF(AK70="Y",CONCATENATE(AA70,COUNTIFS($AK$2:AK70,"=Y",$AA$2:AA70,AA70)),"")</f>
        <v>MOrion Harriers4</v>
      </c>
      <c r="AC70" s="154" t="str">
        <f>Times!K70</f>
        <v>Buddy Green</v>
      </c>
      <c r="AD70" s="154">
        <f>Times!G70</f>
        <v>66</v>
      </c>
      <c r="AE70" s="154" t="str">
        <f>IF(Times!D70&lt;&gt;"",IF(ISERR(SEARCH("V",Times!I70,1)),IF(ISERR(SEARCH("S",Times!I70,1)),"S","S"),"V"),"")</f>
        <v>S</v>
      </c>
      <c r="AF70" s="161">
        <f>IF(Times!D70&lt;&gt;"",SUMIFS(Times!$G$2:G70,$AA$2:AA70,AA70,$AK$2:AK70,"Y"),"")</f>
        <v>189</v>
      </c>
      <c r="AG70" s="154" t="str">
        <f>IF(Times!D70&lt;&gt;"",IF(AND(Times!J70="M",AI70+AL70=AM70,AK70="Y"),AF70,""),"")</f>
        <v/>
      </c>
      <c r="AH70" s="154" t="str">
        <f>IF(Times!D70&lt;&gt;"",IF(AND(Times!J70="F",AI70+AL70=AM70,AK70="Y"),AF70,""),"")</f>
        <v/>
      </c>
      <c r="AI70" s="154">
        <f>COUNTIF(Z$2:Z70,CONCATENATE("V",AA70))</f>
        <v>2</v>
      </c>
      <c r="AJ70" s="154">
        <f>COUNTIF(Z$2:Z70,CONCATENATE("S",AA70))</f>
        <v>2</v>
      </c>
      <c r="AK70" s="154" t="str">
        <f t="shared" si="83"/>
        <v>Y</v>
      </c>
      <c r="AL70" s="154">
        <f>IF(AND(Times!J70="M",AJ70&gt;3),3, IF(AND(Times!J70="F",AJ70&gt;2),2,AJ70))</f>
        <v>2</v>
      </c>
      <c r="AM70" s="154">
        <f>IF(Times!J70="M",6, IF(Times!J70="F",4,""))</f>
        <v>6</v>
      </c>
      <c r="AN70" s="154" t="str">
        <f t="shared" si="84"/>
        <v/>
      </c>
      <c r="AO70" s="154" t="str">
        <f t="shared" si="85"/>
        <v/>
      </c>
    </row>
    <row r="71" spans="26:41" x14ac:dyDescent="0.25">
      <c r="Z71" s="154" t="str">
        <f>CONCATENATE(AE71,Times!AD71)</f>
        <v>VMBarking Road Runners</v>
      </c>
      <c r="AA71" s="154" t="str">
        <f>Times!AD71</f>
        <v>MBarking Road Runners</v>
      </c>
      <c r="AB71" s="154" t="str">
        <f>IF(AK71="Y",CONCATENATE(AA71,COUNTIFS($AK$2:AK71,"=Y",$AA$2:AA71,AA71)),"")</f>
        <v>MBarking Road Runners6</v>
      </c>
      <c r="AC71" s="154" t="str">
        <f>Times!K71</f>
        <v>Paul Ward</v>
      </c>
      <c r="AD71" s="154">
        <f>Times!G71</f>
        <v>67</v>
      </c>
      <c r="AE71" s="154" t="str">
        <f>IF(Times!D71&lt;&gt;"",IF(ISERR(SEARCH("V",Times!I71,1)),IF(ISERR(SEARCH("S",Times!I71,1)),"S","S"),"V"),"")</f>
        <v>V</v>
      </c>
      <c r="AF71" s="161">
        <f>IF(Times!D71&lt;&gt;"",SUMIFS(Times!$G$2:G71,$AA$2:AA71,AA71,$AK$2:AK71,"Y"),"")</f>
        <v>220</v>
      </c>
      <c r="AG71" s="154">
        <f>IF(Times!D71&lt;&gt;"",IF(AND(Times!J71="M",AI71+AL71=AM71,AK71="Y"),AF71,""),"")</f>
        <v>220</v>
      </c>
      <c r="AH71" s="154" t="str">
        <f>IF(Times!D71&lt;&gt;"",IF(AND(Times!J71="F",AI71+AL71=AM71,AK71="Y"),AF71,""),"")</f>
        <v/>
      </c>
      <c r="AI71" s="154">
        <f>COUNTIF(Z$2:Z71,CONCATENATE("V",AA71))</f>
        <v>3</v>
      </c>
      <c r="AJ71" s="154">
        <f>COUNTIF(Z$2:Z71,CONCATENATE("S",AA71))</f>
        <v>4</v>
      </c>
      <c r="AK71" s="154" t="str">
        <f t="shared" si="83"/>
        <v>Y</v>
      </c>
      <c r="AL71" s="154">
        <f>IF(AND(Times!J71="M",AJ71&gt;3),3, IF(AND(Times!J71="F",AJ71&gt;2),2,AJ71))</f>
        <v>3</v>
      </c>
      <c r="AM71" s="154">
        <f>IF(Times!J71="M",6, IF(Times!J71="F",4,""))</f>
        <v>6</v>
      </c>
      <c r="AN71" s="154">
        <f t="shared" si="84"/>
        <v>3</v>
      </c>
      <c r="AO71" s="154" t="str">
        <f t="shared" si="85"/>
        <v/>
      </c>
    </row>
    <row r="72" spans="26:41" x14ac:dyDescent="0.25">
      <c r="Z72" s="154" t="str">
        <f>CONCATENATE(AE72,Times!AD72)</f>
        <v>VMEast London Runners</v>
      </c>
      <c r="AA72" s="154" t="str">
        <f>Times!AD72</f>
        <v>MEast London Runners</v>
      </c>
      <c r="AB72" s="154" t="str">
        <f>IF(AK72="Y",CONCATENATE(AA72,COUNTIFS($AK$2:AK72,"=Y",$AA$2:AA72,AA72)),"")</f>
        <v/>
      </c>
      <c r="AC72" s="154" t="str">
        <f>Times!K72</f>
        <v>Terry Lewsey</v>
      </c>
      <c r="AD72" s="154">
        <f>Times!G72</f>
        <v>68</v>
      </c>
      <c r="AE72" s="154" t="str">
        <f>IF(Times!D72&lt;&gt;"",IF(ISERR(SEARCH("V",Times!I72,1)),IF(ISERR(SEARCH("S",Times!I72,1)),"S","S"),"V"),"")</f>
        <v>V</v>
      </c>
      <c r="AF72" s="161">
        <f>IF(Times!D72&lt;&gt;"",SUMIFS(Times!$G$2:G72,$AA$2:AA72,AA72,$AK$2:AK72,"Y"),"")</f>
        <v>84</v>
      </c>
      <c r="AG72" s="154" t="str">
        <f>IF(Times!D72&lt;&gt;"",IF(AND(Times!J72="M",AI72+AL72=AM72,AK72="Y"),AF72,""),"")</f>
        <v/>
      </c>
      <c r="AH72" s="154" t="str">
        <f>IF(Times!D72&lt;&gt;"",IF(AND(Times!J72="F",AI72+AL72=AM72,AK72="Y"),AF72,""),"")</f>
        <v/>
      </c>
      <c r="AI72" s="154">
        <f>COUNTIF(Z$2:Z72,CONCATENATE("V",AA72))</f>
        <v>12</v>
      </c>
      <c r="AJ72" s="154">
        <f>COUNTIF(Z$2:Z72,CONCATENATE("S",AA72))</f>
        <v>13</v>
      </c>
      <c r="AK72" s="154" t="str">
        <f t="shared" si="83"/>
        <v>N</v>
      </c>
      <c r="AL72" s="154">
        <f>IF(AND(Times!J72="M",AJ72&gt;3),3, IF(AND(Times!J72="F",AJ72&gt;2),2,AJ72))</f>
        <v>3</v>
      </c>
      <c r="AM72" s="154">
        <f>IF(Times!J72="M",6, IF(Times!J72="F",4,""))</f>
        <v>6</v>
      </c>
      <c r="AN72" s="154" t="str">
        <f t="shared" si="84"/>
        <v/>
      </c>
      <c r="AO72" s="154" t="str">
        <f t="shared" si="85"/>
        <v/>
      </c>
    </row>
    <row r="73" spans="26:41" x14ac:dyDescent="0.25">
      <c r="Z73" s="154" t="str">
        <f>CONCATENATE(AE73,Times!AD73)</f>
        <v>VMEast London Runners</v>
      </c>
      <c r="AA73" s="154" t="str">
        <f>Times!AD73</f>
        <v>MEast London Runners</v>
      </c>
      <c r="AB73" s="154" t="str">
        <f>IF(AK73="Y",CONCATENATE(AA73,COUNTIFS($AK$2:AK73,"=Y",$AA$2:AA73,AA73)),"")</f>
        <v/>
      </c>
      <c r="AC73" s="154" t="str">
        <f>Times!K73</f>
        <v>Shailesh Patel</v>
      </c>
      <c r="AD73" s="154">
        <f>Times!G73</f>
        <v>69</v>
      </c>
      <c r="AE73" s="154" t="str">
        <f>IF(Times!D73&lt;&gt;"",IF(ISERR(SEARCH("V",Times!I73,1)),IF(ISERR(SEARCH("S",Times!I73,1)),"S","S"),"V"),"")</f>
        <v>V</v>
      </c>
      <c r="AF73" s="161">
        <f>IF(Times!D73&lt;&gt;"",SUMIFS(Times!$G$2:G73,$AA$2:AA73,AA73,$AK$2:AK73,"Y"),"")</f>
        <v>84</v>
      </c>
      <c r="AG73" s="154" t="str">
        <f>IF(Times!D73&lt;&gt;"",IF(AND(Times!J73="M",AI73+AL73=AM73,AK73="Y"),AF73,""),"")</f>
        <v/>
      </c>
      <c r="AH73" s="154" t="str">
        <f>IF(Times!D73&lt;&gt;"",IF(AND(Times!J73="F",AI73+AL73=AM73,AK73="Y"),AF73,""),"")</f>
        <v/>
      </c>
      <c r="AI73" s="154">
        <f>COUNTIF(Z$2:Z73,CONCATENATE("V",AA73))</f>
        <v>13</v>
      </c>
      <c r="AJ73" s="154">
        <f>COUNTIF(Z$2:Z73,CONCATENATE("S",AA73))</f>
        <v>13</v>
      </c>
      <c r="AK73" s="154" t="str">
        <f t="shared" si="83"/>
        <v>N</v>
      </c>
      <c r="AL73" s="154">
        <f>IF(AND(Times!J73="M",AJ73&gt;3),3, IF(AND(Times!J73="F",AJ73&gt;2),2,AJ73))</f>
        <v>3</v>
      </c>
      <c r="AM73" s="154">
        <f>IF(Times!J73="M",6, IF(Times!J73="F",4,""))</f>
        <v>6</v>
      </c>
      <c r="AN73" s="154" t="str">
        <f t="shared" si="84"/>
        <v/>
      </c>
      <c r="AO73" s="154" t="str">
        <f t="shared" si="85"/>
        <v/>
      </c>
    </row>
    <row r="74" spans="26:41" x14ac:dyDescent="0.25">
      <c r="Z74" s="154" t="str">
        <f>CONCATENATE(AE74,Times!AD74)</f>
        <v>VFEton Manor AC</v>
      </c>
      <c r="AA74" s="154" t="str">
        <f>Times!AD74</f>
        <v>FEton Manor AC</v>
      </c>
      <c r="AB74" s="154" t="str">
        <f>IF(AK74="Y",CONCATENATE(AA74,COUNTIFS($AK$2:AK74,"=Y",$AA$2:AA74,AA74)),"")</f>
        <v>FEton Manor AC1</v>
      </c>
      <c r="AC74" s="154" t="str">
        <f>Times!K74</f>
        <v>Jennifer Heymann</v>
      </c>
      <c r="AD74" s="154">
        <f>Times!G74</f>
        <v>4</v>
      </c>
      <c r="AE74" s="154" t="str">
        <f>IF(Times!D74&lt;&gt;"",IF(ISERR(SEARCH("V",Times!I74,1)),IF(ISERR(SEARCH("S",Times!I74,1)),"S","S"),"V"),"")</f>
        <v>V</v>
      </c>
      <c r="AF74" s="161">
        <f>IF(Times!D74&lt;&gt;"",SUMIFS(Times!$G$2:G74,$AA$2:AA74,AA74,$AK$2:AK74,"Y"),"")</f>
        <v>4</v>
      </c>
      <c r="AG74" s="154" t="str">
        <f>IF(Times!D74&lt;&gt;"",IF(AND(Times!J74="M",AI74+AL74=AM74,AK74="Y"),AF74,""),"")</f>
        <v/>
      </c>
      <c r="AH74" s="154" t="str">
        <f>IF(Times!D74&lt;&gt;"",IF(AND(Times!J74="F",AI74+AL74=AM74,AK74="Y"),AF74,""),"")</f>
        <v/>
      </c>
      <c r="AI74" s="154">
        <f>COUNTIF(Z$2:Z74,CONCATENATE("V",AA74))</f>
        <v>1</v>
      </c>
      <c r="AJ74" s="154">
        <f>COUNTIF(Z$2:Z74,CONCATENATE("S",AA74))</f>
        <v>0</v>
      </c>
      <c r="AK74" s="154" t="str">
        <f t="shared" si="83"/>
        <v>Y</v>
      </c>
      <c r="AL74" s="154">
        <f>IF(AND(Times!J74="M",AJ74&gt;3),3, IF(AND(Times!J74="F",AJ74&gt;2),2,AJ74))</f>
        <v>0</v>
      </c>
      <c r="AM74" s="154">
        <f>IF(Times!J74="M",6, IF(Times!J74="F",4,""))</f>
        <v>4</v>
      </c>
      <c r="AN74" s="154" t="str">
        <f t="shared" si="84"/>
        <v/>
      </c>
      <c r="AO74" s="154" t="str">
        <f t="shared" si="85"/>
        <v/>
      </c>
    </row>
    <row r="75" spans="26:41" x14ac:dyDescent="0.25">
      <c r="Z75" s="154" t="str">
        <f>CONCATENATE(AE75,Times!AD75)</f>
        <v>VMBarking Road Runners</v>
      </c>
      <c r="AA75" s="154" t="str">
        <f>Times!AD75</f>
        <v>MBarking Road Runners</v>
      </c>
      <c r="AB75" s="154" t="str">
        <f>IF(AK75="Y",CONCATENATE(AA75,COUNTIFS($AK$2:AK75,"=Y",$AA$2:AA75,AA75)),"")</f>
        <v/>
      </c>
      <c r="AC75" s="154" t="str">
        <f>Times!K75</f>
        <v>Colin Jones</v>
      </c>
      <c r="AD75" s="154">
        <f>Times!G75</f>
        <v>70</v>
      </c>
      <c r="AE75" s="154" t="str">
        <f>IF(Times!D75&lt;&gt;"",IF(ISERR(SEARCH("V",Times!I75,1)),IF(ISERR(SEARCH("S",Times!I75,1)),"S","S"),"V"),"")</f>
        <v>V</v>
      </c>
      <c r="AF75" s="161">
        <f>IF(Times!D75&lt;&gt;"",SUMIFS(Times!$G$2:G75,$AA$2:AA75,AA75,$AK$2:AK75,"Y"),"")</f>
        <v>220</v>
      </c>
      <c r="AG75" s="154" t="str">
        <f>IF(Times!D75&lt;&gt;"",IF(AND(Times!J75="M",AI75+AL75=AM75,AK75="Y"),AF75,""),"")</f>
        <v/>
      </c>
      <c r="AH75" s="154" t="str">
        <f>IF(Times!D75&lt;&gt;"",IF(AND(Times!J75="F",AI75+AL75=AM75,AK75="Y"),AF75,""),"")</f>
        <v/>
      </c>
      <c r="AI75" s="154">
        <f>COUNTIF(Z$2:Z75,CONCATENATE("V",AA75))</f>
        <v>4</v>
      </c>
      <c r="AJ75" s="154">
        <f>COUNTIF(Z$2:Z75,CONCATENATE("S",AA75))</f>
        <v>4</v>
      </c>
      <c r="AK75" s="154" t="str">
        <f t="shared" si="83"/>
        <v>N</v>
      </c>
      <c r="AL75" s="154">
        <f>IF(AND(Times!J75="M",AJ75&gt;3),3, IF(AND(Times!J75="F",AJ75&gt;2),2,AJ75))</f>
        <v>3</v>
      </c>
      <c r="AM75" s="154">
        <f>IF(Times!J75="M",6, IF(Times!J75="F",4,""))</f>
        <v>6</v>
      </c>
      <c r="AN75" s="154" t="str">
        <f t="shared" si="84"/>
        <v/>
      </c>
      <c r="AO75" s="154" t="str">
        <f t="shared" si="85"/>
        <v/>
      </c>
    </row>
    <row r="76" spans="26:41" x14ac:dyDescent="0.25">
      <c r="Z76" s="154" t="str">
        <f>CONCATENATE(AE76,Times!AD76)</f>
        <v>SMHavering 90 Joggers</v>
      </c>
      <c r="AA76" s="154" t="str">
        <f>Times!AD76</f>
        <v>MHavering 90 Joggers</v>
      </c>
      <c r="AB76" s="154" t="str">
        <f>IF(AK76="Y",CONCATENATE(AA76,COUNTIFS($AK$2:AK76,"=Y",$AA$2:AA76,AA76)),"")</f>
        <v>MHavering 90 Joggers3</v>
      </c>
      <c r="AC76" s="154" t="str">
        <f>Times!K76</f>
        <v>Neill Collins</v>
      </c>
      <c r="AD76" s="154">
        <f>Times!G76</f>
        <v>71</v>
      </c>
      <c r="AE76" s="154" t="str">
        <f>IF(Times!D76&lt;&gt;"",IF(ISERR(SEARCH("V",Times!I76,1)),IF(ISERR(SEARCH("S",Times!I76,1)),"S","S"),"V"),"")</f>
        <v>S</v>
      </c>
      <c r="AF76" s="161">
        <f>IF(Times!D76&lt;&gt;"",SUMIFS(Times!$G$2:G76,$AA$2:AA76,AA76,$AK$2:AK76,"Y"),"")</f>
        <v>189</v>
      </c>
      <c r="AG76" s="154" t="str">
        <f>IF(Times!D76&lt;&gt;"",IF(AND(Times!J76="M",AI76+AL76=AM76,AK76="Y"),AF76,""),"")</f>
        <v/>
      </c>
      <c r="AH76" s="154" t="str">
        <f>IF(Times!D76&lt;&gt;"",IF(AND(Times!J76="F",AI76+AL76=AM76,AK76="Y"),AF76,""),"")</f>
        <v/>
      </c>
      <c r="AI76" s="154">
        <f>COUNTIF(Z$2:Z76,CONCATENATE("V",AA76))</f>
        <v>1</v>
      </c>
      <c r="AJ76" s="154">
        <f>COUNTIF(Z$2:Z76,CONCATENATE("S",AA76))</f>
        <v>2</v>
      </c>
      <c r="AK76" s="154" t="str">
        <f t="shared" si="83"/>
        <v>Y</v>
      </c>
      <c r="AL76" s="154">
        <f>IF(AND(Times!J76="M",AJ76&gt;3),3, IF(AND(Times!J76="F",AJ76&gt;2),2,AJ76))</f>
        <v>2</v>
      </c>
      <c r="AM76" s="154">
        <f>IF(Times!J76="M",6, IF(Times!J76="F",4,""))</f>
        <v>6</v>
      </c>
      <c r="AN76" s="154" t="str">
        <f t="shared" si="84"/>
        <v/>
      </c>
      <c r="AO76" s="154" t="str">
        <f t="shared" si="85"/>
        <v/>
      </c>
    </row>
    <row r="77" spans="26:41" x14ac:dyDescent="0.25">
      <c r="Z77" s="154" t="str">
        <f>CONCATENATE(AE77,Times!AD77)</f>
        <v>SMEast London Runners</v>
      </c>
      <c r="AA77" s="154" t="str">
        <f>Times!AD77</f>
        <v>MEast London Runners</v>
      </c>
      <c r="AB77" s="154" t="str">
        <f>IF(AK77="Y",CONCATENATE(AA77,COUNTIFS($AK$2:AK77,"=Y",$AA$2:AA77,AA77)),"")</f>
        <v/>
      </c>
      <c r="AC77" s="154" t="str">
        <f>Times!K77</f>
        <v>Mark Moir</v>
      </c>
      <c r="AD77" s="154">
        <f>Times!G77</f>
        <v>72</v>
      </c>
      <c r="AE77" s="154" t="str">
        <f>IF(Times!D77&lt;&gt;"",IF(ISERR(SEARCH("V",Times!I77,1)),IF(ISERR(SEARCH("S",Times!I77,1)),"S","S"),"V"),"")</f>
        <v>S</v>
      </c>
      <c r="AF77" s="161">
        <f>IF(Times!D77&lt;&gt;"",SUMIFS(Times!$G$2:G77,$AA$2:AA77,AA77,$AK$2:AK77,"Y"),"")</f>
        <v>84</v>
      </c>
      <c r="AG77" s="154" t="str">
        <f>IF(Times!D77&lt;&gt;"",IF(AND(Times!J77="M",AI77+AL77=AM77,AK77="Y"),AF77,""),"")</f>
        <v/>
      </c>
      <c r="AH77" s="154" t="str">
        <f>IF(Times!D77&lt;&gt;"",IF(AND(Times!J77="F",AI77+AL77=AM77,AK77="Y"),AF77,""),"")</f>
        <v/>
      </c>
      <c r="AI77" s="154">
        <f>COUNTIF(Z$2:Z77,CONCATENATE("V",AA77))</f>
        <v>13</v>
      </c>
      <c r="AJ77" s="154">
        <f>COUNTIF(Z$2:Z77,CONCATENATE("S",AA77))</f>
        <v>14</v>
      </c>
      <c r="AK77" s="154" t="str">
        <f t="shared" si="83"/>
        <v>N</v>
      </c>
      <c r="AL77" s="154">
        <f>IF(AND(Times!J77="M",AJ77&gt;3),3, IF(AND(Times!J77="F",AJ77&gt;2),2,AJ77))</f>
        <v>3</v>
      </c>
      <c r="AM77" s="154">
        <f>IF(Times!J77="M",6, IF(Times!J77="F",4,""))</f>
        <v>6</v>
      </c>
      <c r="AN77" s="154" t="str">
        <f t="shared" si="84"/>
        <v/>
      </c>
      <c r="AO77" s="154" t="str">
        <f t="shared" si="85"/>
        <v/>
      </c>
    </row>
    <row r="78" spans="26:41" x14ac:dyDescent="0.25">
      <c r="Z78" s="154" t="str">
        <f>CONCATENATE(AE78,Times!AD78)</f>
        <v>VMIlford AC</v>
      </c>
      <c r="AA78" s="154" t="str">
        <f>Times!AD78</f>
        <v>MIlford AC</v>
      </c>
      <c r="AB78" s="154" t="str">
        <f>IF(AK78="Y",CONCATENATE(AA78,COUNTIFS($AK$2:AK78,"=Y",$AA$2:AA78,AA78)),"")</f>
        <v/>
      </c>
      <c r="AC78" s="154" t="str">
        <f>Times!K78</f>
        <v>Alan Pearl</v>
      </c>
      <c r="AD78" s="154">
        <f>Times!G78</f>
        <v>73</v>
      </c>
      <c r="AE78" s="154" t="str">
        <f>IF(Times!D78&lt;&gt;"",IF(ISERR(SEARCH("V",Times!I78,1)),IF(ISERR(SEARCH("S",Times!I78,1)),"S","S"),"V"),"")</f>
        <v>V</v>
      </c>
      <c r="AF78" s="161">
        <f>IF(Times!D78&lt;&gt;"",SUMIFS(Times!$G$2:G78,$AA$2:AA78,AA78,$AK$2:AK78,"Y"),"")</f>
        <v>56</v>
      </c>
      <c r="AG78" s="154" t="str">
        <f>IF(Times!D78&lt;&gt;"",IF(AND(Times!J78="M",AI78+AL78=AM78,AK78="Y"),AF78,""),"")</f>
        <v/>
      </c>
      <c r="AH78" s="154" t="str">
        <f>IF(Times!D78&lt;&gt;"",IF(AND(Times!J78="F",AI78+AL78=AM78,AK78="Y"),AF78,""),"")</f>
        <v/>
      </c>
      <c r="AI78" s="154">
        <f>COUNTIF(Z$2:Z78,CONCATENATE("V",AA78))</f>
        <v>6</v>
      </c>
      <c r="AJ78" s="154">
        <f>COUNTIF(Z$2:Z78,CONCATENATE("S",AA78))</f>
        <v>5</v>
      </c>
      <c r="AK78" s="154" t="str">
        <f t="shared" si="83"/>
        <v>N</v>
      </c>
      <c r="AL78" s="154">
        <f>IF(AND(Times!J78="M",AJ78&gt;3),3, IF(AND(Times!J78="F",AJ78&gt;2),2,AJ78))</f>
        <v>3</v>
      </c>
      <c r="AM78" s="154">
        <f>IF(Times!J78="M",6, IF(Times!J78="F",4,""))</f>
        <v>6</v>
      </c>
      <c r="AN78" s="154" t="str">
        <f t="shared" si="84"/>
        <v/>
      </c>
      <c r="AO78" s="154" t="str">
        <f t="shared" si="85"/>
        <v/>
      </c>
    </row>
    <row r="79" spans="26:41" x14ac:dyDescent="0.25">
      <c r="Z79" s="154" t="str">
        <f>CONCATENATE(AE79,Times!AD79)</f>
        <v>VMOrion Harriers</v>
      </c>
      <c r="AA79" s="154" t="str">
        <f>Times!AD79</f>
        <v>MOrion Harriers</v>
      </c>
      <c r="AB79" s="154" t="str">
        <f>IF(AK79="Y",CONCATENATE(AA79,COUNTIFS($AK$2:AK79,"=Y",$AA$2:AA79,AA79)),"")</f>
        <v>MOrion Harriers5</v>
      </c>
      <c r="AC79" s="154" t="str">
        <f>Times!K79</f>
        <v>John Smith</v>
      </c>
      <c r="AD79" s="154">
        <f>Times!G79</f>
        <v>74</v>
      </c>
      <c r="AE79" s="154" t="str">
        <f>IF(Times!D79&lt;&gt;"",IF(ISERR(SEARCH("V",Times!I79,1)),IF(ISERR(SEARCH("S",Times!I79,1)),"S","S"),"V"),"")</f>
        <v>V</v>
      </c>
      <c r="AF79" s="161">
        <f>IF(Times!D79&lt;&gt;"",SUMIFS(Times!$G$2:G79,$AA$2:AA79,AA79,$AK$2:AK79,"Y"),"")</f>
        <v>263</v>
      </c>
      <c r="AG79" s="154" t="str">
        <f>IF(Times!D79&lt;&gt;"",IF(AND(Times!J79="M",AI79+AL79=AM79,AK79="Y"),AF79,""),"")</f>
        <v/>
      </c>
      <c r="AH79" s="154" t="str">
        <f>IF(Times!D79&lt;&gt;"",IF(AND(Times!J79="F",AI79+AL79=AM79,AK79="Y"),AF79,""),"")</f>
        <v/>
      </c>
      <c r="AI79" s="154">
        <f>COUNTIF(Z$2:Z79,CONCATENATE("V",AA79))</f>
        <v>3</v>
      </c>
      <c r="AJ79" s="154">
        <f>COUNTIF(Z$2:Z79,CONCATENATE("S",AA79))</f>
        <v>2</v>
      </c>
      <c r="AK79" s="154" t="str">
        <f t="shared" si="83"/>
        <v>Y</v>
      </c>
      <c r="AL79" s="154">
        <f>IF(AND(Times!J79="M",AJ79&gt;3),3, IF(AND(Times!J79="F",AJ79&gt;2),2,AJ79))</f>
        <v>2</v>
      </c>
      <c r="AM79" s="154">
        <f>IF(Times!J79="M",6, IF(Times!J79="F",4,""))</f>
        <v>6</v>
      </c>
      <c r="AN79" s="154" t="str">
        <f t="shared" si="84"/>
        <v/>
      </c>
      <c r="AO79" s="154" t="str">
        <f t="shared" si="85"/>
        <v/>
      </c>
    </row>
    <row r="80" spans="26:41" x14ac:dyDescent="0.25">
      <c r="Z80" s="154" t="str">
        <f>CONCATENATE(AE80,Times!AD80)</f>
        <v>VMU/A</v>
      </c>
      <c r="AA80" s="154" t="str">
        <f>Times!AD80</f>
        <v>MU/A</v>
      </c>
      <c r="AB80" s="154" t="str">
        <f>IF(AK80="Y",CONCATENATE(AA80,COUNTIFS($AK$2:AK80,"=Y",$AA$2:AA80,AA80)),"")</f>
        <v>MU/A1</v>
      </c>
      <c r="AC80" s="154" t="str">
        <f>Times!K80</f>
        <v>Adrain frost</v>
      </c>
      <c r="AD80" s="154">
        <f>Times!G80</f>
        <v>75</v>
      </c>
      <c r="AE80" s="154" t="str">
        <f>IF(Times!D80&lt;&gt;"",IF(ISERR(SEARCH("V",Times!I80,1)),IF(ISERR(SEARCH("S",Times!I80,1)),"S","S"),"V"),"")</f>
        <v>V</v>
      </c>
      <c r="AF80" s="161">
        <f>IF(Times!D80&lt;&gt;"",SUMIFS(Times!$G$2:G80,$AA$2:AA80,AA80,$AK$2:AK80,"Y"),"")</f>
        <v>75</v>
      </c>
      <c r="AG80" s="154" t="str">
        <f>IF(Times!D80&lt;&gt;"",IF(AND(Times!J80="M",AI80+AL80=AM80,AK80="Y"),AF80,""),"")</f>
        <v/>
      </c>
      <c r="AH80" s="154" t="str">
        <f>IF(Times!D80&lt;&gt;"",IF(AND(Times!J80="F",AI80+AL80=AM80,AK80="Y"),AF80,""),"")</f>
        <v/>
      </c>
      <c r="AI80" s="154">
        <f>COUNTIF(Z$2:Z80,CONCATENATE("V",AA80))</f>
        <v>1</v>
      </c>
      <c r="AJ80" s="154">
        <f>COUNTIF(Z$2:Z80,CONCATENATE("S",AA80))</f>
        <v>0</v>
      </c>
      <c r="AK80" s="154" t="str">
        <f t="shared" si="83"/>
        <v>Y</v>
      </c>
      <c r="AL80" s="154">
        <f>IF(AND(Times!J80="M",AJ80&gt;3),3, IF(AND(Times!J80="F",AJ80&gt;2),2,AJ80))</f>
        <v>0</v>
      </c>
      <c r="AM80" s="154">
        <f>IF(Times!J80="M",6, IF(Times!J80="F",4,""))</f>
        <v>6</v>
      </c>
      <c r="AN80" s="154" t="str">
        <f t="shared" si="84"/>
        <v/>
      </c>
      <c r="AO80" s="154" t="str">
        <f t="shared" si="85"/>
        <v/>
      </c>
    </row>
    <row r="81" spans="26:41" x14ac:dyDescent="0.25">
      <c r="Z81" s="154" t="str">
        <f>CONCATENATE(AE81,Times!AD81)</f>
        <v>VMEast London Runners</v>
      </c>
      <c r="AA81" s="154" t="str">
        <f>Times!AD81</f>
        <v>MEast London Runners</v>
      </c>
      <c r="AB81" s="154" t="str">
        <f>IF(AK81="Y",CONCATENATE(AA81,COUNTIFS($AK$2:AK81,"=Y",$AA$2:AA81,AA81)),"")</f>
        <v/>
      </c>
      <c r="AC81" s="154" t="str">
        <f>Times!K81</f>
        <v>Amit Marks</v>
      </c>
      <c r="AD81" s="154">
        <f>Times!G81</f>
        <v>76</v>
      </c>
      <c r="AE81" s="154" t="str">
        <f>IF(Times!D81&lt;&gt;"",IF(ISERR(SEARCH("V",Times!I81,1)),IF(ISERR(SEARCH("S",Times!I81,1)),"S","S"),"V"),"")</f>
        <v>V</v>
      </c>
      <c r="AF81" s="161">
        <f>IF(Times!D81&lt;&gt;"",SUMIFS(Times!$G$2:G81,$AA$2:AA81,AA81,$AK$2:AK81,"Y"),"")</f>
        <v>84</v>
      </c>
      <c r="AG81" s="154" t="str">
        <f>IF(Times!D81&lt;&gt;"",IF(AND(Times!J81="M",AI81+AL81=AM81,AK81="Y"),AF81,""),"")</f>
        <v/>
      </c>
      <c r="AH81" s="154" t="str">
        <f>IF(Times!D81&lt;&gt;"",IF(AND(Times!J81="F",AI81+AL81=AM81,AK81="Y"),AF81,""),"")</f>
        <v/>
      </c>
      <c r="AI81" s="154">
        <f>COUNTIF(Z$2:Z81,CONCATENATE("V",AA81))</f>
        <v>14</v>
      </c>
      <c r="AJ81" s="154">
        <f>COUNTIF(Z$2:Z81,CONCATENATE("S",AA81))</f>
        <v>14</v>
      </c>
      <c r="AK81" s="154" t="str">
        <f t="shared" si="83"/>
        <v>N</v>
      </c>
      <c r="AL81" s="154">
        <f>IF(AND(Times!J81="M",AJ81&gt;3),3, IF(AND(Times!J81="F",AJ81&gt;2),2,AJ81))</f>
        <v>3</v>
      </c>
      <c r="AM81" s="154">
        <f>IF(Times!J81="M",6, IF(Times!J81="F",4,""))</f>
        <v>6</v>
      </c>
      <c r="AN81" s="154" t="str">
        <f t="shared" si="84"/>
        <v/>
      </c>
      <c r="AO81" s="154" t="str">
        <f t="shared" si="85"/>
        <v/>
      </c>
    </row>
    <row r="82" spans="26:41" x14ac:dyDescent="0.25">
      <c r="Z82" s="154" t="str">
        <f>CONCATENATE(AE82,Times!AD82)</f>
        <v>VMU/A</v>
      </c>
      <c r="AA82" s="154" t="str">
        <f>Times!AD82</f>
        <v>MU/A</v>
      </c>
      <c r="AB82" s="154" t="str">
        <f>IF(AK82="Y",CONCATENATE(AA82,COUNTIFS($AK$2:AK82,"=Y",$AA$2:AA82,AA82)),"")</f>
        <v>MU/A2</v>
      </c>
      <c r="AC82" s="154" t="str">
        <f>Times!K82</f>
        <v>Barney Duly</v>
      </c>
      <c r="AD82" s="154">
        <f>Times!G82</f>
        <v>77</v>
      </c>
      <c r="AE82" s="154" t="str">
        <f>IF(Times!D82&lt;&gt;"",IF(ISERR(SEARCH("V",Times!I82,1)),IF(ISERR(SEARCH("S",Times!I82,1)),"S","S"),"V"),"")</f>
        <v>V</v>
      </c>
      <c r="AF82" s="161">
        <f>IF(Times!D82&lt;&gt;"",SUMIFS(Times!$G$2:G82,$AA$2:AA82,AA82,$AK$2:AK82,"Y"),"")</f>
        <v>152</v>
      </c>
      <c r="AG82" s="154" t="str">
        <f>IF(Times!D82&lt;&gt;"",IF(AND(Times!J82="M",AI82+AL82=AM82,AK82="Y"),AF82,""),"")</f>
        <v/>
      </c>
      <c r="AH82" s="154" t="str">
        <f>IF(Times!D82&lt;&gt;"",IF(AND(Times!J82="F",AI82+AL82=AM82,AK82="Y"),AF82,""),"")</f>
        <v/>
      </c>
      <c r="AI82" s="154">
        <f>COUNTIF(Z$2:Z82,CONCATENATE("V",AA82))</f>
        <v>2</v>
      </c>
      <c r="AJ82" s="154">
        <f>COUNTIF(Z$2:Z82,CONCATENATE("S",AA82))</f>
        <v>0</v>
      </c>
      <c r="AK82" s="154" t="str">
        <f t="shared" si="83"/>
        <v>Y</v>
      </c>
      <c r="AL82" s="154">
        <f>IF(AND(Times!J82="M",AJ82&gt;3),3, IF(AND(Times!J82="F",AJ82&gt;2),2,AJ82))</f>
        <v>0</v>
      </c>
      <c r="AM82" s="154">
        <f>IF(Times!J82="M",6, IF(Times!J82="F",4,""))</f>
        <v>6</v>
      </c>
      <c r="AN82" s="154" t="str">
        <f t="shared" si="84"/>
        <v/>
      </c>
      <c r="AO82" s="154" t="str">
        <f t="shared" si="85"/>
        <v/>
      </c>
    </row>
    <row r="83" spans="26:41" x14ac:dyDescent="0.25">
      <c r="Z83" s="154" t="str">
        <f>CONCATENATE(AE83,Times!AD83)</f>
        <v>VMEast London Runners</v>
      </c>
      <c r="AA83" s="154" t="str">
        <f>Times!AD83</f>
        <v>MEast London Runners</v>
      </c>
      <c r="AB83" s="154" t="str">
        <f>IF(AK83="Y",CONCATENATE(AA83,COUNTIFS($AK$2:AK83,"=Y",$AA$2:AA83,AA83)),"")</f>
        <v/>
      </c>
      <c r="AC83" s="154" t="str">
        <f>Times!K83</f>
        <v>peter hatley</v>
      </c>
      <c r="AD83" s="154">
        <f>Times!G83</f>
        <v>78</v>
      </c>
      <c r="AE83" s="154" t="str">
        <f>IF(Times!D83&lt;&gt;"",IF(ISERR(SEARCH("V",Times!I83,1)),IF(ISERR(SEARCH("S",Times!I83,1)),"S","S"),"V"),"")</f>
        <v>V</v>
      </c>
      <c r="AF83" s="161">
        <f>IF(Times!D83&lt;&gt;"",SUMIFS(Times!$G$2:G83,$AA$2:AA83,AA83,$AK$2:AK83,"Y"),"")</f>
        <v>84</v>
      </c>
      <c r="AG83" s="154" t="str">
        <f>IF(Times!D83&lt;&gt;"",IF(AND(Times!J83="M",AI83+AL83=AM83,AK83="Y"),AF83,""),"")</f>
        <v/>
      </c>
      <c r="AH83" s="154" t="str">
        <f>IF(Times!D83&lt;&gt;"",IF(AND(Times!J83="F",AI83+AL83=AM83,AK83="Y"),AF83,""),"")</f>
        <v/>
      </c>
      <c r="AI83" s="154">
        <f>COUNTIF(Z$2:Z83,CONCATENATE("V",AA83))</f>
        <v>15</v>
      </c>
      <c r="AJ83" s="154">
        <f>COUNTIF(Z$2:Z83,CONCATENATE("S",AA83))</f>
        <v>14</v>
      </c>
      <c r="AK83" s="154" t="str">
        <f t="shared" si="83"/>
        <v>N</v>
      </c>
      <c r="AL83" s="154">
        <f>IF(AND(Times!J83="M",AJ83&gt;3),3, IF(AND(Times!J83="F",AJ83&gt;2),2,AJ83))</f>
        <v>3</v>
      </c>
      <c r="AM83" s="154">
        <f>IF(Times!J83="M",6, IF(Times!J83="F",4,""))</f>
        <v>6</v>
      </c>
      <c r="AN83" s="154" t="str">
        <f t="shared" si="84"/>
        <v/>
      </c>
      <c r="AO83" s="154" t="str">
        <f t="shared" si="85"/>
        <v/>
      </c>
    </row>
    <row r="84" spans="26:41" x14ac:dyDescent="0.25">
      <c r="Z84" s="154" t="str">
        <f>CONCATENATE(AE84,Times!AD84)</f>
        <v>VFEast London Runners</v>
      </c>
      <c r="AA84" s="154" t="str">
        <f>Times!AD84</f>
        <v>FEast London Runners</v>
      </c>
      <c r="AB84" s="154" t="str">
        <f>IF(AK84="Y",CONCATENATE(AA84,COUNTIFS($AK$2:AK84,"=Y",$AA$2:AA84,AA84)),"")</f>
        <v>FEast London Runners2</v>
      </c>
      <c r="AC84" s="154" t="str">
        <f>Times!K84</f>
        <v>Caroline Frith</v>
      </c>
      <c r="AD84" s="154">
        <f>Times!G84</f>
        <v>5</v>
      </c>
      <c r="AE84" s="154" t="str">
        <f>IF(Times!D84&lt;&gt;"",IF(ISERR(SEARCH("V",Times!I84,1)),IF(ISERR(SEARCH("S",Times!I84,1)),"S","S"),"V"),"")</f>
        <v>V</v>
      </c>
      <c r="AF84" s="161">
        <f>IF(Times!D84&lt;&gt;"",SUMIFS(Times!$G$2:G84,$AA$2:AA84,AA84,$AK$2:AK84,"Y"),"")</f>
        <v>8</v>
      </c>
      <c r="AG84" s="154" t="str">
        <f>IF(Times!D84&lt;&gt;"",IF(AND(Times!J84="M",AI84+AL84=AM84,AK84="Y"),AF84,""),"")</f>
        <v/>
      </c>
      <c r="AH84" s="154" t="str">
        <f>IF(Times!D84&lt;&gt;"",IF(AND(Times!J84="F",AI84+AL84=AM84,AK84="Y"),AF84,""),"")</f>
        <v/>
      </c>
      <c r="AI84" s="154">
        <f>COUNTIF(Z$2:Z84,CONCATENATE("V",AA84))</f>
        <v>1</v>
      </c>
      <c r="AJ84" s="154">
        <f>COUNTIF(Z$2:Z84,CONCATENATE("S",AA84))</f>
        <v>1</v>
      </c>
      <c r="AK84" s="154" t="str">
        <f t="shared" si="83"/>
        <v>Y</v>
      </c>
      <c r="AL84" s="154">
        <f>IF(AND(Times!J84="M",AJ84&gt;3),3, IF(AND(Times!J84="F",AJ84&gt;2),2,AJ84))</f>
        <v>1</v>
      </c>
      <c r="AM84" s="154">
        <f>IF(Times!J84="M",6, IF(Times!J84="F",4,""))</f>
        <v>4</v>
      </c>
      <c r="AN84" s="154" t="str">
        <f t="shared" si="84"/>
        <v/>
      </c>
      <c r="AO84" s="154" t="str">
        <f t="shared" si="85"/>
        <v/>
      </c>
    </row>
    <row r="85" spans="26:41" x14ac:dyDescent="0.25">
      <c r="Z85" s="154" t="str">
        <f>CONCATENATE(AE85,Times!AD85)</f>
        <v>VMEast London Runners</v>
      </c>
      <c r="AA85" s="154" t="str">
        <f>Times!AD85</f>
        <v>MEast London Runners</v>
      </c>
      <c r="AB85" s="154" t="str">
        <f>IF(AK85="Y",CONCATENATE(AA85,COUNTIFS($AK$2:AK85,"=Y",$AA$2:AA85,AA85)),"")</f>
        <v/>
      </c>
      <c r="AC85" s="154" t="str">
        <f>Times!K85</f>
        <v>Roger Stubbs</v>
      </c>
      <c r="AD85" s="154">
        <f>Times!G85</f>
        <v>79</v>
      </c>
      <c r="AE85" s="154" t="str">
        <f>IF(Times!D85&lt;&gt;"",IF(ISERR(SEARCH("V",Times!I85,1)),IF(ISERR(SEARCH("S",Times!I85,1)),"S","S"),"V"),"")</f>
        <v>V</v>
      </c>
      <c r="AF85" s="161">
        <f>IF(Times!D85&lt;&gt;"",SUMIFS(Times!$G$2:G85,$AA$2:AA85,AA85,$AK$2:AK85,"Y"),"")</f>
        <v>84</v>
      </c>
      <c r="AG85" s="154" t="str">
        <f>IF(Times!D85&lt;&gt;"",IF(AND(Times!J85="M",AI85+AL85=AM85,AK85="Y"),AF85,""),"")</f>
        <v/>
      </c>
      <c r="AH85" s="154" t="str">
        <f>IF(Times!D85&lt;&gt;"",IF(AND(Times!J85="F",AI85+AL85=AM85,AK85="Y"),AF85,""),"")</f>
        <v/>
      </c>
      <c r="AI85" s="154">
        <f>COUNTIF(Z$2:Z85,CONCATENATE("V",AA85))</f>
        <v>16</v>
      </c>
      <c r="AJ85" s="154">
        <f>COUNTIF(Z$2:Z85,CONCATENATE("S",AA85))</f>
        <v>14</v>
      </c>
      <c r="AK85" s="154" t="str">
        <f t="shared" si="83"/>
        <v>N</v>
      </c>
      <c r="AL85" s="154">
        <f>IF(AND(Times!J85="M",AJ85&gt;3),3, IF(AND(Times!J85="F",AJ85&gt;2),2,AJ85))</f>
        <v>3</v>
      </c>
      <c r="AM85" s="154">
        <f>IF(Times!J85="M",6, IF(Times!J85="F",4,""))</f>
        <v>6</v>
      </c>
      <c r="AN85" s="154" t="str">
        <f t="shared" si="84"/>
        <v/>
      </c>
      <c r="AO85" s="154" t="str">
        <f t="shared" si="85"/>
        <v/>
      </c>
    </row>
    <row r="86" spans="26:41" x14ac:dyDescent="0.25">
      <c r="Z86" s="154" t="str">
        <f>CONCATENATE(AE86,Times!AD86)</f>
        <v>SFeast london runners</v>
      </c>
      <c r="AA86" s="154" t="str">
        <f>Times!AD86</f>
        <v>Feast london runners</v>
      </c>
      <c r="AB86" s="154" t="str">
        <f>IF(AK86="Y",CONCATENATE(AA86,COUNTIFS($AK$2:AK86,"=Y",$AA$2:AA86,AA86)),"")</f>
        <v>Feast london runners3</v>
      </c>
      <c r="AC86" s="154" t="str">
        <f>Times!K86</f>
        <v>emily clarke</v>
      </c>
      <c r="AD86" s="154">
        <f>Times!G86</f>
        <v>6</v>
      </c>
      <c r="AE86" s="154" t="str">
        <f>IF(Times!D86&lt;&gt;"",IF(ISERR(SEARCH("V",Times!I86,1)),IF(ISERR(SEARCH("S",Times!I86,1)),"S","S"),"V"),"")</f>
        <v>S</v>
      </c>
      <c r="AF86" s="161">
        <f>IF(Times!D86&lt;&gt;"",SUMIFS(Times!$G$2:G86,$AA$2:AA86,AA86,$AK$2:AK86,"Y"),"")</f>
        <v>14</v>
      </c>
      <c r="AG86" s="154" t="str">
        <f>IF(Times!D86&lt;&gt;"",IF(AND(Times!J86="M",AI86+AL86=AM86,AK86="Y"),AF86,""),"")</f>
        <v/>
      </c>
      <c r="AH86" s="154" t="str">
        <f>IF(Times!D86&lt;&gt;"",IF(AND(Times!J86="F",AI86+AL86=AM86,AK86="Y"),AF86,""),"")</f>
        <v/>
      </c>
      <c r="AI86" s="154">
        <f>COUNTIF(Z$2:Z86,CONCATENATE("V",AA86))</f>
        <v>1</v>
      </c>
      <c r="AJ86" s="154">
        <f>COUNTIF(Z$2:Z86,CONCATENATE("S",AA86))</f>
        <v>2</v>
      </c>
      <c r="AK86" s="154" t="str">
        <f t="shared" si="83"/>
        <v>Y</v>
      </c>
      <c r="AL86" s="154">
        <f>IF(AND(Times!J86="M",AJ86&gt;3),3, IF(AND(Times!J86="F",AJ86&gt;2),2,AJ86))</f>
        <v>2</v>
      </c>
      <c r="AM86" s="154">
        <f>IF(Times!J86="M",6, IF(Times!J86="F",4,""))</f>
        <v>4</v>
      </c>
      <c r="AN86" s="154" t="str">
        <f t="shared" si="84"/>
        <v/>
      </c>
      <c r="AO86" s="154" t="str">
        <f t="shared" si="85"/>
        <v/>
      </c>
    </row>
    <row r="87" spans="26:41" x14ac:dyDescent="0.25">
      <c r="Z87" s="154" t="str">
        <f>CONCATENATE(AE87,Times!AD87)</f>
        <v>VMIlford AC</v>
      </c>
      <c r="AA87" s="154" t="str">
        <f>Times!AD87</f>
        <v>MIlford AC</v>
      </c>
      <c r="AB87" s="154" t="str">
        <f>IF(AK87="Y",CONCATENATE(AA87,COUNTIFS($AK$2:AK87,"=Y",$AA$2:AA87,AA87)),"")</f>
        <v/>
      </c>
      <c r="AC87" s="154" t="str">
        <f>Times!K87</f>
        <v>Bradley Brown</v>
      </c>
      <c r="AD87" s="154">
        <f>Times!G87</f>
        <v>80</v>
      </c>
      <c r="AE87" s="154" t="str">
        <f>IF(Times!D87&lt;&gt;"",IF(ISERR(SEARCH("V",Times!I87,1)),IF(ISERR(SEARCH("S",Times!I87,1)),"S","S"),"V"),"")</f>
        <v>V</v>
      </c>
      <c r="AF87" s="161">
        <f>IF(Times!D87&lt;&gt;"",SUMIFS(Times!$G$2:G87,$AA$2:AA87,AA87,$AK$2:AK87,"Y"),"")</f>
        <v>56</v>
      </c>
      <c r="AG87" s="154" t="str">
        <f>IF(Times!D87&lt;&gt;"",IF(AND(Times!J87="M",AI87+AL87=AM87,AK87="Y"),AF87,""),"")</f>
        <v/>
      </c>
      <c r="AH87" s="154" t="str">
        <f>IF(Times!D87&lt;&gt;"",IF(AND(Times!J87="F",AI87+AL87=AM87,AK87="Y"),AF87,""),"")</f>
        <v/>
      </c>
      <c r="AI87" s="154">
        <f>COUNTIF(Z$2:Z87,CONCATENATE("V",AA87))</f>
        <v>7</v>
      </c>
      <c r="AJ87" s="154">
        <f>COUNTIF(Z$2:Z87,CONCATENATE("S",AA87))</f>
        <v>5</v>
      </c>
      <c r="AK87" s="154" t="str">
        <f t="shared" si="83"/>
        <v>N</v>
      </c>
      <c r="AL87" s="154">
        <f>IF(AND(Times!J87="M",AJ87&gt;3),3, IF(AND(Times!J87="F",AJ87&gt;2),2,AJ87))</f>
        <v>3</v>
      </c>
      <c r="AM87" s="154">
        <f>IF(Times!J87="M",6, IF(Times!J87="F",4,""))</f>
        <v>6</v>
      </c>
      <c r="AN87" s="154" t="str">
        <f t="shared" si="84"/>
        <v/>
      </c>
      <c r="AO87" s="154" t="str">
        <f t="shared" si="85"/>
        <v/>
      </c>
    </row>
    <row r="88" spans="26:41" x14ac:dyDescent="0.25">
      <c r="Z88" s="154" t="str">
        <f>CONCATENATE(AE88,Times!AD88)</f>
        <v>VMRaDA</v>
      </c>
      <c r="AA88" s="154" t="str">
        <f>Times!AD88</f>
        <v>MRaDA</v>
      </c>
      <c r="AB88" s="154" t="str">
        <f>IF(AK88="Y",CONCATENATE(AA88,COUNTIFS($AK$2:AK88,"=Y",$AA$2:AA88,AA88)),"")</f>
        <v>MRaDA1</v>
      </c>
      <c r="AC88" s="154" t="str">
        <f>Times!K88</f>
        <v>Luvvie Darling</v>
      </c>
      <c r="AD88" s="154">
        <f>Times!G88</f>
        <v>81</v>
      </c>
      <c r="AE88" s="154" t="str">
        <f>IF(Times!D88&lt;&gt;"",IF(ISERR(SEARCH("V",Times!I88,1)),IF(ISERR(SEARCH("S",Times!I88,1)),"S","S"),"V"),"")</f>
        <v>V</v>
      </c>
      <c r="AF88" s="161">
        <f>IF(Times!D88&lt;&gt;"",SUMIFS(Times!$G$2:G88,$AA$2:AA88,AA88,$AK$2:AK88,"Y"),"")</f>
        <v>81</v>
      </c>
      <c r="AG88" s="154" t="str">
        <f>IF(Times!D88&lt;&gt;"",IF(AND(Times!J88="M",AI88+AL88=AM88,AK88="Y"),AF88,""),"")</f>
        <v/>
      </c>
      <c r="AH88" s="154" t="str">
        <f>IF(Times!D88&lt;&gt;"",IF(AND(Times!J88="F",AI88+AL88=AM88,AK88="Y"),AF88,""),"")</f>
        <v/>
      </c>
      <c r="AI88" s="154">
        <f>COUNTIF(Z$2:Z88,CONCATENATE("V",AA88))</f>
        <v>1</v>
      </c>
      <c r="AJ88" s="154">
        <f>COUNTIF(Z$2:Z88,CONCATENATE("S",AA88))</f>
        <v>0</v>
      </c>
      <c r="AK88" s="154" t="str">
        <f t="shared" si="83"/>
        <v>Y</v>
      </c>
      <c r="AL88" s="154">
        <f>IF(AND(Times!J88="M",AJ88&gt;3),3, IF(AND(Times!J88="F",AJ88&gt;2),2,AJ88))</f>
        <v>0</v>
      </c>
      <c r="AM88" s="154">
        <f>IF(Times!J88="M",6, IF(Times!J88="F",4,""))</f>
        <v>6</v>
      </c>
      <c r="AN88" s="154" t="str">
        <f t="shared" si="84"/>
        <v/>
      </c>
      <c r="AO88" s="154" t="str">
        <f t="shared" si="85"/>
        <v/>
      </c>
    </row>
    <row r="89" spans="26:41" x14ac:dyDescent="0.25">
      <c r="Z89" s="154" t="str">
        <f>CONCATENATE(AE89,Times!AD89)</f>
        <v>SMDagenham 88 Runners</v>
      </c>
      <c r="AA89" s="154" t="str">
        <f>Times!AD89</f>
        <v>MDagenham 88 Runners</v>
      </c>
      <c r="AB89" s="154" t="str">
        <f>IF(AK89="Y",CONCATENATE(AA89,COUNTIFS($AK$2:AK89,"=Y",$AA$2:AA89,AA89)),"")</f>
        <v>MDagenham 88 Runners2</v>
      </c>
      <c r="AC89" s="154" t="str">
        <f>Times!K89</f>
        <v>Jeff Webster</v>
      </c>
      <c r="AD89" s="154">
        <f>Times!G89</f>
        <v>82</v>
      </c>
      <c r="AE89" s="154" t="str">
        <f>IF(Times!D89&lt;&gt;"",IF(ISERR(SEARCH("V",Times!I89,1)),IF(ISERR(SEARCH("S",Times!I89,1)),"S","S"),"V"),"")</f>
        <v>S</v>
      </c>
      <c r="AF89" s="161">
        <f>IF(Times!D89&lt;&gt;"",SUMIFS(Times!$G$2:G89,$AA$2:AA89,AA89,$AK$2:AK89,"Y"),"")</f>
        <v>128</v>
      </c>
      <c r="AG89" s="154" t="str">
        <f>IF(Times!D89&lt;&gt;"",IF(AND(Times!J89="M",AI89+AL89=AM89,AK89="Y"),AF89,""),"")</f>
        <v/>
      </c>
      <c r="AH89" s="154" t="str">
        <f>IF(Times!D89&lt;&gt;"",IF(AND(Times!J89="F",AI89+AL89=AM89,AK89="Y"),AF89,""),"")</f>
        <v/>
      </c>
      <c r="AI89" s="154">
        <f>COUNTIF(Z$2:Z89,CONCATENATE("V",AA89))</f>
        <v>1</v>
      </c>
      <c r="AJ89" s="154">
        <f>COUNTIF(Z$2:Z89,CONCATENATE("S",AA89))</f>
        <v>1</v>
      </c>
      <c r="AK89" s="154" t="str">
        <f t="shared" si="83"/>
        <v>Y</v>
      </c>
      <c r="AL89" s="154">
        <f>IF(AND(Times!J89="M",AJ89&gt;3),3, IF(AND(Times!J89="F",AJ89&gt;2),2,AJ89))</f>
        <v>1</v>
      </c>
      <c r="AM89" s="154">
        <f>IF(Times!J89="M",6, IF(Times!J89="F",4,""))</f>
        <v>6</v>
      </c>
      <c r="AN89" s="154" t="str">
        <f t="shared" si="84"/>
        <v/>
      </c>
      <c r="AO89" s="154" t="str">
        <f t="shared" si="85"/>
        <v/>
      </c>
    </row>
    <row r="90" spans="26:41" x14ac:dyDescent="0.25">
      <c r="Z90" s="154" t="str">
        <f>CONCATENATE(AE90,Times!AD90)</f>
        <v>VMColtishall Jaguars RC</v>
      </c>
      <c r="AA90" s="154" t="str">
        <f>Times!AD90</f>
        <v>MColtishall Jaguars RC</v>
      </c>
      <c r="AB90" s="154" t="str">
        <f>IF(AK90="Y",CONCATENATE(AA90,COUNTIFS($AK$2:AK90,"=Y",$AA$2:AA90,AA90)),"")</f>
        <v>MColtishall Jaguars RC1</v>
      </c>
      <c r="AC90" s="154" t="str">
        <f>Times!K90</f>
        <v>Dougie Barber</v>
      </c>
      <c r="AD90" s="154">
        <f>Times!G90</f>
        <v>83</v>
      </c>
      <c r="AE90" s="154" t="str">
        <f>IF(Times!D90&lt;&gt;"",IF(ISERR(SEARCH("V",Times!I90,1)),IF(ISERR(SEARCH("S",Times!I90,1)),"S","S"),"V"),"")</f>
        <v>V</v>
      </c>
      <c r="AF90" s="161">
        <f>IF(Times!D90&lt;&gt;"",SUMIFS(Times!$G$2:G90,$AA$2:AA90,AA90,$AK$2:AK90,"Y"),"")</f>
        <v>83</v>
      </c>
      <c r="AG90" s="154" t="str">
        <f>IF(Times!D90&lt;&gt;"",IF(AND(Times!J90="M",AI90+AL90=AM90,AK90="Y"),AF90,""),"")</f>
        <v/>
      </c>
      <c r="AH90" s="154" t="str">
        <f>IF(Times!D90&lt;&gt;"",IF(AND(Times!J90="F",AI90+AL90=AM90,AK90="Y"),AF90,""),"")</f>
        <v/>
      </c>
      <c r="AI90" s="154">
        <f>COUNTIF(Z$2:Z90,CONCATENATE("V",AA90))</f>
        <v>1</v>
      </c>
      <c r="AJ90" s="154">
        <f>COUNTIF(Z$2:Z90,CONCATENATE("S",AA90))</f>
        <v>0</v>
      </c>
      <c r="AK90" s="154" t="str">
        <f t="shared" si="83"/>
        <v>Y</v>
      </c>
      <c r="AL90" s="154">
        <f>IF(AND(Times!J90="M",AJ90&gt;3),3, IF(AND(Times!J90="F",AJ90&gt;2),2,AJ90))</f>
        <v>0</v>
      </c>
      <c r="AM90" s="154">
        <f>IF(Times!J90="M",6, IF(Times!J90="F",4,""))</f>
        <v>6</v>
      </c>
      <c r="AN90" s="154" t="str">
        <f t="shared" si="84"/>
        <v/>
      </c>
      <c r="AO90" s="154" t="str">
        <f t="shared" si="85"/>
        <v/>
      </c>
    </row>
    <row r="91" spans="26:41" x14ac:dyDescent="0.25">
      <c r="Z91" s="154" t="str">
        <f>CONCATENATE(AE91,Times!AD91)</f>
        <v>VMOrion Harriers</v>
      </c>
      <c r="AA91" s="154" t="str">
        <f>Times!AD91</f>
        <v>MOrion Harriers</v>
      </c>
      <c r="AB91" s="154" t="str">
        <f>IF(AK91="Y",CONCATENATE(AA91,COUNTIFS($AK$2:AK91,"=Y",$AA$2:AA91,AA91)),"")</f>
        <v>MOrion Harriers6</v>
      </c>
      <c r="AC91" s="154" t="str">
        <f>Times!K91</f>
        <v>Stephen Bennett</v>
      </c>
      <c r="AD91" s="154">
        <f>Times!G91</f>
        <v>84</v>
      </c>
      <c r="AE91" s="154" t="str">
        <f>IF(Times!D91&lt;&gt;"",IF(ISERR(SEARCH("V",Times!I91,1)),IF(ISERR(SEARCH("S",Times!I91,1)),"S","S"),"V"),"")</f>
        <v>V</v>
      </c>
      <c r="AF91" s="161">
        <f>IF(Times!D91&lt;&gt;"",SUMIFS(Times!$G$2:G91,$AA$2:AA91,AA91,$AK$2:AK91,"Y"),"")</f>
        <v>347</v>
      </c>
      <c r="AG91" s="154">
        <f>IF(Times!D91&lt;&gt;"",IF(AND(Times!J91="M",AI91+AL91=AM91,AK91="Y"),AF91,""),"")</f>
        <v>347</v>
      </c>
      <c r="AH91" s="154" t="str">
        <f>IF(Times!D91&lt;&gt;"",IF(AND(Times!J91="F",AI91+AL91=AM91,AK91="Y"),AF91,""),"")</f>
        <v/>
      </c>
      <c r="AI91" s="154">
        <f>COUNTIF(Z$2:Z91,CONCATENATE("V",AA91))</f>
        <v>4</v>
      </c>
      <c r="AJ91" s="154">
        <f>COUNTIF(Z$2:Z91,CONCATENATE("S",AA91))</f>
        <v>2</v>
      </c>
      <c r="AK91" s="154" t="str">
        <f t="shared" si="83"/>
        <v>Y</v>
      </c>
      <c r="AL91" s="154">
        <f>IF(AND(Times!J91="M",AJ91&gt;3),3, IF(AND(Times!J91="F",AJ91&gt;2),2,AJ91))</f>
        <v>2</v>
      </c>
      <c r="AM91" s="154">
        <f>IF(Times!J91="M",6, IF(Times!J91="F",4,""))</f>
        <v>6</v>
      </c>
      <c r="AN91" s="154">
        <f t="shared" si="84"/>
        <v>5</v>
      </c>
      <c r="AO91" s="154" t="str">
        <f t="shared" si="85"/>
        <v/>
      </c>
    </row>
    <row r="92" spans="26:41" x14ac:dyDescent="0.25">
      <c r="Z92" s="154" t="str">
        <f>CONCATENATE(AE92,Times!AD92)</f>
        <v>SMEast London Runners</v>
      </c>
      <c r="AA92" s="154" t="str">
        <f>Times!AD92</f>
        <v>MEast London Runners</v>
      </c>
      <c r="AB92" s="154" t="str">
        <f>IF(AK92="Y",CONCATENATE(AA92,COUNTIFS($AK$2:AK92,"=Y",$AA$2:AA92,AA92)),"")</f>
        <v/>
      </c>
      <c r="AC92" s="154" t="str">
        <f>Times!K92</f>
        <v>Paul Marshall</v>
      </c>
      <c r="AD92" s="154">
        <f>Times!G92</f>
        <v>85</v>
      </c>
      <c r="AE92" s="154" t="str">
        <f>IF(Times!D92&lt;&gt;"",IF(ISERR(SEARCH("V",Times!I92,1)),IF(ISERR(SEARCH("S",Times!I92,1)),"S","S"),"V"),"")</f>
        <v>S</v>
      </c>
      <c r="AF92" s="161">
        <f>IF(Times!D92&lt;&gt;"",SUMIFS(Times!$G$2:G92,$AA$2:AA92,AA92,$AK$2:AK92,"Y"),"")</f>
        <v>84</v>
      </c>
      <c r="AG92" s="154" t="str">
        <f>IF(Times!D92&lt;&gt;"",IF(AND(Times!J92="M",AI92+AL92=AM92,AK92="Y"),AF92,""),"")</f>
        <v/>
      </c>
      <c r="AH92" s="154" t="str">
        <f>IF(Times!D92&lt;&gt;"",IF(AND(Times!J92="F",AI92+AL92=AM92,AK92="Y"),AF92,""),"")</f>
        <v/>
      </c>
      <c r="AI92" s="154">
        <f>COUNTIF(Z$2:Z92,CONCATENATE("V",AA92))</f>
        <v>16</v>
      </c>
      <c r="AJ92" s="154">
        <f>COUNTIF(Z$2:Z92,CONCATENATE("S",AA92))</f>
        <v>15</v>
      </c>
      <c r="AK92" s="154" t="str">
        <f t="shared" si="83"/>
        <v>N</v>
      </c>
      <c r="AL92" s="154">
        <f>IF(AND(Times!J92="M",AJ92&gt;3),3, IF(AND(Times!J92="F",AJ92&gt;2),2,AJ92))</f>
        <v>3</v>
      </c>
      <c r="AM92" s="154">
        <f>IF(Times!J92="M",6, IF(Times!J92="F",4,""))</f>
        <v>6</v>
      </c>
      <c r="AN92" s="154" t="str">
        <f t="shared" si="84"/>
        <v/>
      </c>
      <c r="AO92" s="154" t="str">
        <f t="shared" si="85"/>
        <v/>
      </c>
    </row>
    <row r="93" spans="26:41" x14ac:dyDescent="0.25">
      <c r="Z93" s="154" t="str">
        <f>CONCATENATE(AE93,Times!AD93)</f>
        <v>VMOrion Harriers</v>
      </c>
      <c r="AA93" s="154" t="str">
        <f>Times!AD93</f>
        <v>MOrion Harriers</v>
      </c>
      <c r="AB93" s="154" t="str">
        <f>IF(AK93="Y",CONCATENATE(AA93,COUNTIFS($AK$2:AK93,"=Y",$AA$2:AA93,AA93)),"")</f>
        <v/>
      </c>
      <c r="AC93" s="154" t="str">
        <f>Times!K93</f>
        <v>Rob Moore</v>
      </c>
      <c r="AD93" s="154">
        <f>Times!G93</f>
        <v>86</v>
      </c>
      <c r="AE93" s="154" t="str">
        <f>IF(Times!D93&lt;&gt;"",IF(ISERR(SEARCH("V",Times!I93,1)),IF(ISERR(SEARCH("S",Times!I93,1)),"S","S"),"V"),"")</f>
        <v>V</v>
      </c>
      <c r="AF93" s="161">
        <f>IF(Times!D93&lt;&gt;"",SUMIFS(Times!$G$2:G93,$AA$2:AA93,AA93,$AK$2:AK93,"Y"),"")</f>
        <v>347</v>
      </c>
      <c r="AG93" s="154" t="str">
        <f>IF(Times!D93&lt;&gt;"",IF(AND(Times!J93="M",AI93+AL93=AM93,AK93="Y"),AF93,""),"")</f>
        <v/>
      </c>
      <c r="AH93" s="154" t="str">
        <f>IF(Times!D93&lt;&gt;"",IF(AND(Times!J93="F",AI93+AL93=AM93,AK93="Y"),AF93,""),"")</f>
        <v/>
      </c>
      <c r="AI93" s="154">
        <f>COUNTIF(Z$2:Z93,CONCATENATE("V",AA93))</f>
        <v>5</v>
      </c>
      <c r="AJ93" s="154">
        <f>COUNTIF(Z$2:Z93,CONCATENATE("S",AA93))</f>
        <v>2</v>
      </c>
      <c r="AK93" s="154" t="str">
        <f t="shared" si="83"/>
        <v>N</v>
      </c>
      <c r="AL93" s="154">
        <f>IF(AND(Times!J93="M",AJ93&gt;3),3, IF(AND(Times!J93="F",AJ93&gt;2),2,AJ93))</f>
        <v>2</v>
      </c>
      <c r="AM93" s="154">
        <f>IF(Times!J93="M",6, IF(Times!J93="F",4,""))</f>
        <v>6</v>
      </c>
      <c r="AN93" s="154" t="str">
        <f t="shared" si="84"/>
        <v/>
      </c>
      <c r="AO93" s="154" t="str">
        <f t="shared" si="85"/>
        <v/>
      </c>
    </row>
    <row r="94" spans="26:41" x14ac:dyDescent="0.25">
      <c r="Z94" s="154" t="str">
        <f>CONCATENATE(AE94,Times!AD94)</f>
        <v>SMIlford AC</v>
      </c>
      <c r="AA94" s="154" t="str">
        <f>Times!AD94</f>
        <v>MIlford AC</v>
      </c>
      <c r="AB94" s="154" t="str">
        <f>IF(AK94="Y",CONCATENATE(AA94,COUNTIFS($AK$2:AK94,"=Y",$AA$2:AA94,AA94)),"")</f>
        <v/>
      </c>
      <c r="AC94" s="154" t="str">
        <f>Times!K94</f>
        <v>Eain Begg</v>
      </c>
      <c r="AD94" s="154">
        <f>Times!G94</f>
        <v>87</v>
      </c>
      <c r="AE94" s="154" t="str">
        <f>IF(Times!D94&lt;&gt;"",IF(ISERR(SEARCH("V",Times!I94,1)),IF(ISERR(SEARCH("S",Times!I94,1)),"S","S"),"V"),"")</f>
        <v>S</v>
      </c>
      <c r="AF94" s="161">
        <f>IF(Times!D94&lt;&gt;"",SUMIFS(Times!$G$2:G94,$AA$2:AA94,AA94,$AK$2:AK94,"Y"),"")</f>
        <v>56</v>
      </c>
      <c r="AG94" s="154" t="str">
        <f>IF(Times!D94&lt;&gt;"",IF(AND(Times!J94="M",AI94+AL94=AM94,AK94="Y"),AF94,""),"")</f>
        <v/>
      </c>
      <c r="AH94" s="154" t="str">
        <f>IF(Times!D94&lt;&gt;"",IF(AND(Times!J94="F",AI94+AL94=AM94,AK94="Y"),AF94,""),"")</f>
        <v/>
      </c>
      <c r="AI94" s="154">
        <f>COUNTIF(Z$2:Z94,CONCATENATE("V",AA94))</f>
        <v>7</v>
      </c>
      <c r="AJ94" s="154">
        <f>COUNTIF(Z$2:Z94,CONCATENATE("S",AA94))</f>
        <v>6</v>
      </c>
      <c r="AK94" s="154" t="str">
        <f t="shared" si="83"/>
        <v>N</v>
      </c>
      <c r="AL94" s="154">
        <f>IF(AND(Times!J94="M",AJ94&gt;3),3, IF(AND(Times!J94="F",AJ94&gt;2),2,AJ94))</f>
        <v>3</v>
      </c>
      <c r="AM94" s="154">
        <f>IF(Times!J94="M",6, IF(Times!J94="F",4,""))</f>
        <v>6</v>
      </c>
      <c r="AN94" s="154" t="str">
        <f t="shared" si="84"/>
        <v/>
      </c>
      <c r="AO94" s="154" t="str">
        <f t="shared" si="85"/>
        <v/>
      </c>
    </row>
    <row r="95" spans="26:41" x14ac:dyDescent="0.25">
      <c r="Z95" s="154" t="str">
        <f>CONCATENATE(AE95,Times!AD95)</f>
        <v>SMEast End Road Runners</v>
      </c>
      <c r="AA95" s="154" t="str">
        <f>Times!AD95</f>
        <v>MEast End Road Runners</v>
      </c>
      <c r="AB95" s="154" t="str">
        <f>IF(AK95="Y",CONCATENATE(AA95,COUNTIFS($AK$2:AK95,"=Y",$AA$2:AA95,AA95)),"")</f>
        <v/>
      </c>
      <c r="AC95" s="154" t="str">
        <f>Times!K95</f>
        <v>Callum Millward</v>
      </c>
      <c r="AD95" s="154">
        <f>Times!G95</f>
        <v>88</v>
      </c>
      <c r="AE95" s="154" t="str">
        <f>IF(Times!D95&lt;&gt;"",IF(ISERR(SEARCH("V",Times!I95,1)),IF(ISERR(SEARCH("S",Times!I95,1)),"S","S"),"V"),"")</f>
        <v>S</v>
      </c>
      <c r="AF95" s="161">
        <f>IF(Times!D95&lt;&gt;"",SUMIFS(Times!$G$2:G95,$AA$2:AA95,AA95,$AK$2:AK95,"Y"),"")</f>
        <v>125</v>
      </c>
      <c r="AG95" s="154" t="str">
        <f>IF(Times!D95&lt;&gt;"",IF(AND(Times!J95="M",AI95+AL95=AM95,AK95="Y"),AF95,""),"")</f>
        <v/>
      </c>
      <c r="AH95" s="154" t="str">
        <f>IF(Times!D95&lt;&gt;"",IF(AND(Times!J95="F",AI95+AL95=AM95,AK95="Y"),AF95,""),"")</f>
        <v/>
      </c>
      <c r="AI95" s="154">
        <f>COUNTIF(Z$2:Z95,CONCATENATE("V",AA95))</f>
        <v>1</v>
      </c>
      <c r="AJ95" s="154">
        <f>COUNTIF(Z$2:Z95,CONCATENATE("S",AA95))</f>
        <v>5</v>
      </c>
      <c r="AK95" s="154" t="str">
        <f t="shared" si="83"/>
        <v>N</v>
      </c>
      <c r="AL95" s="154">
        <f>IF(AND(Times!J95="M",AJ95&gt;3),3, IF(AND(Times!J95="F",AJ95&gt;2),2,AJ95))</f>
        <v>3</v>
      </c>
      <c r="AM95" s="154">
        <f>IF(Times!J95="M",6, IF(Times!J95="F",4,""))</f>
        <v>6</v>
      </c>
      <c r="AN95" s="154" t="str">
        <f t="shared" si="84"/>
        <v/>
      </c>
      <c r="AO95" s="154" t="str">
        <f t="shared" si="85"/>
        <v/>
      </c>
    </row>
    <row r="96" spans="26:41" x14ac:dyDescent="0.25">
      <c r="Z96" s="154" t="str">
        <f>CONCATENATE(AE96,Times!AD96)</f>
        <v>SMEast London Runners</v>
      </c>
      <c r="AA96" s="154" t="str">
        <f>Times!AD96</f>
        <v>MEast London Runners</v>
      </c>
      <c r="AB96" s="154" t="str">
        <f>IF(AK96="Y",CONCATENATE(AA96,COUNTIFS($AK$2:AK96,"=Y",$AA$2:AA96,AA96)),"")</f>
        <v/>
      </c>
      <c r="AC96" s="154" t="str">
        <f>Times!K96</f>
        <v>Jimmy Dale</v>
      </c>
      <c r="AD96" s="154">
        <f>Times!G96</f>
        <v>89</v>
      </c>
      <c r="AE96" s="154" t="str">
        <f>IF(Times!D96&lt;&gt;"",IF(ISERR(SEARCH("V",Times!I96,1)),IF(ISERR(SEARCH("S",Times!I96,1)),"S","S"),"V"),"")</f>
        <v>S</v>
      </c>
      <c r="AF96" s="161">
        <f>IF(Times!D96&lt;&gt;"",SUMIFS(Times!$G$2:G96,$AA$2:AA96,AA96,$AK$2:AK96,"Y"),"")</f>
        <v>84</v>
      </c>
      <c r="AG96" s="154" t="str">
        <f>IF(Times!D96&lt;&gt;"",IF(AND(Times!J96="M",AI96+AL96=AM96,AK96="Y"),AF96,""),"")</f>
        <v/>
      </c>
      <c r="AH96" s="154" t="str">
        <f>IF(Times!D96&lt;&gt;"",IF(AND(Times!J96="F",AI96+AL96=AM96,AK96="Y"),AF96,""),"")</f>
        <v/>
      </c>
      <c r="AI96" s="154">
        <f>COUNTIF(Z$2:Z96,CONCATENATE("V",AA96))</f>
        <v>16</v>
      </c>
      <c r="AJ96" s="154">
        <f>COUNTIF(Z$2:Z96,CONCATENATE("S",AA96))</f>
        <v>16</v>
      </c>
      <c r="AK96" s="154" t="str">
        <f t="shared" si="83"/>
        <v>N</v>
      </c>
      <c r="AL96" s="154">
        <f>IF(AND(Times!J96="M",AJ96&gt;3),3, IF(AND(Times!J96="F",AJ96&gt;2),2,AJ96))</f>
        <v>3</v>
      </c>
      <c r="AM96" s="154">
        <f>IF(Times!J96="M",6, IF(Times!J96="F",4,""))</f>
        <v>6</v>
      </c>
      <c r="AN96" s="154" t="str">
        <f t="shared" si="84"/>
        <v/>
      </c>
      <c r="AO96" s="154" t="str">
        <f t="shared" si="85"/>
        <v/>
      </c>
    </row>
    <row r="97" spans="26:41" x14ac:dyDescent="0.25">
      <c r="Z97" s="154" t="str">
        <f>CONCATENATE(AE97,Times!AD97)</f>
        <v>SMDagenham 88 Runners</v>
      </c>
      <c r="AA97" s="154" t="str">
        <f>Times!AD97</f>
        <v>MDagenham 88 Runners</v>
      </c>
      <c r="AB97" s="154" t="str">
        <f>IF(AK97="Y",CONCATENATE(AA97,COUNTIFS($AK$2:AK97,"=Y",$AA$2:AA97,AA97)),"")</f>
        <v>MDagenham 88 Runners3</v>
      </c>
      <c r="AC97" s="154" t="str">
        <f>Times!K97</f>
        <v>Jamie Austin</v>
      </c>
      <c r="AD97" s="154">
        <f>Times!G97</f>
        <v>90</v>
      </c>
      <c r="AE97" s="154" t="str">
        <f>IF(Times!D97&lt;&gt;"",IF(ISERR(SEARCH("V",Times!I97,1)),IF(ISERR(SEARCH("S",Times!I97,1)),"S","S"),"V"),"")</f>
        <v>S</v>
      </c>
      <c r="AF97" s="161">
        <f>IF(Times!D97&lt;&gt;"",SUMIFS(Times!$G$2:G97,$AA$2:AA97,AA97,$AK$2:AK97,"Y"),"")</f>
        <v>218</v>
      </c>
      <c r="AG97" s="154" t="str">
        <f>IF(Times!D97&lt;&gt;"",IF(AND(Times!J97="M",AI97+AL97=AM97,AK97="Y"),AF97,""),"")</f>
        <v/>
      </c>
      <c r="AH97" s="154" t="str">
        <f>IF(Times!D97&lt;&gt;"",IF(AND(Times!J97="F",AI97+AL97=AM97,AK97="Y"),AF97,""),"")</f>
        <v/>
      </c>
      <c r="AI97" s="154">
        <f>COUNTIF(Z$2:Z97,CONCATENATE("V",AA97))</f>
        <v>1</v>
      </c>
      <c r="AJ97" s="154">
        <f>COUNTIF(Z$2:Z97,CONCATENATE("S",AA97))</f>
        <v>2</v>
      </c>
      <c r="AK97" s="154" t="str">
        <f t="shared" si="83"/>
        <v>Y</v>
      </c>
      <c r="AL97" s="154">
        <f>IF(AND(Times!J97="M",AJ97&gt;3),3, IF(AND(Times!J97="F",AJ97&gt;2),2,AJ97))</f>
        <v>2</v>
      </c>
      <c r="AM97" s="154">
        <f>IF(Times!J97="M",6, IF(Times!J97="F",4,""))</f>
        <v>6</v>
      </c>
      <c r="AN97" s="154" t="str">
        <f t="shared" si="84"/>
        <v/>
      </c>
      <c r="AO97" s="154" t="str">
        <f t="shared" si="85"/>
        <v/>
      </c>
    </row>
    <row r="98" spans="26:41" x14ac:dyDescent="0.25">
      <c r="Z98" s="154" t="str">
        <f>CONCATENATE(AE98,Times!AD98)</f>
        <v>VMDagenham 88 Runners</v>
      </c>
      <c r="AA98" s="154" t="str">
        <f>Times!AD98</f>
        <v>MDagenham 88 Runners</v>
      </c>
      <c r="AB98" s="154" t="str">
        <f>IF(AK98="Y",CONCATENATE(AA98,COUNTIFS($AK$2:AK98,"=Y",$AA$2:AA98,AA98)),"")</f>
        <v>MDagenham 88 Runners4</v>
      </c>
      <c r="AC98" s="154" t="str">
        <f>Times!K98</f>
        <v>Mick Brown</v>
      </c>
      <c r="AD98" s="154">
        <f>Times!G98</f>
        <v>91</v>
      </c>
      <c r="AE98" s="154" t="str">
        <f>IF(Times!D98&lt;&gt;"",IF(ISERR(SEARCH("V",Times!I98,1)),IF(ISERR(SEARCH("S",Times!I98,1)),"S","S"),"V"),"")</f>
        <v>V</v>
      </c>
      <c r="AF98" s="161">
        <f>IF(Times!D98&lt;&gt;"",SUMIFS(Times!$G$2:G98,$AA$2:AA98,AA98,$AK$2:AK98,"Y"),"")</f>
        <v>309</v>
      </c>
      <c r="AG98" s="154" t="str">
        <f>IF(Times!D98&lt;&gt;"",IF(AND(Times!J98="M",AI98+AL98=AM98,AK98="Y"),AF98,""),"")</f>
        <v/>
      </c>
      <c r="AH98" s="154" t="str">
        <f>IF(Times!D98&lt;&gt;"",IF(AND(Times!J98="F",AI98+AL98=AM98,AK98="Y"),AF98,""),"")</f>
        <v/>
      </c>
      <c r="AI98" s="154">
        <f>COUNTIF(Z$2:Z98,CONCATENATE("V",AA98))</f>
        <v>2</v>
      </c>
      <c r="AJ98" s="154">
        <f>COUNTIF(Z$2:Z98,CONCATENATE("S",AA98))</f>
        <v>2</v>
      </c>
      <c r="AK98" s="154" t="str">
        <f t="shared" si="83"/>
        <v>Y</v>
      </c>
      <c r="AL98" s="154">
        <f>IF(AND(Times!J98="M",AJ98&gt;3),3, IF(AND(Times!J98="F",AJ98&gt;2),2,AJ98))</f>
        <v>2</v>
      </c>
      <c r="AM98" s="154">
        <f>IF(Times!J98="M",6, IF(Times!J98="F",4,""))</f>
        <v>6</v>
      </c>
      <c r="AN98" s="154" t="str">
        <f t="shared" si="84"/>
        <v/>
      </c>
      <c r="AO98" s="154" t="str">
        <f t="shared" si="85"/>
        <v/>
      </c>
    </row>
    <row r="99" spans="26:41" x14ac:dyDescent="0.25">
      <c r="Z99" s="154" t="str">
        <f>CONCATENATE(AE99,Times!AD99)</f>
        <v>VFIlford AC</v>
      </c>
      <c r="AA99" s="154" t="str">
        <f>Times!AD99</f>
        <v>FIlford AC</v>
      </c>
      <c r="AB99" s="154" t="str">
        <f>IF(AK99="Y",CONCATENATE(AA99,COUNTIFS($AK$2:AK99,"=Y",$AA$2:AA99,AA99)),"")</f>
        <v>FIlford AC1</v>
      </c>
      <c r="AC99" s="154" t="str">
        <f>Times!K99</f>
        <v>Breege Nordin</v>
      </c>
      <c r="AD99" s="154">
        <f>Times!G99</f>
        <v>7</v>
      </c>
      <c r="AE99" s="154" t="str">
        <f>IF(Times!D99&lt;&gt;"",IF(ISERR(SEARCH("V",Times!I99,1)),IF(ISERR(SEARCH("S",Times!I99,1)),"S","S"),"V"),"")</f>
        <v>V</v>
      </c>
      <c r="AF99" s="161">
        <f>IF(Times!D99&lt;&gt;"",SUMIFS(Times!$G$2:G99,$AA$2:AA99,AA99,$AK$2:AK99,"Y"),"")</f>
        <v>7</v>
      </c>
      <c r="AG99" s="154" t="str">
        <f>IF(Times!D99&lt;&gt;"",IF(AND(Times!J99="M",AI99+AL99=AM99,AK99="Y"),AF99,""),"")</f>
        <v/>
      </c>
      <c r="AH99" s="154" t="str">
        <f>IF(Times!D99&lt;&gt;"",IF(AND(Times!J99="F",AI99+AL99=AM99,AK99="Y"),AF99,""),"")</f>
        <v/>
      </c>
      <c r="AI99" s="154">
        <f>COUNTIF(Z$2:Z99,CONCATENATE("V",AA99))</f>
        <v>1</v>
      </c>
      <c r="AJ99" s="154">
        <f>COUNTIF(Z$2:Z99,CONCATENATE("S",AA99))</f>
        <v>0</v>
      </c>
      <c r="AK99" s="154" t="str">
        <f t="shared" si="83"/>
        <v>Y</v>
      </c>
      <c r="AL99" s="154">
        <f>IF(AND(Times!J99="M",AJ99&gt;3),3, IF(AND(Times!J99="F",AJ99&gt;2),2,AJ99))</f>
        <v>0</v>
      </c>
      <c r="AM99" s="154">
        <f>IF(Times!J99="M",6, IF(Times!J99="F",4,""))</f>
        <v>4</v>
      </c>
      <c r="AN99" s="154" t="str">
        <f t="shared" si="84"/>
        <v/>
      </c>
      <c r="AO99" s="154" t="str">
        <f t="shared" si="85"/>
        <v/>
      </c>
    </row>
    <row r="100" spans="26:41" x14ac:dyDescent="0.25">
      <c r="Z100" s="154" t="str">
        <f>CONCATENATE(AE100,Times!AD100)</f>
        <v>VMHavering 90 Joggers</v>
      </c>
      <c r="AA100" s="154" t="str">
        <f>Times!AD100</f>
        <v>MHavering 90 Joggers</v>
      </c>
      <c r="AB100" s="154" t="str">
        <f>IF(AK100="Y",CONCATENATE(AA100,COUNTIFS($AK$2:AK100,"=Y",$AA$2:AA100,AA100)),"")</f>
        <v>MHavering 90 Joggers4</v>
      </c>
      <c r="AC100" s="154" t="str">
        <f>Times!K100</f>
        <v>Anthony Maplesden</v>
      </c>
      <c r="AD100" s="154">
        <f>Times!G100</f>
        <v>92</v>
      </c>
      <c r="AE100" s="154" t="str">
        <f>IF(Times!D100&lt;&gt;"",IF(ISERR(SEARCH("V",Times!I100,1)),IF(ISERR(SEARCH("S",Times!I100,1)),"S","S"),"V"),"")</f>
        <v>V</v>
      </c>
      <c r="AF100" s="161">
        <f>IF(Times!D100&lt;&gt;"",SUMIFS(Times!$G$2:G100,$AA$2:AA100,AA100,$AK$2:AK100,"Y"),"")</f>
        <v>281</v>
      </c>
      <c r="AG100" s="154" t="str">
        <f>IF(Times!D100&lt;&gt;"",IF(AND(Times!J100="M",AI100+AL100=AM100,AK100="Y"),AF100,""),"")</f>
        <v/>
      </c>
      <c r="AH100" s="154" t="str">
        <f>IF(Times!D100&lt;&gt;"",IF(AND(Times!J100="F",AI100+AL100=AM100,AK100="Y"),AF100,""),"")</f>
        <v/>
      </c>
      <c r="AI100" s="154">
        <f>COUNTIF(Z$2:Z100,CONCATENATE("V",AA100))</f>
        <v>2</v>
      </c>
      <c r="AJ100" s="154">
        <f>COUNTIF(Z$2:Z100,CONCATENATE("S",AA100))</f>
        <v>2</v>
      </c>
      <c r="AK100" s="154" t="str">
        <f t="shared" si="83"/>
        <v>Y</v>
      </c>
      <c r="AL100" s="154">
        <f>IF(AND(Times!J100="M",AJ100&gt;3),3, IF(AND(Times!J100="F",AJ100&gt;2),2,AJ100))</f>
        <v>2</v>
      </c>
      <c r="AM100" s="154">
        <f>IF(Times!J100="M",6, IF(Times!J100="F",4,""))</f>
        <v>6</v>
      </c>
      <c r="AN100" s="154" t="str">
        <f t="shared" si="84"/>
        <v/>
      </c>
      <c r="AO100" s="154" t="str">
        <f t="shared" si="85"/>
        <v/>
      </c>
    </row>
    <row r="101" spans="26:41" x14ac:dyDescent="0.25">
      <c r="Z101" s="154" t="str">
        <f>CONCATENATE(AE101,Times!AD101)</f>
        <v>VMBarking Road Runners</v>
      </c>
      <c r="AA101" s="154" t="str">
        <f>Times!AD101</f>
        <v>MBarking Road Runners</v>
      </c>
      <c r="AB101" s="154" t="str">
        <f>IF(AK101="Y",CONCATENATE(AA101,COUNTIFS($AK$2:AK101,"=Y",$AA$2:AA101,AA101)),"")</f>
        <v/>
      </c>
      <c r="AC101" s="154" t="str">
        <f>Times!K101</f>
        <v>Ronald Vialls</v>
      </c>
      <c r="AD101" s="154">
        <f>Times!G101</f>
        <v>93</v>
      </c>
      <c r="AE101" s="154" t="str">
        <f>IF(Times!D101&lt;&gt;"",IF(ISERR(SEARCH("V",Times!I101,1)),IF(ISERR(SEARCH("S",Times!I101,1)),"S","S"),"V"),"")</f>
        <v>V</v>
      </c>
      <c r="AF101" s="161">
        <f>IF(Times!D101&lt;&gt;"",SUMIFS(Times!$G$2:G101,$AA$2:AA101,AA101,$AK$2:AK101,"Y"),"")</f>
        <v>220</v>
      </c>
      <c r="AG101" s="154" t="str">
        <f>IF(Times!D101&lt;&gt;"",IF(AND(Times!J101="M",AI101+AL101=AM101,AK101="Y"),AF101,""),"")</f>
        <v/>
      </c>
      <c r="AH101" s="154" t="str">
        <f>IF(Times!D101&lt;&gt;"",IF(AND(Times!J101="F",AI101+AL101=AM101,AK101="Y"),AF101,""),"")</f>
        <v/>
      </c>
      <c r="AI101" s="154">
        <f>COUNTIF(Z$2:Z101,CONCATENATE("V",AA101))</f>
        <v>5</v>
      </c>
      <c r="AJ101" s="154">
        <f>COUNTIF(Z$2:Z101,CONCATENATE("S",AA101))</f>
        <v>4</v>
      </c>
      <c r="AK101" s="154" t="str">
        <f t="shared" si="83"/>
        <v>N</v>
      </c>
      <c r="AL101" s="154">
        <f>IF(AND(Times!J101="M",AJ101&gt;3),3, IF(AND(Times!J101="F",AJ101&gt;2),2,AJ101))</f>
        <v>3</v>
      </c>
      <c r="AM101" s="154">
        <f>IF(Times!J101="M",6, IF(Times!J101="F",4,""))</f>
        <v>6</v>
      </c>
      <c r="AN101" s="154" t="str">
        <f t="shared" si="84"/>
        <v/>
      </c>
      <c r="AO101" s="154" t="str">
        <f t="shared" si="85"/>
        <v/>
      </c>
    </row>
    <row r="102" spans="26:41" x14ac:dyDescent="0.25">
      <c r="Z102" s="154" t="str">
        <f>CONCATENATE(AE102,Times!AD102)</f>
        <v>VMDrax All Stars</v>
      </c>
      <c r="AA102" s="154" t="str">
        <f>Times!AD102</f>
        <v>MDrax All Stars</v>
      </c>
      <c r="AB102" s="154" t="str">
        <f>IF(AK102="Y",CONCATENATE(AA102,COUNTIFS($AK$2:AK102,"=Y",$AA$2:AA102,AA102)),"")</f>
        <v>MDrax All Stars1</v>
      </c>
      <c r="AC102" s="154" t="str">
        <f>Times!K102</f>
        <v>Daniel Cogan</v>
      </c>
      <c r="AD102" s="154">
        <f>Times!G102</f>
        <v>94</v>
      </c>
      <c r="AE102" s="154" t="str">
        <f>IF(Times!D102&lt;&gt;"",IF(ISERR(SEARCH("V",Times!I102,1)),IF(ISERR(SEARCH("S",Times!I102,1)),"S","S"),"V"),"")</f>
        <v>V</v>
      </c>
      <c r="AF102" s="161">
        <f>IF(Times!D102&lt;&gt;"",SUMIFS(Times!$G$2:G102,$AA$2:AA102,AA102,$AK$2:AK102,"Y"),"")</f>
        <v>94</v>
      </c>
      <c r="AG102" s="154" t="str">
        <f>IF(Times!D102&lt;&gt;"",IF(AND(Times!J102="M",AI102+AL102=AM102,AK102="Y"),AF102,""),"")</f>
        <v/>
      </c>
      <c r="AH102" s="154" t="str">
        <f>IF(Times!D102&lt;&gt;"",IF(AND(Times!J102="F",AI102+AL102=AM102,AK102="Y"),AF102,""),"")</f>
        <v/>
      </c>
      <c r="AI102" s="154">
        <f>COUNTIF(Z$2:Z102,CONCATENATE("V",AA102))</f>
        <v>1</v>
      </c>
      <c r="AJ102" s="154">
        <f>COUNTIF(Z$2:Z102,CONCATENATE("S",AA102))</f>
        <v>0</v>
      </c>
      <c r="AK102" s="154" t="str">
        <f t="shared" si="83"/>
        <v>Y</v>
      </c>
      <c r="AL102" s="154">
        <f>IF(AND(Times!J102="M",AJ102&gt;3),3, IF(AND(Times!J102="F",AJ102&gt;2),2,AJ102))</f>
        <v>0</v>
      </c>
      <c r="AM102" s="154">
        <f>IF(Times!J102="M",6, IF(Times!J102="F",4,""))</f>
        <v>6</v>
      </c>
      <c r="AN102" s="154" t="str">
        <f t="shared" si="84"/>
        <v/>
      </c>
      <c r="AO102" s="154" t="str">
        <f t="shared" si="85"/>
        <v/>
      </c>
    </row>
    <row r="103" spans="26:41" x14ac:dyDescent="0.25">
      <c r="Z103" s="154" t="str">
        <f>CONCATENATE(AE103,Times!AD103)</f>
        <v>SMEast London Runners</v>
      </c>
      <c r="AA103" s="154" t="str">
        <f>Times!AD103</f>
        <v>MEast London Runners</v>
      </c>
      <c r="AB103" s="154" t="str">
        <f>IF(AK103="Y",CONCATENATE(AA103,COUNTIFS($AK$2:AK103,"=Y",$AA$2:AA103,AA103)),"")</f>
        <v/>
      </c>
      <c r="AC103" s="154" t="str">
        <f>Times!K103</f>
        <v>Richard Potter</v>
      </c>
      <c r="AD103" s="154">
        <f>Times!G103</f>
        <v>95</v>
      </c>
      <c r="AE103" s="154" t="str">
        <f>IF(Times!D103&lt;&gt;"",IF(ISERR(SEARCH("V",Times!I103,1)),IF(ISERR(SEARCH("S",Times!I103,1)),"S","S"),"V"),"")</f>
        <v>S</v>
      </c>
      <c r="AF103" s="161">
        <f>IF(Times!D103&lt;&gt;"",SUMIFS(Times!$G$2:G103,$AA$2:AA103,AA103,$AK$2:AK103,"Y"),"")</f>
        <v>84</v>
      </c>
      <c r="AG103" s="154" t="str">
        <f>IF(Times!D103&lt;&gt;"",IF(AND(Times!J103="M",AI103+AL103=AM103,AK103="Y"),AF103,""),"")</f>
        <v/>
      </c>
      <c r="AH103" s="154" t="str">
        <f>IF(Times!D103&lt;&gt;"",IF(AND(Times!J103="F",AI103+AL103=AM103,AK103="Y"),AF103,""),"")</f>
        <v/>
      </c>
      <c r="AI103" s="154">
        <f>COUNTIF(Z$2:Z103,CONCATENATE("V",AA103))</f>
        <v>16</v>
      </c>
      <c r="AJ103" s="154">
        <f>COUNTIF(Z$2:Z103,CONCATENATE("S",AA103))</f>
        <v>17</v>
      </c>
      <c r="AK103" s="154" t="str">
        <f t="shared" si="83"/>
        <v>N</v>
      </c>
      <c r="AL103" s="154">
        <f>IF(AND(Times!J103="M",AJ103&gt;3),3, IF(AND(Times!J103="F",AJ103&gt;2),2,AJ103))</f>
        <v>3</v>
      </c>
      <c r="AM103" s="154">
        <f>IF(Times!J103="M",6, IF(Times!J103="F",4,""))</f>
        <v>6</v>
      </c>
      <c r="AN103" s="154" t="str">
        <f t="shared" si="84"/>
        <v/>
      </c>
      <c r="AO103" s="154" t="str">
        <f t="shared" si="85"/>
        <v/>
      </c>
    </row>
    <row r="104" spans="26:41" x14ac:dyDescent="0.25">
      <c r="Z104" s="154" t="str">
        <f>CONCATENATE(AE104,Times!AD104)</f>
        <v>VFOrion Harriers</v>
      </c>
      <c r="AA104" s="154" t="str">
        <f>Times!AD104</f>
        <v>FOrion Harriers</v>
      </c>
      <c r="AB104" s="154" t="str">
        <f>IF(AK104="Y",CONCATENATE(AA104,COUNTIFS($AK$2:AK104,"=Y",$AA$2:AA104,AA104)),"")</f>
        <v>FOrion Harriers1</v>
      </c>
      <c r="AC104" s="154" t="str">
        <f>Times!K104</f>
        <v>Alison Taylor</v>
      </c>
      <c r="AD104" s="154">
        <f>Times!G104</f>
        <v>8</v>
      </c>
      <c r="AE104" s="154" t="str">
        <f>IF(Times!D104&lt;&gt;"",IF(ISERR(SEARCH("V",Times!I104,1)),IF(ISERR(SEARCH("S",Times!I104,1)),"S","S"),"V"),"")</f>
        <v>V</v>
      </c>
      <c r="AF104" s="161">
        <f>IF(Times!D104&lt;&gt;"",SUMIFS(Times!$G$2:G104,$AA$2:AA104,AA104,$AK$2:AK104,"Y"),"")</f>
        <v>8</v>
      </c>
      <c r="AG104" s="154" t="str">
        <f>IF(Times!D104&lt;&gt;"",IF(AND(Times!J104="M",AI104+AL104=AM104,AK104="Y"),AF104,""),"")</f>
        <v/>
      </c>
      <c r="AH104" s="154" t="str">
        <f>IF(Times!D104&lt;&gt;"",IF(AND(Times!J104="F",AI104+AL104=AM104,AK104="Y"),AF104,""),"")</f>
        <v/>
      </c>
      <c r="AI104" s="154">
        <f>COUNTIF(Z$2:Z104,CONCATENATE("V",AA104))</f>
        <v>1</v>
      </c>
      <c r="AJ104" s="154">
        <f>COUNTIF(Z$2:Z104,CONCATENATE("S",AA104))</f>
        <v>0</v>
      </c>
      <c r="AK104" s="154" t="str">
        <f t="shared" si="83"/>
        <v>Y</v>
      </c>
      <c r="AL104" s="154">
        <f>IF(AND(Times!J104="M",AJ104&gt;3),3, IF(AND(Times!J104="F",AJ104&gt;2),2,AJ104))</f>
        <v>0</v>
      </c>
      <c r="AM104" s="154">
        <f>IF(Times!J104="M",6, IF(Times!J104="F",4,""))</f>
        <v>4</v>
      </c>
      <c r="AN104" s="154" t="str">
        <f t="shared" si="84"/>
        <v/>
      </c>
      <c r="AO104" s="154" t="str">
        <f t="shared" si="85"/>
        <v/>
      </c>
    </row>
    <row r="105" spans="26:41" x14ac:dyDescent="0.25">
      <c r="Z105" s="154" t="str">
        <f>CONCATENATE(AE105,Times!AD105)</f>
        <v>SMUnattached</v>
      </c>
      <c r="AA105" s="154" t="str">
        <f>Times!AD105</f>
        <v>MUnattached</v>
      </c>
      <c r="AB105" s="154" t="str">
        <f>IF(AK105="Y",CONCATENATE(AA105,COUNTIFS($AK$2:AK105,"=Y",$AA$2:AA105,AA105)),"")</f>
        <v>MUnattached3</v>
      </c>
      <c r="AC105" s="154" t="str">
        <f>Times!K105</f>
        <v>Lee Patten</v>
      </c>
      <c r="AD105" s="154">
        <f>Times!G105</f>
        <v>96</v>
      </c>
      <c r="AE105" s="154" t="str">
        <f>IF(Times!D105&lt;&gt;"",IF(ISERR(SEARCH("V",Times!I105,1)),IF(ISERR(SEARCH("S",Times!I105,1)),"S","S"),"V"),"")</f>
        <v>S</v>
      </c>
      <c r="AF105" s="161">
        <f>IF(Times!D105&lt;&gt;"",SUMIFS(Times!$G$2:G105,$AA$2:AA105,AA105,$AK$2:AK105,"Y"),"")</f>
        <v>189</v>
      </c>
      <c r="AG105" s="154" t="str">
        <f>IF(Times!D105&lt;&gt;"",IF(AND(Times!J105="M",AI105+AL105=AM105,AK105="Y"),AF105,""),"")</f>
        <v/>
      </c>
      <c r="AH105" s="154" t="str">
        <f>IF(Times!D105&lt;&gt;"",IF(AND(Times!J105="F",AI105+AL105=AM105,AK105="Y"),AF105,""),"")</f>
        <v/>
      </c>
      <c r="AI105" s="154">
        <f>COUNTIF(Z$2:Z105,CONCATENATE("V",AA105))</f>
        <v>1</v>
      </c>
      <c r="AJ105" s="154">
        <f>COUNTIF(Z$2:Z105,CONCATENATE("S",AA105))</f>
        <v>2</v>
      </c>
      <c r="AK105" s="154" t="str">
        <f t="shared" si="83"/>
        <v>Y</v>
      </c>
      <c r="AL105" s="154">
        <f>IF(AND(Times!J105="M",AJ105&gt;3),3, IF(AND(Times!J105="F",AJ105&gt;2),2,AJ105))</f>
        <v>2</v>
      </c>
      <c r="AM105" s="154">
        <f>IF(Times!J105="M",6, IF(Times!J105="F",4,""))</f>
        <v>6</v>
      </c>
      <c r="AN105" s="154" t="str">
        <f t="shared" si="84"/>
        <v/>
      </c>
      <c r="AO105" s="154" t="str">
        <f t="shared" si="85"/>
        <v/>
      </c>
    </row>
    <row r="106" spans="26:41" x14ac:dyDescent="0.25">
      <c r="Z106" s="154" t="str">
        <f>CONCATENATE(AE106,Times!AD106)</f>
        <v>VMEast London Runners</v>
      </c>
      <c r="AA106" s="154" t="str">
        <f>Times!AD106</f>
        <v>MEast London Runners</v>
      </c>
      <c r="AB106" s="154" t="str">
        <f>IF(AK106="Y",CONCATENATE(AA106,COUNTIFS($AK$2:AK106,"=Y",$AA$2:AA106,AA106)),"")</f>
        <v/>
      </c>
      <c r="AC106" s="154" t="str">
        <f>Times!K106</f>
        <v>Richard Guest</v>
      </c>
      <c r="AD106" s="154">
        <f>Times!G106</f>
        <v>97</v>
      </c>
      <c r="AE106" s="154" t="str">
        <f>IF(Times!D106&lt;&gt;"",IF(ISERR(SEARCH("V",Times!I106,1)),IF(ISERR(SEARCH("S",Times!I106,1)),"S","S"),"V"),"")</f>
        <v>V</v>
      </c>
      <c r="AF106" s="161">
        <f>IF(Times!D106&lt;&gt;"",SUMIFS(Times!$G$2:G106,$AA$2:AA106,AA106,$AK$2:AK106,"Y"),"")</f>
        <v>84</v>
      </c>
      <c r="AG106" s="154" t="str">
        <f>IF(Times!D106&lt;&gt;"",IF(AND(Times!J106="M",AI106+AL106=AM106,AK106="Y"),AF106,""),"")</f>
        <v/>
      </c>
      <c r="AH106" s="154" t="str">
        <f>IF(Times!D106&lt;&gt;"",IF(AND(Times!J106="F",AI106+AL106=AM106,AK106="Y"),AF106,""),"")</f>
        <v/>
      </c>
      <c r="AI106" s="154">
        <f>COUNTIF(Z$2:Z106,CONCATENATE("V",AA106))</f>
        <v>17</v>
      </c>
      <c r="AJ106" s="154">
        <f>COUNTIF(Z$2:Z106,CONCATENATE("S",AA106))</f>
        <v>17</v>
      </c>
      <c r="AK106" s="154" t="str">
        <f t="shared" si="83"/>
        <v>N</v>
      </c>
      <c r="AL106" s="154">
        <f>IF(AND(Times!J106="M",AJ106&gt;3),3, IF(AND(Times!J106="F",AJ106&gt;2),2,AJ106))</f>
        <v>3</v>
      </c>
      <c r="AM106" s="154">
        <f>IF(Times!J106="M",6, IF(Times!J106="F",4,""))</f>
        <v>6</v>
      </c>
      <c r="AN106" s="154" t="str">
        <f t="shared" si="84"/>
        <v/>
      </c>
      <c r="AO106" s="154" t="str">
        <f t="shared" si="85"/>
        <v/>
      </c>
    </row>
    <row r="107" spans="26:41" x14ac:dyDescent="0.25">
      <c r="Z107" s="154" t="str">
        <f>CONCATENATE(AE107,Times!AD107)</f>
        <v>VMEton Manor AC</v>
      </c>
      <c r="AA107" s="154" t="str">
        <f>Times!AD107</f>
        <v>MEton Manor AC</v>
      </c>
      <c r="AB107" s="154" t="str">
        <f>IF(AK107="Y",CONCATENATE(AA107,COUNTIFS($AK$2:AK107,"=Y",$AA$2:AA107,AA107)),"")</f>
        <v>MEton Manor AC5</v>
      </c>
      <c r="AC107" s="154" t="str">
        <f>Times!K107</f>
        <v>John Black</v>
      </c>
      <c r="AD107" s="154">
        <f>Times!G107</f>
        <v>98</v>
      </c>
      <c r="AE107" s="154" t="str">
        <f>IF(Times!D107&lt;&gt;"",IF(ISERR(SEARCH("V",Times!I107,1)),IF(ISERR(SEARCH("S",Times!I107,1)),"S","S"),"V"),"")</f>
        <v>V</v>
      </c>
      <c r="AF107" s="161">
        <f>IF(Times!D107&lt;&gt;"",SUMIFS(Times!$G$2:G107,$AA$2:AA107,AA107,$AK$2:AK107,"Y"),"")</f>
        <v>261</v>
      </c>
      <c r="AG107" s="154" t="str">
        <f>IF(Times!D107&lt;&gt;"",IF(AND(Times!J107="M",AI107+AL107=AM107,AK107="Y"),AF107,""),"")</f>
        <v/>
      </c>
      <c r="AH107" s="154" t="str">
        <f>IF(Times!D107&lt;&gt;"",IF(AND(Times!J107="F",AI107+AL107=AM107,AK107="Y"),AF107,""),"")</f>
        <v/>
      </c>
      <c r="AI107" s="154">
        <f>COUNTIF(Z$2:Z107,CONCATENATE("V",AA107))</f>
        <v>2</v>
      </c>
      <c r="AJ107" s="154">
        <f>COUNTIF(Z$2:Z107,CONCATENATE("S",AA107))</f>
        <v>3</v>
      </c>
      <c r="AK107" s="154" t="str">
        <f t="shared" si="83"/>
        <v>Y</v>
      </c>
      <c r="AL107" s="154">
        <f>IF(AND(Times!J107="M",AJ107&gt;3),3, IF(AND(Times!J107="F",AJ107&gt;2),2,AJ107))</f>
        <v>3</v>
      </c>
      <c r="AM107" s="154">
        <f>IF(Times!J107="M",6, IF(Times!J107="F",4,""))</f>
        <v>6</v>
      </c>
      <c r="AN107" s="154" t="str">
        <f t="shared" si="84"/>
        <v/>
      </c>
      <c r="AO107" s="154" t="str">
        <f t="shared" si="85"/>
        <v/>
      </c>
    </row>
    <row r="108" spans="26:41" x14ac:dyDescent="0.25">
      <c r="Z108" s="154" t="str">
        <f>CONCATENATE(AE108,Times!AD108)</f>
        <v>SFIlford AC</v>
      </c>
      <c r="AA108" s="154" t="str">
        <f>Times!AD108</f>
        <v>FIlford AC</v>
      </c>
      <c r="AB108" s="154" t="str">
        <f>IF(AK108="Y",CONCATENATE(AA108,COUNTIFS($AK$2:AK108,"=Y",$AA$2:AA108,AA108)),"")</f>
        <v>FIlford AC2</v>
      </c>
      <c r="AC108" s="154" t="str">
        <f>Times!K108</f>
        <v>Carlie Qirem</v>
      </c>
      <c r="AD108" s="154">
        <f>Times!G108</f>
        <v>9</v>
      </c>
      <c r="AE108" s="154" t="str">
        <f>IF(Times!D108&lt;&gt;"",IF(ISERR(SEARCH("V",Times!I108,1)),IF(ISERR(SEARCH("S",Times!I108,1)),"S","S"),"V"),"")</f>
        <v>S</v>
      </c>
      <c r="AF108" s="161">
        <f>IF(Times!D108&lt;&gt;"",SUMIFS(Times!$G$2:G108,$AA$2:AA108,AA108,$AK$2:AK108,"Y"),"")</f>
        <v>16</v>
      </c>
      <c r="AG108" s="154" t="str">
        <f>IF(Times!D108&lt;&gt;"",IF(AND(Times!J108="M",AI108+AL108=AM108,AK108="Y"),AF108,""),"")</f>
        <v/>
      </c>
      <c r="AH108" s="154" t="str">
        <f>IF(Times!D108&lt;&gt;"",IF(AND(Times!J108="F",AI108+AL108=AM108,AK108="Y"),AF108,""),"")</f>
        <v/>
      </c>
      <c r="AI108" s="154">
        <f>COUNTIF(Z$2:Z108,CONCATENATE("V",AA108))</f>
        <v>1</v>
      </c>
      <c r="AJ108" s="154">
        <f>COUNTIF(Z$2:Z108,CONCATENATE("S",AA108))</f>
        <v>1</v>
      </c>
      <c r="AK108" s="154" t="str">
        <f t="shared" si="83"/>
        <v>Y</v>
      </c>
      <c r="AL108" s="154">
        <f>IF(AND(Times!J108="M",AJ108&gt;3),3, IF(AND(Times!J108="F",AJ108&gt;2),2,AJ108))</f>
        <v>1</v>
      </c>
      <c r="AM108" s="154">
        <f>IF(Times!J108="M",6, IF(Times!J108="F",4,""))</f>
        <v>4</v>
      </c>
      <c r="AN108" s="154" t="str">
        <f t="shared" si="84"/>
        <v/>
      </c>
      <c r="AO108" s="154" t="str">
        <f t="shared" si="85"/>
        <v/>
      </c>
    </row>
    <row r="109" spans="26:41" x14ac:dyDescent="0.25">
      <c r="Z109" s="154" t="str">
        <f>CONCATENATE(AE109,Times!AD109)</f>
        <v>VFHarold Wood Running Club</v>
      </c>
      <c r="AA109" s="154" t="str">
        <f>Times!AD109</f>
        <v>FHarold Wood Running Club</v>
      </c>
      <c r="AB109" s="154" t="str">
        <f>IF(AK109="Y",CONCATENATE(AA109,COUNTIFS($AK$2:AK109,"=Y",$AA$2:AA109,AA109)),"")</f>
        <v>FHarold Wood Running Club1</v>
      </c>
      <c r="AC109" s="154" t="str">
        <f>Times!K109</f>
        <v>Linda Day</v>
      </c>
      <c r="AD109" s="154">
        <f>Times!G109</f>
        <v>10</v>
      </c>
      <c r="AE109" s="154" t="str">
        <f>IF(Times!D109&lt;&gt;"",IF(ISERR(SEARCH("V",Times!I109,1)),IF(ISERR(SEARCH("S",Times!I109,1)),"S","S"),"V"),"")</f>
        <v>V</v>
      </c>
      <c r="AF109" s="161">
        <f>IF(Times!D109&lt;&gt;"",SUMIFS(Times!$G$2:G109,$AA$2:AA109,AA109,$AK$2:AK109,"Y"),"")</f>
        <v>10</v>
      </c>
      <c r="AG109" s="154" t="str">
        <f>IF(Times!D109&lt;&gt;"",IF(AND(Times!J109="M",AI109+AL109=AM109,AK109="Y"),AF109,""),"")</f>
        <v/>
      </c>
      <c r="AH109" s="154" t="str">
        <f>IF(Times!D109&lt;&gt;"",IF(AND(Times!J109="F",AI109+AL109=AM109,AK109="Y"),AF109,""),"")</f>
        <v/>
      </c>
      <c r="AI109" s="154">
        <f>COUNTIF(Z$2:Z109,CONCATENATE("V",AA109))</f>
        <v>1</v>
      </c>
      <c r="AJ109" s="154">
        <f>COUNTIF(Z$2:Z109,CONCATENATE("S",AA109))</f>
        <v>0</v>
      </c>
      <c r="AK109" s="154" t="str">
        <f t="shared" si="83"/>
        <v>Y</v>
      </c>
      <c r="AL109" s="154">
        <f>IF(AND(Times!J109="M",AJ109&gt;3),3, IF(AND(Times!J109="F",AJ109&gt;2),2,AJ109))</f>
        <v>0</v>
      </c>
      <c r="AM109" s="154">
        <f>IF(Times!J109="M",6, IF(Times!J109="F",4,""))</f>
        <v>4</v>
      </c>
      <c r="AN109" s="154" t="str">
        <f t="shared" si="84"/>
        <v/>
      </c>
      <c r="AO109" s="154" t="str">
        <f t="shared" si="85"/>
        <v/>
      </c>
    </row>
    <row r="110" spans="26:41" x14ac:dyDescent="0.25">
      <c r="Z110" s="154" t="str">
        <f>CONCATENATE(AE110,Times!AD110)</f>
        <v>SMHarold Wood Running Club</v>
      </c>
      <c r="AA110" s="154" t="str">
        <f>Times!AD110</f>
        <v>MHarold Wood Running Club</v>
      </c>
      <c r="AB110" s="154" t="str">
        <f>IF(AK110="Y",CONCATENATE(AA110,COUNTIFS($AK$2:AK110,"=Y",$AA$2:AA110,AA110)),"")</f>
        <v/>
      </c>
      <c r="AC110" s="154" t="str">
        <f>Times!K110</f>
        <v>Paul Depree</v>
      </c>
      <c r="AD110" s="154">
        <f>Times!G110</f>
        <v>99</v>
      </c>
      <c r="AE110" s="154" t="str">
        <f>IF(Times!D110&lt;&gt;"",IF(ISERR(SEARCH("V",Times!I110,1)),IF(ISERR(SEARCH("S",Times!I110,1)),"S","S"),"V"),"")</f>
        <v>S</v>
      </c>
      <c r="AF110" s="161">
        <f>IF(Times!D110&lt;&gt;"",SUMIFS(Times!$G$2:G110,$AA$2:AA110,AA110,$AK$2:AK110,"Y"),"")</f>
        <v>75</v>
      </c>
      <c r="AG110" s="154" t="str">
        <f>IF(Times!D110&lt;&gt;"",IF(AND(Times!J110="M",AI110+AL110=AM110,AK110="Y"),AF110,""),"")</f>
        <v/>
      </c>
      <c r="AH110" s="154" t="str">
        <f>IF(Times!D110&lt;&gt;"",IF(AND(Times!J110="F",AI110+AL110=AM110,AK110="Y"),AF110,""),"")</f>
        <v/>
      </c>
      <c r="AI110" s="154">
        <f>COUNTIF(Z$2:Z110,CONCATENATE("V",AA110))</f>
        <v>0</v>
      </c>
      <c r="AJ110" s="154">
        <f>COUNTIF(Z$2:Z110,CONCATENATE("S",AA110))</f>
        <v>5</v>
      </c>
      <c r="AK110" s="154" t="str">
        <f t="shared" si="83"/>
        <v>N</v>
      </c>
      <c r="AL110" s="154">
        <f>IF(AND(Times!J110="M",AJ110&gt;3),3, IF(AND(Times!J110="F",AJ110&gt;2),2,AJ110))</f>
        <v>3</v>
      </c>
      <c r="AM110" s="154">
        <f>IF(Times!J110="M",6, IF(Times!J110="F",4,""))</f>
        <v>6</v>
      </c>
      <c r="AN110" s="154" t="str">
        <f t="shared" si="84"/>
        <v/>
      </c>
      <c r="AO110" s="154" t="str">
        <f t="shared" si="85"/>
        <v/>
      </c>
    </row>
    <row r="111" spans="26:41" x14ac:dyDescent="0.25">
      <c r="Z111" s="154" t="str">
        <f>CONCATENATE(AE111,Times!AD111)</f>
        <v>VMIlford AC</v>
      </c>
      <c r="AA111" s="154" t="str">
        <f>Times!AD111</f>
        <v>MIlford AC</v>
      </c>
      <c r="AB111" s="154" t="str">
        <f>IF(AK111="Y",CONCATENATE(AA111,COUNTIFS($AK$2:AK111,"=Y",$AA$2:AA111,AA111)),"")</f>
        <v/>
      </c>
      <c r="AC111" s="154" t="str">
        <f>Times!K111</f>
        <v>Andrew Catton</v>
      </c>
      <c r="AD111" s="154">
        <f>Times!G111</f>
        <v>100</v>
      </c>
      <c r="AE111" s="154" t="str">
        <f>IF(Times!D111&lt;&gt;"",IF(ISERR(SEARCH("V",Times!I111,1)),IF(ISERR(SEARCH("S",Times!I111,1)),"S","S"),"V"),"")</f>
        <v>V</v>
      </c>
      <c r="AF111" s="161">
        <f>IF(Times!D111&lt;&gt;"",SUMIFS(Times!$G$2:G111,$AA$2:AA111,AA111,$AK$2:AK111,"Y"),"")</f>
        <v>56</v>
      </c>
      <c r="AG111" s="154" t="str">
        <f>IF(Times!D111&lt;&gt;"",IF(AND(Times!J111="M",AI111+AL111=AM111,AK111="Y"),AF111,""),"")</f>
        <v/>
      </c>
      <c r="AH111" s="154" t="str">
        <f>IF(Times!D111&lt;&gt;"",IF(AND(Times!J111="F",AI111+AL111=AM111,AK111="Y"),AF111,""),"")</f>
        <v/>
      </c>
      <c r="AI111" s="154">
        <f>COUNTIF(Z$2:Z111,CONCATENATE("V",AA111))</f>
        <v>8</v>
      </c>
      <c r="AJ111" s="154">
        <f>COUNTIF(Z$2:Z111,CONCATENATE("S",AA111))</f>
        <v>6</v>
      </c>
      <c r="AK111" s="154" t="str">
        <f t="shared" si="83"/>
        <v>N</v>
      </c>
      <c r="AL111" s="154">
        <f>IF(AND(Times!J111="M",AJ111&gt;3),3, IF(AND(Times!J111="F",AJ111&gt;2),2,AJ111))</f>
        <v>3</v>
      </c>
      <c r="AM111" s="154">
        <f>IF(Times!J111="M",6, IF(Times!J111="F",4,""))</f>
        <v>6</v>
      </c>
      <c r="AN111" s="154" t="str">
        <f t="shared" si="84"/>
        <v/>
      </c>
      <c r="AO111" s="154" t="str">
        <f t="shared" si="85"/>
        <v/>
      </c>
    </row>
    <row r="112" spans="26:41" x14ac:dyDescent="0.25">
      <c r="Z112" s="154" t="str">
        <f>CONCATENATE(AE112,Times!AD112)</f>
        <v>VMOrion Harriers</v>
      </c>
      <c r="AA112" s="154" t="str">
        <f>Times!AD112</f>
        <v>MOrion Harriers</v>
      </c>
      <c r="AB112" s="154" t="str">
        <f>IF(AK112="Y",CONCATENATE(AA112,COUNTIFS($AK$2:AK112,"=Y",$AA$2:AA112,AA112)),"")</f>
        <v/>
      </c>
      <c r="AC112" s="154" t="str">
        <f>Times!K112</f>
        <v>Danny Fitzsimons</v>
      </c>
      <c r="AD112" s="154">
        <f>Times!G112</f>
        <v>101</v>
      </c>
      <c r="AE112" s="154" t="str">
        <f>IF(Times!D112&lt;&gt;"",IF(ISERR(SEARCH("V",Times!I112,1)),IF(ISERR(SEARCH("S",Times!I112,1)),"S","S"),"V"),"")</f>
        <v>V</v>
      </c>
      <c r="AF112" s="161">
        <f>IF(Times!D112&lt;&gt;"",SUMIFS(Times!$G$2:G112,$AA$2:AA112,AA112,$AK$2:AK112,"Y"),"")</f>
        <v>347</v>
      </c>
      <c r="AG112" s="154" t="str">
        <f>IF(Times!D112&lt;&gt;"",IF(AND(Times!J112="M",AI112+AL112=AM112,AK112="Y"),AF112,""),"")</f>
        <v/>
      </c>
      <c r="AH112" s="154" t="str">
        <f>IF(Times!D112&lt;&gt;"",IF(AND(Times!J112="F",AI112+AL112=AM112,AK112="Y"),AF112,""),"")</f>
        <v/>
      </c>
      <c r="AI112" s="154">
        <f>COUNTIF(Z$2:Z112,CONCATENATE("V",AA112))</f>
        <v>6</v>
      </c>
      <c r="AJ112" s="154">
        <f>COUNTIF(Z$2:Z112,CONCATENATE("S",AA112))</f>
        <v>2</v>
      </c>
      <c r="AK112" s="154" t="str">
        <f t="shared" si="83"/>
        <v>N</v>
      </c>
      <c r="AL112" s="154">
        <f>IF(AND(Times!J112="M",AJ112&gt;3),3, IF(AND(Times!J112="F",AJ112&gt;2),2,AJ112))</f>
        <v>2</v>
      </c>
      <c r="AM112" s="154">
        <f>IF(Times!J112="M",6, IF(Times!J112="F",4,""))</f>
        <v>6</v>
      </c>
      <c r="AN112" s="154" t="str">
        <f t="shared" si="84"/>
        <v/>
      </c>
      <c r="AO112" s="154" t="str">
        <f t="shared" si="85"/>
        <v/>
      </c>
    </row>
    <row r="113" spans="26:41" x14ac:dyDescent="0.25">
      <c r="Z113" s="154" t="str">
        <f>CONCATENATE(AE113,Times!AD113)</f>
        <v>VMEast London Runners</v>
      </c>
      <c r="AA113" s="154" t="str">
        <f>Times!AD113</f>
        <v>MEast London Runners</v>
      </c>
      <c r="AB113" s="154" t="str">
        <f>IF(AK113="Y",CONCATENATE(AA113,COUNTIFS($AK$2:AK113,"=Y",$AA$2:AA113,AA113)),"")</f>
        <v/>
      </c>
      <c r="AC113" s="154" t="str">
        <f>Times!K113</f>
        <v>Regis Martin</v>
      </c>
      <c r="AD113" s="154">
        <f>Times!G113</f>
        <v>102</v>
      </c>
      <c r="AE113" s="154" t="str">
        <f>IF(Times!D113&lt;&gt;"",IF(ISERR(SEARCH("V",Times!I113,1)),IF(ISERR(SEARCH("S",Times!I113,1)),"S","S"),"V"),"")</f>
        <v>V</v>
      </c>
      <c r="AF113" s="161">
        <f>IF(Times!D113&lt;&gt;"",SUMIFS(Times!$G$2:G113,$AA$2:AA113,AA113,$AK$2:AK113,"Y"),"")</f>
        <v>84</v>
      </c>
      <c r="AG113" s="154" t="str">
        <f>IF(Times!D113&lt;&gt;"",IF(AND(Times!J113="M",AI113+AL113=AM113,AK113="Y"),AF113,""),"")</f>
        <v/>
      </c>
      <c r="AH113" s="154" t="str">
        <f>IF(Times!D113&lt;&gt;"",IF(AND(Times!J113="F",AI113+AL113=AM113,AK113="Y"),AF113,""),"")</f>
        <v/>
      </c>
      <c r="AI113" s="154">
        <f>COUNTIF(Z$2:Z113,CONCATENATE("V",AA113))</f>
        <v>18</v>
      </c>
      <c r="AJ113" s="154">
        <f>COUNTIF(Z$2:Z113,CONCATENATE("S",AA113))</f>
        <v>17</v>
      </c>
      <c r="AK113" s="154" t="str">
        <f t="shared" si="83"/>
        <v>N</v>
      </c>
      <c r="AL113" s="154">
        <f>IF(AND(Times!J113="M",AJ113&gt;3),3, IF(AND(Times!J113="F",AJ113&gt;2),2,AJ113))</f>
        <v>3</v>
      </c>
      <c r="AM113" s="154">
        <f>IF(Times!J113="M",6, IF(Times!J113="F",4,""))</f>
        <v>6</v>
      </c>
      <c r="AN113" s="154" t="str">
        <f t="shared" si="84"/>
        <v/>
      </c>
      <c r="AO113" s="154" t="str">
        <f t="shared" si="85"/>
        <v/>
      </c>
    </row>
    <row r="114" spans="26:41" x14ac:dyDescent="0.25">
      <c r="Z114" s="154" t="str">
        <f>CONCATENATE(AE114,Times!AD114)</f>
        <v>VFEton Manor AC</v>
      </c>
      <c r="AA114" s="154" t="str">
        <f>Times!AD114</f>
        <v>FEton Manor AC</v>
      </c>
      <c r="AB114" s="154" t="str">
        <f>IF(AK114="Y",CONCATENATE(AA114,COUNTIFS($AK$2:AK114,"=Y",$AA$2:AA114,AA114)),"")</f>
        <v>FEton Manor AC2</v>
      </c>
      <c r="AC114" s="154" t="str">
        <f>Times!K114</f>
        <v>Kate Malcolm</v>
      </c>
      <c r="AD114" s="154">
        <f>Times!G114</f>
        <v>11</v>
      </c>
      <c r="AE114" s="154" t="str">
        <f>IF(Times!D114&lt;&gt;"",IF(ISERR(SEARCH("V",Times!I114,1)),IF(ISERR(SEARCH("S",Times!I114,1)),"S","S"),"V"),"")</f>
        <v>V</v>
      </c>
      <c r="AF114" s="161">
        <f>IF(Times!D114&lt;&gt;"",SUMIFS(Times!$G$2:G114,$AA$2:AA114,AA114,$AK$2:AK114,"Y"),"")</f>
        <v>15</v>
      </c>
      <c r="AG114" s="154" t="str">
        <f>IF(Times!D114&lt;&gt;"",IF(AND(Times!J114="M",AI114+AL114=AM114,AK114="Y"),AF114,""),"")</f>
        <v/>
      </c>
      <c r="AH114" s="154" t="str">
        <f>IF(Times!D114&lt;&gt;"",IF(AND(Times!J114="F",AI114+AL114=AM114,AK114="Y"),AF114,""),"")</f>
        <v/>
      </c>
      <c r="AI114" s="154">
        <f>COUNTIF(Z$2:Z114,CONCATENATE("V",AA114))</f>
        <v>2</v>
      </c>
      <c r="AJ114" s="154">
        <f>COUNTIF(Z$2:Z114,CONCATENATE("S",AA114))</f>
        <v>0</v>
      </c>
      <c r="AK114" s="154" t="str">
        <f t="shared" si="83"/>
        <v>Y</v>
      </c>
      <c r="AL114" s="154">
        <f>IF(AND(Times!J114="M",AJ114&gt;3),3, IF(AND(Times!J114="F",AJ114&gt;2),2,AJ114))</f>
        <v>0</v>
      </c>
      <c r="AM114" s="154">
        <f>IF(Times!J114="M",6, IF(Times!J114="F",4,""))</f>
        <v>4</v>
      </c>
      <c r="AN114" s="154" t="str">
        <f t="shared" si="84"/>
        <v/>
      </c>
      <c r="AO114" s="154" t="str">
        <f t="shared" si="85"/>
        <v/>
      </c>
    </row>
    <row r="115" spans="26:41" x14ac:dyDescent="0.25">
      <c r="Z115" s="154" t="str">
        <f>CONCATENATE(AE115,Times!AD115)</f>
        <v>VFOrion Harriers</v>
      </c>
      <c r="AA115" s="154" t="str">
        <f>Times!AD115</f>
        <v>FOrion Harriers</v>
      </c>
      <c r="AB115" s="154" t="str">
        <f>IF(AK115="Y",CONCATENATE(AA115,COUNTIFS($AK$2:AK115,"=Y",$AA$2:AA115,AA115)),"")</f>
        <v>FOrion Harriers2</v>
      </c>
      <c r="AC115" s="154" t="str">
        <f>Times!K115</f>
        <v>Christine Inch</v>
      </c>
      <c r="AD115" s="154">
        <f>Times!G115</f>
        <v>12</v>
      </c>
      <c r="AE115" s="154" t="str">
        <f>IF(Times!D115&lt;&gt;"",IF(ISERR(SEARCH("V",Times!I115,1)),IF(ISERR(SEARCH("S",Times!I115,1)),"S","S"),"V"),"")</f>
        <v>V</v>
      </c>
      <c r="AF115" s="161">
        <f>IF(Times!D115&lt;&gt;"",SUMIFS(Times!$G$2:G115,$AA$2:AA115,AA115,$AK$2:AK115,"Y"),"")</f>
        <v>20</v>
      </c>
      <c r="AG115" s="154" t="str">
        <f>IF(Times!D115&lt;&gt;"",IF(AND(Times!J115="M",AI115+AL115=AM115,AK115="Y"),AF115,""),"")</f>
        <v/>
      </c>
      <c r="AH115" s="154" t="str">
        <f>IF(Times!D115&lt;&gt;"",IF(AND(Times!J115="F",AI115+AL115=AM115,AK115="Y"),AF115,""),"")</f>
        <v/>
      </c>
      <c r="AI115" s="154">
        <f>COUNTIF(Z$2:Z115,CONCATENATE("V",AA115))</f>
        <v>2</v>
      </c>
      <c r="AJ115" s="154">
        <f>COUNTIF(Z$2:Z115,CONCATENATE("S",AA115))</f>
        <v>0</v>
      </c>
      <c r="AK115" s="154" t="str">
        <f t="shared" si="83"/>
        <v>Y</v>
      </c>
      <c r="AL115" s="154">
        <f>IF(AND(Times!J115="M",AJ115&gt;3),3, IF(AND(Times!J115="F",AJ115&gt;2),2,AJ115))</f>
        <v>0</v>
      </c>
      <c r="AM115" s="154">
        <f>IF(Times!J115="M",6, IF(Times!J115="F",4,""))</f>
        <v>4</v>
      </c>
      <c r="AN115" s="154" t="str">
        <f t="shared" si="84"/>
        <v/>
      </c>
      <c r="AO115" s="154" t="str">
        <f t="shared" si="85"/>
        <v/>
      </c>
    </row>
    <row r="116" spans="26:41" x14ac:dyDescent="0.25">
      <c r="Z116" s="154" t="str">
        <f>CONCATENATE(AE116,Times!AD116)</f>
        <v>VMEast London Runners</v>
      </c>
      <c r="AA116" s="154" t="str">
        <f>Times!AD116</f>
        <v>MEast London Runners</v>
      </c>
      <c r="AB116" s="154" t="str">
        <f>IF(AK116="Y",CONCATENATE(AA116,COUNTIFS($AK$2:AK116,"=Y",$AA$2:AA116,AA116)),"")</f>
        <v/>
      </c>
      <c r="AC116" s="154" t="str">
        <f>Times!K116</f>
        <v>Grant Conway</v>
      </c>
      <c r="AD116" s="154">
        <f>Times!G116</f>
        <v>103</v>
      </c>
      <c r="AE116" s="154" t="str">
        <f>IF(Times!D116&lt;&gt;"",IF(ISERR(SEARCH("V",Times!I116,1)),IF(ISERR(SEARCH("S",Times!I116,1)),"S","S"),"V"),"")</f>
        <v>V</v>
      </c>
      <c r="AF116" s="161">
        <f>IF(Times!D116&lt;&gt;"",SUMIFS(Times!$G$2:G116,$AA$2:AA116,AA116,$AK$2:AK116,"Y"),"")</f>
        <v>84</v>
      </c>
      <c r="AG116" s="154" t="str">
        <f>IF(Times!D116&lt;&gt;"",IF(AND(Times!J116="M",AI116+AL116=AM116,AK116="Y"),AF116,""),"")</f>
        <v/>
      </c>
      <c r="AH116" s="154" t="str">
        <f>IF(Times!D116&lt;&gt;"",IF(AND(Times!J116="F",AI116+AL116=AM116,AK116="Y"),AF116,""),"")</f>
        <v/>
      </c>
      <c r="AI116" s="154">
        <f>COUNTIF(Z$2:Z116,CONCATENATE("V",AA116))</f>
        <v>19</v>
      </c>
      <c r="AJ116" s="154">
        <f>COUNTIF(Z$2:Z116,CONCATENATE("S",AA116))</f>
        <v>17</v>
      </c>
      <c r="AK116" s="154" t="str">
        <f t="shared" si="83"/>
        <v>N</v>
      </c>
      <c r="AL116" s="154">
        <f>IF(AND(Times!J116="M",AJ116&gt;3),3, IF(AND(Times!J116="F",AJ116&gt;2),2,AJ116))</f>
        <v>3</v>
      </c>
      <c r="AM116" s="154">
        <f>IF(Times!J116="M",6, IF(Times!J116="F",4,""))</f>
        <v>6</v>
      </c>
      <c r="AN116" s="154" t="str">
        <f t="shared" si="84"/>
        <v/>
      </c>
      <c r="AO116" s="154" t="str">
        <f t="shared" si="85"/>
        <v/>
      </c>
    </row>
    <row r="117" spans="26:41" x14ac:dyDescent="0.25">
      <c r="Z117" s="154" t="str">
        <f>CONCATENATE(AE117,Times!AD117)</f>
        <v>VFEast London Runners</v>
      </c>
      <c r="AA117" s="154" t="str">
        <f>Times!AD117</f>
        <v>FEast London Runners</v>
      </c>
      <c r="AB117" s="154" t="str">
        <f>IF(AK117="Y",CONCATENATE(AA117,COUNTIFS($AK$2:AK117,"=Y",$AA$2:AA117,AA117)),"")</f>
        <v>FEast London Runners4</v>
      </c>
      <c r="AC117" s="154" t="str">
        <f>Times!K117</f>
        <v>Katherine Harris</v>
      </c>
      <c r="AD117" s="154">
        <f>Times!G117</f>
        <v>13</v>
      </c>
      <c r="AE117" s="154" t="str">
        <f>IF(Times!D117&lt;&gt;"",IF(ISERR(SEARCH("V",Times!I117,1)),IF(ISERR(SEARCH("S",Times!I117,1)),"S","S"),"V"),"")</f>
        <v>V</v>
      </c>
      <c r="AF117" s="161">
        <f>IF(Times!D117&lt;&gt;"",SUMIFS(Times!$G$2:G117,$AA$2:AA117,AA117,$AK$2:AK117,"Y"),"")</f>
        <v>27</v>
      </c>
      <c r="AG117" s="154" t="str">
        <f>IF(Times!D117&lt;&gt;"",IF(AND(Times!J117="M",AI117+AL117=AM117,AK117="Y"),AF117,""),"")</f>
        <v/>
      </c>
      <c r="AH117" s="154">
        <f>IF(Times!D117&lt;&gt;"",IF(AND(Times!J117="F",AI117+AL117=AM117,AK117="Y"),AF117,""),"")</f>
        <v>27</v>
      </c>
      <c r="AI117" s="154">
        <f>COUNTIF(Z$2:Z117,CONCATENATE("V",AA117))</f>
        <v>2</v>
      </c>
      <c r="AJ117" s="154">
        <f>COUNTIF(Z$2:Z117,CONCATENATE("S",AA117))</f>
        <v>2</v>
      </c>
      <c r="AK117" s="154" t="str">
        <f t="shared" si="83"/>
        <v>Y</v>
      </c>
      <c r="AL117" s="154">
        <f>IF(AND(Times!J117="M",AJ117&gt;3),3, IF(AND(Times!J117="F",AJ117&gt;2),2,AJ117))</f>
        <v>2</v>
      </c>
      <c r="AM117" s="154">
        <f>IF(Times!J117="M",6, IF(Times!J117="F",4,""))</f>
        <v>4</v>
      </c>
      <c r="AN117" s="154" t="str">
        <f t="shared" si="84"/>
        <v/>
      </c>
      <c r="AO117" s="154">
        <f t="shared" si="85"/>
        <v>1</v>
      </c>
    </row>
    <row r="118" spans="26:41" x14ac:dyDescent="0.25">
      <c r="Z118" s="154" t="str">
        <f>CONCATENATE(AE118,Times!AD118)</f>
        <v>VMIlford AC</v>
      </c>
      <c r="AA118" s="154" t="str">
        <f>Times!AD118</f>
        <v>MIlford AC</v>
      </c>
      <c r="AB118" s="154" t="str">
        <f>IF(AK118="Y",CONCATENATE(AA118,COUNTIFS($AK$2:AK118,"=Y",$AA$2:AA118,AA118)),"")</f>
        <v/>
      </c>
      <c r="AC118" s="154" t="str">
        <f>Times!K118</f>
        <v>Anthony Young</v>
      </c>
      <c r="AD118" s="154">
        <f>Times!G118</f>
        <v>104</v>
      </c>
      <c r="AE118" s="154" t="str">
        <f>IF(Times!D118&lt;&gt;"",IF(ISERR(SEARCH("V",Times!I118,1)),IF(ISERR(SEARCH("S",Times!I118,1)),"S","S"),"V"),"")</f>
        <v>V</v>
      </c>
      <c r="AF118" s="161">
        <f>IF(Times!D118&lt;&gt;"",SUMIFS(Times!$G$2:G118,$AA$2:AA118,AA118,$AK$2:AK118,"Y"),"")</f>
        <v>56</v>
      </c>
      <c r="AG118" s="154" t="str">
        <f>IF(Times!D118&lt;&gt;"",IF(AND(Times!J118="M",AI118+AL118=AM118,AK118="Y"),AF118,""),"")</f>
        <v/>
      </c>
      <c r="AH118" s="154" t="str">
        <f>IF(Times!D118&lt;&gt;"",IF(AND(Times!J118="F",AI118+AL118=AM118,AK118="Y"),AF118,""),"")</f>
        <v/>
      </c>
      <c r="AI118" s="154">
        <f>COUNTIF(Z$2:Z118,CONCATENATE("V",AA118))</f>
        <v>9</v>
      </c>
      <c r="AJ118" s="154">
        <f>COUNTIF(Z$2:Z118,CONCATENATE("S",AA118))</f>
        <v>6</v>
      </c>
      <c r="AK118" s="154" t="str">
        <f t="shared" si="83"/>
        <v>N</v>
      </c>
      <c r="AL118" s="154">
        <f>IF(AND(Times!J118="M",AJ118&gt;3),3, IF(AND(Times!J118="F",AJ118&gt;2),2,AJ118))</f>
        <v>3</v>
      </c>
      <c r="AM118" s="154">
        <f>IF(Times!J118="M",6, IF(Times!J118="F",4,""))</f>
        <v>6</v>
      </c>
      <c r="AN118" s="154" t="str">
        <f t="shared" si="84"/>
        <v/>
      </c>
      <c r="AO118" s="154" t="str">
        <f t="shared" si="85"/>
        <v/>
      </c>
    </row>
    <row r="119" spans="26:41" x14ac:dyDescent="0.25">
      <c r="Z119" s="154" t="str">
        <f>CONCATENATE(AE119,Times!AD119)</f>
        <v>VMEast London Runners</v>
      </c>
      <c r="AA119" s="154" t="str">
        <f>Times!AD119</f>
        <v>MEast London Runners</v>
      </c>
      <c r="AB119" s="154" t="str">
        <f>IF(AK119="Y",CONCATENATE(AA119,COUNTIFS($AK$2:AK119,"=Y",$AA$2:AA119,AA119)),"")</f>
        <v/>
      </c>
      <c r="AC119" s="154" t="str">
        <f>Times!K119</f>
        <v>Andrew Howard</v>
      </c>
      <c r="AD119" s="154">
        <f>Times!G119</f>
        <v>105</v>
      </c>
      <c r="AE119" s="154" t="str">
        <f>IF(Times!D119&lt;&gt;"",IF(ISERR(SEARCH("V",Times!I119,1)),IF(ISERR(SEARCH("S",Times!I119,1)),"S","S"),"V"),"")</f>
        <v>V</v>
      </c>
      <c r="AF119" s="161">
        <f>IF(Times!D119&lt;&gt;"",SUMIFS(Times!$G$2:G119,$AA$2:AA119,AA119,$AK$2:AK119,"Y"),"")</f>
        <v>84</v>
      </c>
      <c r="AG119" s="154" t="str">
        <f>IF(Times!D119&lt;&gt;"",IF(AND(Times!J119="M",AI119+AL119=AM119,AK119="Y"),AF119,""),"")</f>
        <v/>
      </c>
      <c r="AH119" s="154" t="str">
        <f>IF(Times!D119&lt;&gt;"",IF(AND(Times!J119="F",AI119+AL119=AM119,AK119="Y"),AF119,""),"")</f>
        <v/>
      </c>
      <c r="AI119" s="154">
        <f>COUNTIF(Z$2:Z119,CONCATENATE("V",AA119))</f>
        <v>20</v>
      </c>
      <c r="AJ119" s="154">
        <f>COUNTIF(Z$2:Z119,CONCATENATE("S",AA119))</f>
        <v>17</v>
      </c>
      <c r="AK119" s="154" t="str">
        <f t="shared" si="83"/>
        <v>N</v>
      </c>
      <c r="AL119" s="154">
        <f>IF(AND(Times!J119="M",AJ119&gt;3),3, IF(AND(Times!J119="F",AJ119&gt;2),2,AJ119))</f>
        <v>3</v>
      </c>
      <c r="AM119" s="154">
        <f>IF(Times!J119="M",6, IF(Times!J119="F",4,""))</f>
        <v>6</v>
      </c>
      <c r="AN119" s="154" t="str">
        <f t="shared" si="84"/>
        <v/>
      </c>
      <c r="AO119" s="154" t="str">
        <f t="shared" si="85"/>
        <v/>
      </c>
    </row>
    <row r="120" spans="26:41" x14ac:dyDescent="0.25">
      <c r="Z120" s="154" t="str">
        <f>CONCATENATE(AE120,Times!AD120)</f>
        <v>SFIlford AC</v>
      </c>
      <c r="AA120" s="154" t="str">
        <f>Times!AD120</f>
        <v>FIlford AC</v>
      </c>
      <c r="AB120" s="154" t="str">
        <f>IF(AK120="Y",CONCATENATE(AA120,COUNTIFS($AK$2:AK120,"=Y",$AA$2:AA120,AA120)),"")</f>
        <v>FIlford AC3</v>
      </c>
      <c r="AC120" s="154" t="str">
        <f>Times!K120</f>
        <v>Jenni Sheehan</v>
      </c>
      <c r="AD120" s="154">
        <f>Times!G120</f>
        <v>14</v>
      </c>
      <c r="AE120" s="154" t="str">
        <f>IF(Times!D120&lt;&gt;"",IF(ISERR(SEARCH("V",Times!I120,1)),IF(ISERR(SEARCH("S",Times!I120,1)),"S","S"),"V"),"")</f>
        <v>S</v>
      </c>
      <c r="AF120" s="161">
        <f>IF(Times!D120&lt;&gt;"",SUMIFS(Times!$G$2:G120,$AA$2:AA120,AA120,$AK$2:AK120,"Y"),"")</f>
        <v>30</v>
      </c>
      <c r="AG120" s="154" t="str">
        <f>IF(Times!D120&lt;&gt;"",IF(AND(Times!J120="M",AI120+AL120=AM120,AK120="Y"),AF120,""),"")</f>
        <v/>
      </c>
      <c r="AH120" s="154" t="str">
        <f>IF(Times!D120&lt;&gt;"",IF(AND(Times!J120="F",AI120+AL120=AM120,AK120="Y"),AF120,""),"")</f>
        <v/>
      </c>
      <c r="AI120" s="154">
        <f>COUNTIF(Z$2:Z120,CONCATENATE("V",AA120))</f>
        <v>1</v>
      </c>
      <c r="AJ120" s="154">
        <f>COUNTIF(Z$2:Z120,CONCATENATE("S",AA120))</f>
        <v>2</v>
      </c>
      <c r="AK120" s="154" t="str">
        <f t="shared" si="83"/>
        <v>Y</v>
      </c>
      <c r="AL120" s="154">
        <f>IF(AND(Times!J120="M",AJ120&gt;3),3, IF(AND(Times!J120="F",AJ120&gt;2),2,AJ120))</f>
        <v>2</v>
      </c>
      <c r="AM120" s="154">
        <f>IF(Times!J120="M",6, IF(Times!J120="F",4,""))</f>
        <v>4</v>
      </c>
      <c r="AN120" s="154" t="str">
        <f t="shared" si="84"/>
        <v/>
      </c>
      <c r="AO120" s="154" t="str">
        <f t="shared" si="85"/>
        <v/>
      </c>
    </row>
    <row r="121" spans="26:41" x14ac:dyDescent="0.25">
      <c r="Z121" s="154" t="str">
        <f>CONCATENATE(AE121,Times!AD121)</f>
        <v>SFHarold Wood Running Club</v>
      </c>
      <c r="AA121" s="154" t="str">
        <f>Times!AD121</f>
        <v>FHarold Wood Running Club</v>
      </c>
      <c r="AB121" s="154" t="str">
        <f>IF(AK121="Y",CONCATENATE(AA121,COUNTIFS($AK$2:AK121,"=Y",$AA$2:AA121,AA121)),"")</f>
        <v>FHarold Wood Running Club2</v>
      </c>
      <c r="AC121" s="154" t="str">
        <f>Times!K121</f>
        <v>Rosie Hatch</v>
      </c>
      <c r="AD121" s="154">
        <f>Times!G121</f>
        <v>15</v>
      </c>
      <c r="AE121" s="154" t="str">
        <f>IF(Times!D121&lt;&gt;"",IF(ISERR(SEARCH("V",Times!I121,1)),IF(ISERR(SEARCH("S",Times!I121,1)),"S","S"),"V"),"")</f>
        <v>S</v>
      </c>
      <c r="AF121" s="161">
        <f>IF(Times!D121&lt;&gt;"",SUMIFS(Times!$G$2:G121,$AA$2:AA121,AA121,$AK$2:AK121,"Y"),"")</f>
        <v>25</v>
      </c>
      <c r="AG121" s="154" t="str">
        <f>IF(Times!D121&lt;&gt;"",IF(AND(Times!J121="M",AI121+AL121=AM121,AK121="Y"),AF121,""),"")</f>
        <v/>
      </c>
      <c r="AH121" s="154" t="str">
        <f>IF(Times!D121&lt;&gt;"",IF(AND(Times!J121="F",AI121+AL121=AM121,AK121="Y"),AF121,""),"")</f>
        <v/>
      </c>
      <c r="AI121" s="154">
        <f>COUNTIF(Z$2:Z121,CONCATENATE("V",AA121))</f>
        <v>1</v>
      </c>
      <c r="AJ121" s="154">
        <f>COUNTIF(Z$2:Z121,CONCATENATE("S",AA121))</f>
        <v>1</v>
      </c>
      <c r="AK121" s="154" t="str">
        <f t="shared" si="83"/>
        <v>Y</v>
      </c>
      <c r="AL121" s="154">
        <f>IF(AND(Times!J121="M",AJ121&gt;3),3, IF(AND(Times!J121="F",AJ121&gt;2),2,AJ121))</f>
        <v>1</v>
      </c>
      <c r="AM121" s="154">
        <f>IF(Times!J121="M",6, IF(Times!J121="F",4,""))</f>
        <v>4</v>
      </c>
      <c r="AN121" s="154" t="str">
        <f t="shared" si="84"/>
        <v/>
      </c>
      <c r="AO121" s="154" t="str">
        <f t="shared" si="85"/>
        <v/>
      </c>
    </row>
    <row r="122" spans="26:41" x14ac:dyDescent="0.25">
      <c r="Z122" s="154" t="str">
        <f>CONCATENATE(AE122,Times!AD122)</f>
        <v>VFOrion Harriers</v>
      </c>
      <c r="AA122" s="154" t="str">
        <f>Times!AD122</f>
        <v>FOrion Harriers</v>
      </c>
      <c r="AB122" s="154" t="str">
        <f>IF(AK122="Y",CONCATENATE(AA122,COUNTIFS($AK$2:AK122,"=Y",$AA$2:AA122,AA122)),"")</f>
        <v>FOrion Harriers3</v>
      </c>
      <c r="AC122" s="154" t="str">
        <f>Times!K122</f>
        <v>Mary Armitage</v>
      </c>
      <c r="AD122" s="154">
        <f>Times!G122</f>
        <v>16</v>
      </c>
      <c r="AE122" s="154" t="str">
        <f>IF(Times!D122&lt;&gt;"",IF(ISERR(SEARCH("V",Times!I122,1)),IF(ISERR(SEARCH("S",Times!I122,1)),"S","S"),"V"),"")</f>
        <v>V</v>
      </c>
      <c r="AF122" s="161">
        <f>IF(Times!D122&lt;&gt;"",SUMIFS(Times!$G$2:G122,$AA$2:AA122,AA122,$AK$2:AK122,"Y"),"")</f>
        <v>36</v>
      </c>
      <c r="AG122" s="154" t="str">
        <f>IF(Times!D122&lt;&gt;"",IF(AND(Times!J122="M",AI122+AL122=AM122,AK122="Y"),AF122,""),"")</f>
        <v/>
      </c>
      <c r="AH122" s="154" t="str">
        <f>IF(Times!D122&lt;&gt;"",IF(AND(Times!J122="F",AI122+AL122=AM122,AK122="Y"),AF122,""),"")</f>
        <v/>
      </c>
      <c r="AI122" s="154">
        <f>COUNTIF(Z$2:Z122,CONCATENATE("V",AA122))</f>
        <v>3</v>
      </c>
      <c r="AJ122" s="154">
        <f>COUNTIF(Z$2:Z122,CONCATENATE("S",AA122))</f>
        <v>0</v>
      </c>
      <c r="AK122" s="154" t="str">
        <f t="shared" si="83"/>
        <v>Y</v>
      </c>
      <c r="AL122" s="154">
        <f>IF(AND(Times!J122="M",AJ122&gt;3),3, IF(AND(Times!J122="F",AJ122&gt;2),2,AJ122))</f>
        <v>0</v>
      </c>
      <c r="AM122" s="154">
        <f>IF(Times!J122="M",6, IF(Times!J122="F",4,""))</f>
        <v>4</v>
      </c>
      <c r="AN122" s="154" t="str">
        <f t="shared" si="84"/>
        <v/>
      </c>
      <c r="AO122" s="154" t="str">
        <f t="shared" si="85"/>
        <v/>
      </c>
    </row>
    <row r="123" spans="26:41" x14ac:dyDescent="0.25">
      <c r="Z123" s="154" t="str">
        <f>CONCATENATE(AE123,Times!AD123)</f>
        <v>VMDagenham 88 Runners</v>
      </c>
      <c r="AA123" s="154" t="str">
        <f>Times!AD123</f>
        <v>MDagenham 88 Runners</v>
      </c>
      <c r="AB123" s="154" t="str">
        <f>IF(AK123="Y",CONCATENATE(AA123,COUNTIFS($AK$2:AK123,"=Y",$AA$2:AA123,AA123)),"")</f>
        <v>MDagenham 88 Runners5</v>
      </c>
      <c r="AC123" s="154" t="str">
        <f>Times!K123</f>
        <v>Jamie Smith</v>
      </c>
      <c r="AD123" s="154">
        <f>Times!G123</f>
        <v>106</v>
      </c>
      <c r="AE123" s="154" t="str">
        <f>IF(Times!D123&lt;&gt;"",IF(ISERR(SEARCH("V",Times!I123,1)),IF(ISERR(SEARCH("S",Times!I123,1)),"S","S"),"V"),"")</f>
        <v>V</v>
      </c>
      <c r="AF123" s="161">
        <f>IF(Times!D123&lt;&gt;"",SUMIFS(Times!$G$2:G123,$AA$2:AA123,AA123,$AK$2:AK123,"Y"),"")</f>
        <v>415</v>
      </c>
      <c r="AG123" s="154" t="str">
        <f>IF(Times!D123&lt;&gt;"",IF(AND(Times!J123="M",AI123+AL123=AM123,AK123="Y"),AF123,""),"")</f>
        <v/>
      </c>
      <c r="AH123" s="154" t="str">
        <f>IF(Times!D123&lt;&gt;"",IF(AND(Times!J123="F",AI123+AL123=AM123,AK123="Y"),AF123,""),"")</f>
        <v/>
      </c>
      <c r="AI123" s="154">
        <f>COUNTIF(Z$2:Z123,CONCATENATE("V",AA123))</f>
        <v>3</v>
      </c>
      <c r="AJ123" s="154">
        <f>COUNTIF(Z$2:Z123,CONCATENATE("S",AA123))</f>
        <v>2</v>
      </c>
      <c r="AK123" s="154" t="str">
        <f t="shared" si="83"/>
        <v>Y</v>
      </c>
      <c r="AL123" s="154">
        <f>IF(AND(Times!J123="M",AJ123&gt;3),3, IF(AND(Times!J123="F",AJ123&gt;2),2,AJ123))</f>
        <v>2</v>
      </c>
      <c r="AM123" s="154">
        <f>IF(Times!J123="M",6, IF(Times!J123="F",4,""))</f>
        <v>6</v>
      </c>
      <c r="AN123" s="154" t="str">
        <f t="shared" si="84"/>
        <v/>
      </c>
      <c r="AO123" s="154" t="str">
        <f t="shared" si="85"/>
        <v/>
      </c>
    </row>
    <row r="124" spans="26:41" x14ac:dyDescent="0.25">
      <c r="Z124" s="154" t="str">
        <f>CONCATENATE(AE124,Times!AD124)</f>
        <v>SFEast End Road Runners</v>
      </c>
      <c r="AA124" s="154" t="str">
        <f>Times!AD124</f>
        <v>FEast End Road Runners</v>
      </c>
      <c r="AB124" s="154" t="str">
        <f>IF(AK124="Y",CONCATENATE(AA124,COUNTIFS($AK$2:AK124,"=Y",$AA$2:AA124,AA124)),"")</f>
        <v>FEast End Road Runners1</v>
      </c>
      <c r="AC124" s="154" t="str">
        <f>Times!K124</f>
        <v>Megan Davies</v>
      </c>
      <c r="AD124" s="154">
        <f>Times!G124</f>
        <v>17</v>
      </c>
      <c r="AE124" s="154" t="str">
        <f>IF(Times!D124&lt;&gt;"",IF(ISERR(SEARCH("V",Times!I124,1)),IF(ISERR(SEARCH("S",Times!I124,1)),"S","S"),"V"),"")</f>
        <v>S</v>
      </c>
      <c r="AF124" s="161">
        <f>IF(Times!D124&lt;&gt;"",SUMIFS(Times!$G$2:G124,$AA$2:AA124,AA124,$AK$2:AK124,"Y"),"")</f>
        <v>17</v>
      </c>
      <c r="AG124" s="154" t="str">
        <f>IF(Times!D124&lt;&gt;"",IF(AND(Times!J124="M",AI124+AL124=AM124,AK124="Y"),AF124,""),"")</f>
        <v/>
      </c>
      <c r="AH124" s="154" t="str">
        <f>IF(Times!D124&lt;&gt;"",IF(AND(Times!J124="F",AI124+AL124=AM124,AK124="Y"),AF124,""),"")</f>
        <v/>
      </c>
      <c r="AI124" s="154">
        <f>COUNTIF(Z$2:Z124,CONCATENATE("V",AA124))</f>
        <v>0</v>
      </c>
      <c r="AJ124" s="154">
        <f>COUNTIF(Z$2:Z124,CONCATENATE("S",AA124))</f>
        <v>1</v>
      </c>
      <c r="AK124" s="154" t="str">
        <f t="shared" si="83"/>
        <v>Y</v>
      </c>
      <c r="AL124" s="154">
        <f>IF(AND(Times!J124="M",AJ124&gt;3),3, IF(AND(Times!J124="F",AJ124&gt;2),2,AJ124))</f>
        <v>1</v>
      </c>
      <c r="AM124" s="154">
        <f>IF(Times!J124="M",6, IF(Times!J124="F",4,""))</f>
        <v>4</v>
      </c>
      <c r="AN124" s="154" t="str">
        <f t="shared" si="84"/>
        <v/>
      </c>
      <c r="AO124" s="154" t="str">
        <f t="shared" si="85"/>
        <v/>
      </c>
    </row>
    <row r="125" spans="26:41" x14ac:dyDescent="0.25">
      <c r="Z125" s="154" t="str">
        <f>CONCATENATE(AE125,Times!AD125)</f>
        <v>VMWoodford Green</v>
      </c>
      <c r="AA125" s="154" t="str">
        <f>Times!AD125</f>
        <v>MWoodford Green</v>
      </c>
      <c r="AB125" s="154" t="str">
        <f>IF(AK125="Y",CONCATENATE(AA125,COUNTIFS($AK$2:AK125,"=Y",$AA$2:AA125,AA125)),"")</f>
        <v>MWoodford Green1</v>
      </c>
      <c r="AC125" s="154" t="str">
        <f>Times!K125</f>
        <v>Roger Green</v>
      </c>
      <c r="AD125" s="154">
        <f>Times!G125</f>
        <v>107</v>
      </c>
      <c r="AE125" s="154" t="str">
        <f>IF(Times!D125&lt;&gt;"",IF(ISERR(SEARCH("V",Times!I125,1)),IF(ISERR(SEARCH("S",Times!I125,1)),"S","S"),"V"),"")</f>
        <v>V</v>
      </c>
      <c r="AF125" s="161">
        <f>IF(Times!D125&lt;&gt;"",SUMIFS(Times!$G$2:G125,$AA$2:AA125,AA125,$AK$2:AK125,"Y"),"")</f>
        <v>107</v>
      </c>
      <c r="AG125" s="154" t="str">
        <f>IF(Times!D125&lt;&gt;"",IF(AND(Times!J125="M",AI125+AL125=AM125,AK125="Y"),AF125,""),"")</f>
        <v/>
      </c>
      <c r="AH125" s="154" t="str">
        <f>IF(Times!D125&lt;&gt;"",IF(AND(Times!J125="F",AI125+AL125=AM125,AK125="Y"),AF125,""),"")</f>
        <v/>
      </c>
      <c r="AI125" s="154">
        <f>COUNTIF(Z$2:Z125,CONCATENATE("V",AA125))</f>
        <v>1</v>
      </c>
      <c r="AJ125" s="154">
        <f>COUNTIF(Z$2:Z125,CONCATENATE("S",AA125))</f>
        <v>0</v>
      </c>
      <c r="AK125" s="154" t="str">
        <f t="shared" si="83"/>
        <v>Y</v>
      </c>
      <c r="AL125" s="154">
        <f>IF(AND(Times!J125="M",AJ125&gt;3),3, IF(AND(Times!J125="F",AJ125&gt;2),2,AJ125))</f>
        <v>0</v>
      </c>
      <c r="AM125" s="154">
        <f>IF(Times!J125="M",6, IF(Times!J125="F",4,""))</f>
        <v>6</v>
      </c>
      <c r="AN125" s="154" t="str">
        <f t="shared" si="84"/>
        <v/>
      </c>
      <c r="AO125" s="154" t="str">
        <f t="shared" si="85"/>
        <v/>
      </c>
    </row>
    <row r="126" spans="26:41" x14ac:dyDescent="0.25">
      <c r="Z126" s="154" t="str">
        <f>CONCATENATE(AE126,Times!AD126)</f>
        <v>VFEton Manor AC</v>
      </c>
      <c r="AA126" s="154" t="str">
        <f>Times!AD126</f>
        <v>FEton Manor AC</v>
      </c>
      <c r="AB126" s="154" t="str">
        <f>IF(AK126="Y",CONCATENATE(AA126,COUNTIFS($AK$2:AK126,"=Y",$AA$2:AA126,AA126)),"")</f>
        <v>FEton Manor AC3</v>
      </c>
      <c r="AC126" s="154" t="str">
        <f>Times!K126</f>
        <v>Gail Hennessy</v>
      </c>
      <c r="AD126" s="154">
        <f>Times!G126</f>
        <v>18</v>
      </c>
      <c r="AE126" s="154" t="str">
        <f>IF(Times!D126&lt;&gt;"",IF(ISERR(SEARCH("V",Times!I126,1)),IF(ISERR(SEARCH("S",Times!I126,1)),"S","S"),"V"),"")</f>
        <v>V</v>
      </c>
      <c r="AF126" s="161">
        <f>IF(Times!D126&lt;&gt;"",SUMIFS(Times!$G$2:G126,$AA$2:AA126,AA126,$AK$2:AK126,"Y"),"")</f>
        <v>33</v>
      </c>
      <c r="AG126" s="154" t="str">
        <f>IF(Times!D126&lt;&gt;"",IF(AND(Times!J126="M",AI126+AL126=AM126,AK126="Y"),AF126,""),"")</f>
        <v/>
      </c>
      <c r="AH126" s="154" t="str">
        <f>IF(Times!D126&lt;&gt;"",IF(AND(Times!J126="F",AI126+AL126=AM126,AK126="Y"),AF126,""),"")</f>
        <v/>
      </c>
      <c r="AI126" s="154">
        <f>COUNTIF(Z$2:Z126,CONCATENATE("V",AA126))</f>
        <v>3</v>
      </c>
      <c r="AJ126" s="154">
        <f>COUNTIF(Z$2:Z126,CONCATENATE("S",AA126))</f>
        <v>0</v>
      </c>
      <c r="AK126" s="154" t="str">
        <f t="shared" si="83"/>
        <v>Y</v>
      </c>
      <c r="AL126" s="154">
        <f>IF(AND(Times!J126="M",AJ126&gt;3),3, IF(AND(Times!J126="F",AJ126&gt;2),2,AJ126))</f>
        <v>0</v>
      </c>
      <c r="AM126" s="154">
        <f>IF(Times!J126="M",6, IF(Times!J126="F",4,""))</f>
        <v>4</v>
      </c>
      <c r="AN126" s="154" t="str">
        <f t="shared" si="84"/>
        <v/>
      </c>
      <c r="AO126" s="154" t="str">
        <f t="shared" si="85"/>
        <v/>
      </c>
    </row>
    <row r="127" spans="26:41" x14ac:dyDescent="0.25">
      <c r="Z127" s="154" t="str">
        <f>CONCATENATE(AE127,Times!AD127)</f>
        <v>VMEast End Road Runners</v>
      </c>
      <c r="AA127" s="154" t="str">
        <f>Times!AD127</f>
        <v>MEast End Road Runners</v>
      </c>
      <c r="AB127" s="154" t="str">
        <f>IF(AK127="Y",CONCATENATE(AA127,COUNTIFS($AK$2:AK127,"=Y",$AA$2:AA127,AA127)),"")</f>
        <v>MEast End Road Runners5</v>
      </c>
      <c r="AC127" s="154" t="str">
        <f>Times!K127</f>
        <v>Adam Shaikh</v>
      </c>
      <c r="AD127" s="154">
        <f>Times!G127</f>
        <v>108</v>
      </c>
      <c r="AE127" s="154" t="str">
        <f>IF(Times!D127&lt;&gt;"",IF(ISERR(SEARCH("V",Times!I127,1)),IF(ISERR(SEARCH("S",Times!I127,1)),"S","S"),"V"),"")</f>
        <v>V</v>
      </c>
      <c r="AF127" s="161">
        <f>IF(Times!D127&lt;&gt;"",SUMIFS(Times!$G$2:G127,$AA$2:AA127,AA127,$AK$2:AK127,"Y"),"")</f>
        <v>233</v>
      </c>
      <c r="AG127" s="154" t="str">
        <f>IF(Times!D127&lt;&gt;"",IF(AND(Times!J127="M",AI127+AL127=AM127,AK127="Y"),AF127,""),"")</f>
        <v/>
      </c>
      <c r="AH127" s="154" t="str">
        <f>IF(Times!D127&lt;&gt;"",IF(AND(Times!J127="F",AI127+AL127=AM127,AK127="Y"),AF127,""),"")</f>
        <v/>
      </c>
      <c r="AI127" s="154">
        <f>COUNTIF(Z$2:Z127,CONCATENATE("V",AA127))</f>
        <v>2</v>
      </c>
      <c r="AJ127" s="154">
        <f>COUNTIF(Z$2:Z127,CONCATENATE("S",AA127))</f>
        <v>5</v>
      </c>
      <c r="AK127" s="154" t="str">
        <f t="shared" si="83"/>
        <v>Y</v>
      </c>
      <c r="AL127" s="154">
        <f>IF(AND(Times!J127="M",AJ127&gt;3),3, IF(AND(Times!J127="F",AJ127&gt;2),2,AJ127))</f>
        <v>3</v>
      </c>
      <c r="AM127" s="154">
        <f>IF(Times!J127="M",6, IF(Times!J127="F",4,""))</f>
        <v>6</v>
      </c>
      <c r="AN127" s="154" t="str">
        <f t="shared" si="84"/>
        <v/>
      </c>
      <c r="AO127" s="154" t="str">
        <f t="shared" si="85"/>
        <v/>
      </c>
    </row>
    <row r="128" spans="26:41" x14ac:dyDescent="0.25">
      <c r="Z128" s="154" t="str">
        <f>CONCATENATE(AE128,Times!AD128)</f>
        <v>VMHavering 90 Joggers</v>
      </c>
      <c r="AA128" s="154" t="str">
        <f>Times!AD128</f>
        <v>MHavering 90 Joggers</v>
      </c>
      <c r="AB128" s="154" t="str">
        <f>IF(AK128="Y",CONCATENATE(AA128,COUNTIFS($AK$2:AK128,"=Y",$AA$2:AA128,AA128)),"")</f>
        <v>MHavering 90 Joggers5</v>
      </c>
      <c r="AC128" s="154" t="str">
        <f>Times!K128</f>
        <v>Roger Winston</v>
      </c>
      <c r="AD128" s="154">
        <f>Times!G128</f>
        <v>109</v>
      </c>
      <c r="AE128" s="154" t="str">
        <f>IF(Times!D128&lt;&gt;"",IF(ISERR(SEARCH("V",Times!I128,1)),IF(ISERR(SEARCH("S",Times!I128,1)),"S","S"),"V"),"")</f>
        <v>V</v>
      </c>
      <c r="AF128" s="161">
        <f>IF(Times!D128&lt;&gt;"",SUMIFS(Times!$G$2:G128,$AA$2:AA128,AA128,$AK$2:AK128,"Y"),"")</f>
        <v>390</v>
      </c>
      <c r="AG128" s="154" t="str">
        <f>IF(Times!D128&lt;&gt;"",IF(AND(Times!J128="M",AI128+AL128=AM128,AK128="Y"),AF128,""),"")</f>
        <v/>
      </c>
      <c r="AH128" s="154" t="str">
        <f>IF(Times!D128&lt;&gt;"",IF(AND(Times!J128="F",AI128+AL128=AM128,AK128="Y"),AF128,""),"")</f>
        <v/>
      </c>
      <c r="AI128" s="154">
        <f>COUNTIF(Z$2:Z128,CONCATENATE("V",AA128))</f>
        <v>3</v>
      </c>
      <c r="AJ128" s="154">
        <f>COUNTIF(Z$2:Z128,CONCATENATE("S",AA128))</f>
        <v>2</v>
      </c>
      <c r="AK128" s="154" t="str">
        <f t="shared" si="83"/>
        <v>Y</v>
      </c>
      <c r="AL128" s="154">
        <f>IF(AND(Times!J128="M",AJ128&gt;3),3, IF(AND(Times!J128="F",AJ128&gt;2),2,AJ128))</f>
        <v>2</v>
      </c>
      <c r="AM128" s="154">
        <f>IF(Times!J128="M",6, IF(Times!J128="F",4,""))</f>
        <v>6</v>
      </c>
      <c r="AN128" s="154" t="str">
        <f t="shared" si="84"/>
        <v/>
      </c>
      <c r="AO128" s="154" t="str">
        <f t="shared" si="85"/>
        <v/>
      </c>
    </row>
    <row r="129" spans="26:41" x14ac:dyDescent="0.25">
      <c r="Z129" s="154" t="str">
        <f>CONCATENATE(AE129,Times!AD129)</f>
        <v>VMEast End Road Runners</v>
      </c>
      <c r="AA129" s="154" t="str">
        <f>Times!AD129</f>
        <v>MEast End Road Runners</v>
      </c>
      <c r="AB129" s="154" t="str">
        <f>IF(AK129="Y",CONCATENATE(AA129,COUNTIFS($AK$2:AK129,"=Y",$AA$2:AA129,AA129)),"")</f>
        <v>MEast End Road Runners6</v>
      </c>
      <c r="AC129" s="154" t="str">
        <f>Times!K129</f>
        <v>Rolston Lecointe</v>
      </c>
      <c r="AD129" s="154">
        <f>Times!G129</f>
        <v>110</v>
      </c>
      <c r="AE129" s="154" t="str">
        <f>IF(Times!D129&lt;&gt;"",IF(ISERR(SEARCH("V",Times!I129,1)),IF(ISERR(SEARCH("S",Times!I129,1)),"S","S"),"V"),"")</f>
        <v>V</v>
      </c>
      <c r="AF129" s="161">
        <f>IF(Times!D129&lt;&gt;"",SUMIFS(Times!$G$2:G129,$AA$2:AA129,AA129,$AK$2:AK129,"Y"),"")</f>
        <v>343</v>
      </c>
      <c r="AG129" s="154">
        <f>IF(Times!D129&lt;&gt;"",IF(AND(Times!J129="M",AI129+AL129=AM129,AK129="Y"),AF129,""),"")</f>
        <v>343</v>
      </c>
      <c r="AH129" s="154" t="str">
        <f>IF(Times!D129&lt;&gt;"",IF(AND(Times!J129="F",AI129+AL129=AM129,AK129="Y"),AF129,""),"")</f>
        <v/>
      </c>
      <c r="AI129" s="154">
        <f>COUNTIF(Z$2:Z129,CONCATENATE("V",AA129))</f>
        <v>3</v>
      </c>
      <c r="AJ129" s="154">
        <f>COUNTIF(Z$2:Z129,CONCATENATE("S",AA129))</f>
        <v>5</v>
      </c>
      <c r="AK129" s="154" t="str">
        <f t="shared" si="83"/>
        <v>Y</v>
      </c>
      <c r="AL129" s="154">
        <f>IF(AND(Times!J129="M",AJ129&gt;3),3, IF(AND(Times!J129="F",AJ129&gt;2),2,AJ129))</f>
        <v>3</v>
      </c>
      <c r="AM129" s="154">
        <f>IF(Times!J129="M",6, IF(Times!J129="F",4,""))</f>
        <v>6</v>
      </c>
      <c r="AN129" s="154">
        <f t="shared" si="84"/>
        <v>4</v>
      </c>
      <c r="AO129" s="154" t="str">
        <f t="shared" si="85"/>
        <v/>
      </c>
    </row>
    <row r="130" spans="26:41" x14ac:dyDescent="0.25">
      <c r="Z130" s="154" t="str">
        <f>CONCATENATE(AE130,Times!AD130)</f>
        <v>SMBarking Road Runners</v>
      </c>
      <c r="AA130" s="154" t="str">
        <f>Times!AD130</f>
        <v>MBarking Road Runners</v>
      </c>
      <c r="AB130" s="154" t="str">
        <f>IF(AK130="Y",CONCATENATE(AA130,COUNTIFS($AK$2:AK130,"=Y",$AA$2:AA130,AA130)),"")</f>
        <v/>
      </c>
      <c r="AC130" s="154" t="str">
        <f>Times!K130</f>
        <v>Rory Burr</v>
      </c>
      <c r="AD130" s="154">
        <f>Times!G130</f>
        <v>111</v>
      </c>
      <c r="AE130" s="154" t="str">
        <f>IF(Times!D130&lt;&gt;"",IF(ISERR(SEARCH("V",Times!I130,1)),IF(ISERR(SEARCH("S",Times!I130,1)),"S","S"),"V"),"")</f>
        <v>S</v>
      </c>
      <c r="AF130" s="161">
        <f>IF(Times!D130&lt;&gt;"",SUMIFS(Times!$G$2:G130,$AA$2:AA130,AA130,$AK$2:AK130,"Y"),"")</f>
        <v>220</v>
      </c>
      <c r="AG130" s="154" t="str">
        <f>IF(Times!D130&lt;&gt;"",IF(AND(Times!J130="M",AI130+AL130=AM130,AK130="Y"),AF130,""),"")</f>
        <v/>
      </c>
      <c r="AH130" s="154" t="str">
        <f>IF(Times!D130&lt;&gt;"",IF(AND(Times!J130="F",AI130+AL130=AM130,AK130="Y"),AF130,""),"")</f>
        <v/>
      </c>
      <c r="AI130" s="154">
        <f>COUNTIF(Z$2:Z130,CONCATENATE("V",AA130))</f>
        <v>5</v>
      </c>
      <c r="AJ130" s="154">
        <f>COUNTIF(Z$2:Z130,CONCATENATE("S",AA130))</f>
        <v>5</v>
      </c>
      <c r="AK130" s="154" t="str">
        <f t="shared" si="83"/>
        <v>N</v>
      </c>
      <c r="AL130" s="154">
        <f>IF(AND(Times!J130="M",AJ130&gt;3),3, IF(AND(Times!J130="F",AJ130&gt;2),2,AJ130))</f>
        <v>3</v>
      </c>
      <c r="AM130" s="154">
        <f>IF(Times!J130="M",6, IF(Times!J130="F",4,""))</f>
        <v>6</v>
      </c>
      <c r="AN130" s="154" t="str">
        <f t="shared" si="84"/>
        <v/>
      </c>
      <c r="AO130" s="154" t="str">
        <f t="shared" si="85"/>
        <v/>
      </c>
    </row>
    <row r="131" spans="26:41" x14ac:dyDescent="0.25">
      <c r="Z131" s="154" t="str">
        <f>CONCATENATE(AE131,Times!AD131)</f>
        <v>SMEast End Road Runners</v>
      </c>
      <c r="AA131" s="154" t="str">
        <f>Times!AD131</f>
        <v>MEast End Road Runners</v>
      </c>
      <c r="AB131" s="154" t="str">
        <f>IF(AK131="Y",CONCATENATE(AA131,COUNTIFS($AK$2:AK131,"=Y",$AA$2:AA131,AA131)),"")</f>
        <v/>
      </c>
      <c r="AC131" s="154" t="str">
        <f>Times!K131</f>
        <v>George Sceats</v>
      </c>
      <c r="AD131" s="154">
        <f>Times!G131</f>
        <v>112</v>
      </c>
      <c r="AE131" s="154" t="str">
        <f>IF(Times!D131&lt;&gt;"",IF(ISERR(SEARCH("V",Times!I131,1)),IF(ISERR(SEARCH("S",Times!I131,1)),"S","S"),"V"),"")</f>
        <v>S</v>
      </c>
      <c r="AF131" s="161">
        <f>IF(Times!D131&lt;&gt;"",SUMIFS(Times!$G$2:G131,$AA$2:AA131,AA131,$AK$2:AK131,"Y"),"")</f>
        <v>343</v>
      </c>
      <c r="AG131" s="154" t="str">
        <f>IF(Times!D131&lt;&gt;"",IF(AND(Times!J131="M",AI131+AL131=AM131,AK131="Y"),AF131,""),"")</f>
        <v/>
      </c>
      <c r="AH131" s="154" t="str">
        <f>IF(Times!D131&lt;&gt;"",IF(AND(Times!J131="F",AI131+AL131=AM131,AK131="Y"),AF131,""),"")</f>
        <v/>
      </c>
      <c r="AI131" s="154">
        <f>COUNTIF(Z$2:Z131,CONCATENATE("V",AA131))</f>
        <v>3</v>
      </c>
      <c r="AJ131" s="154">
        <f>COUNTIF(Z$2:Z131,CONCATENATE("S",AA131))</f>
        <v>6</v>
      </c>
      <c r="AK131" s="154" t="str">
        <f t="shared" ref="AK131:AK194" si="86">IF(AND(AE131="V",AI131&lt;=AM131-AL131),"Y",IF(AND(AE131="S",AJ131&lt;=AM131/2,AJ131&lt;=AM131-AI131),"Y","N"))</f>
        <v>N</v>
      </c>
      <c r="AL131" s="154">
        <f>IF(AND(Times!J131="M",AJ131&gt;3),3, IF(AND(Times!J131="F",AJ131&gt;2),2,AJ131))</f>
        <v>3</v>
      </c>
      <c r="AM131" s="154">
        <f>IF(Times!J131="M",6, IF(Times!J131="F",4,""))</f>
        <v>6</v>
      </c>
      <c r="AN131" s="154" t="str">
        <f t="shared" ref="AN131:AN194" si="87">IF(AG131&lt;&gt;"",RANK(AG131,AG$2:AG$501,1),"")</f>
        <v/>
      </c>
      <c r="AO131" s="154" t="str">
        <f t="shared" ref="AO131:AO194" si="88">IF(AH131&lt;&gt;"",RANK(AH131,AH$2:AH$501,1),"")</f>
        <v/>
      </c>
    </row>
    <row r="132" spans="26:41" x14ac:dyDescent="0.25">
      <c r="Z132" s="154" t="str">
        <f>CONCATENATE(AE132,Times!AD132)</f>
        <v>SMHarold Wood Running Club</v>
      </c>
      <c r="AA132" s="154" t="str">
        <f>Times!AD132</f>
        <v>MHarold Wood Running Club</v>
      </c>
      <c r="AB132" s="154" t="str">
        <f>IF(AK132="Y",CONCATENATE(AA132,COUNTIFS($AK$2:AK132,"=Y",$AA$2:AA132,AA132)),"")</f>
        <v/>
      </c>
      <c r="AC132" s="154" t="str">
        <f>Times!K132</f>
        <v>Craig Brown</v>
      </c>
      <c r="AD132" s="154">
        <f>Times!G132</f>
        <v>113</v>
      </c>
      <c r="AE132" s="154" t="str">
        <f>IF(Times!D132&lt;&gt;"",IF(ISERR(SEARCH("V",Times!I132,1)),IF(ISERR(SEARCH("S",Times!I132,1)),"S","S"),"V"),"")</f>
        <v>S</v>
      </c>
      <c r="AF132" s="161">
        <f>IF(Times!D132&lt;&gt;"",SUMIFS(Times!$G$2:G132,$AA$2:AA132,AA132,$AK$2:AK132,"Y"),"")</f>
        <v>75</v>
      </c>
      <c r="AG132" s="154" t="str">
        <f>IF(Times!D132&lt;&gt;"",IF(AND(Times!J132="M",AI132+AL132=AM132,AK132="Y"),AF132,""),"")</f>
        <v/>
      </c>
      <c r="AH132" s="154" t="str">
        <f>IF(Times!D132&lt;&gt;"",IF(AND(Times!J132="F",AI132+AL132=AM132,AK132="Y"),AF132,""),"")</f>
        <v/>
      </c>
      <c r="AI132" s="154">
        <f>COUNTIF(Z$2:Z132,CONCATENATE("V",AA132))</f>
        <v>0</v>
      </c>
      <c r="AJ132" s="154">
        <f>COUNTIF(Z$2:Z132,CONCATENATE("S",AA132))</f>
        <v>6</v>
      </c>
      <c r="AK132" s="154" t="str">
        <f t="shared" si="86"/>
        <v>N</v>
      </c>
      <c r="AL132" s="154">
        <f>IF(AND(Times!J132="M",AJ132&gt;3),3, IF(AND(Times!J132="F",AJ132&gt;2),2,AJ132))</f>
        <v>3</v>
      </c>
      <c r="AM132" s="154">
        <f>IF(Times!J132="M",6, IF(Times!J132="F",4,""))</f>
        <v>6</v>
      </c>
      <c r="AN132" s="154" t="str">
        <f t="shared" si="87"/>
        <v/>
      </c>
      <c r="AO132" s="154" t="str">
        <f t="shared" si="88"/>
        <v/>
      </c>
    </row>
    <row r="133" spans="26:41" x14ac:dyDescent="0.25">
      <c r="Z133" s="154" t="str">
        <f>CONCATENATE(AE133,Times!AD133)</f>
        <v>VMDagenham 88 Runners</v>
      </c>
      <c r="AA133" s="154" t="str">
        <f>Times!AD133</f>
        <v>MDagenham 88 Runners</v>
      </c>
      <c r="AB133" s="154" t="str">
        <f>IF(AK133="Y",CONCATENATE(AA133,COUNTIFS($AK$2:AK133,"=Y",$AA$2:AA133,AA133)),"")</f>
        <v>MDagenham 88 Runners6</v>
      </c>
      <c r="AC133" s="154" t="str">
        <f>Times!K133</f>
        <v>Nils Hollmann</v>
      </c>
      <c r="AD133" s="154">
        <f>Times!G133</f>
        <v>114</v>
      </c>
      <c r="AE133" s="154" t="str">
        <f>IF(Times!D133&lt;&gt;"",IF(ISERR(SEARCH("V",Times!I133,1)),IF(ISERR(SEARCH("S",Times!I133,1)),"S","S"),"V"),"")</f>
        <v>V</v>
      </c>
      <c r="AF133" s="161">
        <f>IF(Times!D133&lt;&gt;"",SUMIFS(Times!$G$2:G133,$AA$2:AA133,AA133,$AK$2:AK133,"Y"),"")</f>
        <v>529</v>
      </c>
      <c r="AG133" s="154">
        <f>IF(Times!D133&lt;&gt;"",IF(AND(Times!J133="M",AI133+AL133=AM133,AK133="Y"),AF133,""),"")</f>
        <v>529</v>
      </c>
      <c r="AH133" s="154" t="str">
        <f>IF(Times!D133&lt;&gt;"",IF(AND(Times!J133="F",AI133+AL133=AM133,AK133="Y"),AF133,""),"")</f>
        <v/>
      </c>
      <c r="AI133" s="154">
        <f>COUNTIF(Z$2:Z133,CONCATENATE("V",AA133))</f>
        <v>4</v>
      </c>
      <c r="AJ133" s="154">
        <f>COUNTIF(Z$2:Z133,CONCATENATE("S",AA133))</f>
        <v>2</v>
      </c>
      <c r="AK133" s="154" t="str">
        <f t="shared" si="86"/>
        <v>Y</v>
      </c>
      <c r="AL133" s="154">
        <f>IF(AND(Times!J133="M",AJ133&gt;3),3, IF(AND(Times!J133="F",AJ133&gt;2),2,AJ133))</f>
        <v>2</v>
      </c>
      <c r="AM133" s="154">
        <f>IF(Times!J133="M",6, IF(Times!J133="F",4,""))</f>
        <v>6</v>
      </c>
      <c r="AN133" s="154">
        <f t="shared" si="87"/>
        <v>9</v>
      </c>
      <c r="AO133" s="154" t="str">
        <f t="shared" si="88"/>
        <v/>
      </c>
    </row>
    <row r="134" spans="26:41" x14ac:dyDescent="0.25">
      <c r="Z134" s="154" t="str">
        <f>CONCATENATE(AE134,Times!AD134)</f>
        <v>VFBarking Road Runners</v>
      </c>
      <c r="AA134" s="154" t="str">
        <f>Times!AD134</f>
        <v>FBarking Road Runners</v>
      </c>
      <c r="AB134" s="154" t="str">
        <f>IF(AK134="Y",CONCATENATE(AA134,COUNTIFS($AK$2:AK134,"=Y",$AA$2:AA134,AA134)),"")</f>
        <v>FBarking Road Runners1</v>
      </c>
      <c r="AC134" s="154" t="str">
        <f>Times!K134</f>
        <v>Amanda Heslegrave</v>
      </c>
      <c r="AD134" s="154">
        <f>Times!G134</f>
        <v>19</v>
      </c>
      <c r="AE134" s="154" t="str">
        <f>IF(Times!D134&lt;&gt;"",IF(ISERR(SEARCH("V",Times!I134,1)),IF(ISERR(SEARCH("S",Times!I134,1)),"S","S"),"V"),"")</f>
        <v>V</v>
      </c>
      <c r="AF134" s="161">
        <f>IF(Times!D134&lt;&gt;"",SUMIFS(Times!$G$2:G134,$AA$2:AA134,AA134,$AK$2:AK134,"Y"),"")</f>
        <v>19</v>
      </c>
      <c r="AG134" s="154" t="str">
        <f>IF(Times!D134&lt;&gt;"",IF(AND(Times!J134="M",AI134+AL134=AM134,AK134="Y"),AF134,""),"")</f>
        <v/>
      </c>
      <c r="AH134" s="154" t="str">
        <f>IF(Times!D134&lt;&gt;"",IF(AND(Times!J134="F",AI134+AL134=AM134,AK134="Y"),AF134,""),"")</f>
        <v/>
      </c>
      <c r="AI134" s="154">
        <f>COUNTIF(Z$2:Z134,CONCATENATE("V",AA134))</f>
        <v>1</v>
      </c>
      <c r="AJ134" s="154">
        <f>COUNTIF(Z$2:Z134,CONCATENATE("S",AA134))</f>
        <v>0</v>
      </c>
      <c r="AK134" s="154" t="str">
        <f t="shared" si="86"/>
        <v>Y</v>
      </c>
      <c r="AL134" s="154">
        <f>IF(AND(Times!J134="M",AJ134&gt;3),3, IF(AND(Times!J134="F",AJ134&gt;2),2,AJ134))</f>
        <v>0</v>
      </c>
      <c r="AM134" s="154">
        <f>IF(Times!J134="M",6, IF(Times!J134="F",4,""))</f>
        <v>4</v>
      </c>
      <c r="AN134" s="154" t="str">
        <f t="shared" si="87"/>
        <v/>
      </c>
      <c r="AO134" s="154" t="str">
        <f t="shared" si="88"/>
        <v/>
      </c>
    </row>
    <row r="135" spans="26:41" x14ac:dyDescent="0.25">
      <c r="Z135" s="154" t="str">
        <f>CONCATENATE(AE135,Times!AD135)</f>
        <v>SMOrion Harriers</v>
      </c>
      <c r="AA135" s="154" t="str">
        <f>Times!AD135</f>
        <v>MOrion Harriers</v>
      </c>
      <c r="AB135" s="154" t="str">
        <f>IF(AK135="Y",CONCATENATE(AA135,COUNTIFS($AK$2:AK135,"=Y",$AA$2:AA135,AA135)),"")</f>
        <v/>
      </c>
      <c r="AC135" s="154" t="str">
        <f>Times!K135</f>
        <v>Daniel Carroll</v>
      </c>
      <c r="AD135" s="154">
        <f>Times!G135</f>
        <v>115</v>
      </c>
      <c r="AE135" s="154" t="str">
        <f>IF(Times!D135&lt;&gt;"",IF(ISERR(SEARCH("V",Times!I135,1)),IF(ISERR(SEARCH("S",Times!I135,1)),"S","S"),"V"),"")</f>
        <v>S</v>
      </c>
      <c r="AF135" s="161">
        <f>IF(Times!D135&lt;&gt;"",SUMIFS(Times!$G$2:G135,$AA$2:AA135,AA135,$AK$2:AK135,"Y"),"")</f>
        <v>347</v>
      </c>
      <c r="AG135" s="154" t="str">
        <f>IF(Times!D135&lt;&gt;"",IF(AND(Times!J135="M",AI135+AL135=AM135,AK135="Y"),AF135,""),"")</f>
        <v/>
      </c>
      <c r="AH135" s="154" t="str">
        <f>IF(Times!D135&lt;&gt;"",IF(AND(Times!J135="F",AI135+AL135=AM135,AK135="Y"),AF135,""),"")</f>
        <v/>
      </c>
      <c r="AI135" s="154">
        <f>COUNTIF(Z$2:Z135,CONCATENATE("V",AA135))</f>
        <v>6</v>
      </c>
      <c r="AJ135" s="154">
        <f>COUNTIF(Z$2:Z135,CONCATENATE("S",AA135))</f>
        <v>3</v>
      </c>
      <c r="AK135" s="154" t="str">
        <f t="shared" si="86"/>
        <v>N</v>
      </c>
      <c r="AL135" s="154">
        <f>IF(AND(Times!J135="M",AJ135&gt;3),3, IF(AND(Times!J135="F",AJ135&gt;2),2,AJ135))</f>
        <v>3</v>
      </c>
      <c r="AM135" s="154">
        <f>IF(Times!J135="M",6, IF(Times!J135="F",4,""))</f>
        <v>6</v>
      </c>
      <c r="AN135" s="154" t="str">
        <f t="shared" si="87"/>
        <v/>
      </c>
      <c r="AO135" s="154" t="str">
        <f t="shared" si="88"/>
        <v/>
      </c>
    </row>
    <row r="136" spans="26:41" x14ac:dyDescent="0.25">
      <c r="Z136" s="154" t="str">
        <f>CONCATENATE(AE136,Times!AD136)</f>
        <v>VMHavering 90 Joggers</v>
      </c>
      <c r="AA136" s="154" t="str">
        <f>Times!AD136</f>
        <v>MHavering 90 Joggers</v>
      </c>
      <c r="AB136" s="154" t="str">
        <f>IF(AK136="Y",CONCATENATE(AA136,COUNTIFS($AK$2:AK136,"=Y",$AA$2:AA136,AA136)),"")</f>
        <v>MHavering 90 Joggers6</v>
      </c>
      <c r="AC136" s="154" t="str">
        <f>Times!K136</f>
        <v>Brian Parish</v>
      </c>
      <c r="AD136" s="154">
        <f>Times!G136</f>
        <v>116</v>
      </c>
      <c r="AE136" s="154" t="str">
        <f>IF(Times!D136&lt;&gt;"",IF(ISERR(SEARCH("V",Times!I136,1)),IF(ISERR(SEARCH("S",Times!I136,1)),"S","S"),"V"),"")</f>
        <v>V</v>
      </c>
      <c r="AF136" s="161">
        <f>IF(Times!D136&lt;&gt;"",SUMIFS(Times!$G$2:G136,$AA$2:AA136,AA136,$AK$2:AK136,"Y"),"")</f>
        <v>506</v>
      </c>
      <c r="AG136" s="154">
        <f>IF(Times!D136&lt;&gt;"",IF(AND(Times!J136="M",AI136+AL136=AM136,AK136="Y"),AF136,""),"")</f>
        <v>506</v>
      </c>
      <c r="AH136" s="154" t="str">
        <f>IF(Times!D136&lt;&gt;"",IF(AND(Times!J136="F",AI136+AL136=AM136,AK136="Y"),AF136,""),"")</f>
        <v/>
      </c>
      <c r="AI136" s="154">
        <f>COUNTIF(Z$2:Z136,CONCATENATE("V",AA136))</f>
        <v>4</v>
      </c>
      <c r="AJ136" s="154">
        <f>COUNTIF(Z$2:Z136,CONCATENATE("S",AA136))</f>
        <v>2</v>
      </c>
      <c r="AK136" s="154" t="str">
        <f t="shared" si="86"/>
        <v>Y</v>
      </c>
      <c r="AL136" s="154">
        <f>IF(AND(Times!J136="M",AJ136&gt;3),3, IF(AND(Times!J136="F",AJ136&gt;2),2,AJ136))</f>
        <v>2</v>
      </c>
      <c r="AM136" s="154">
        <f>IF(Times!J136="M",6, IF(Times!J136="F",4,""))</f>
        <v>6</v>
      </c>
      <c r="AN136" s="154">
        <f t="shared" si="87"/>
        <v>7</v>
      </c>
      <c r="AO136" s="154" t="str">
        <f t="shared" si="88"/>
        <v/>
      </c>
    </row>
    <row r="137" spans="26:41" x14ac:dyDescent="0.25">
      <c r="Z137" s="154" t="str">
        <f>CONCATENATE(AE137,Times!AD137)</f>
        <v>VMEast End Road Runners</v>
      </c>
      <c r="AA137" s="154" t="str">
        <f>Times!AD137</f>
        <v>MEast End Road Runners</v>
      </c>
      <c r="AB137" s="154" t="str">
        <f>IF(AK137="Y",CONCATENATE(AA137,COUNTIFS($AK$2:AK137,"=Y",$AA$2:AA137,AA137)),"")</f>
        <v/>
      </c>
      <c r="AC137" s="154" t="str">
        <f>Times!K137</f>
        <v>Remi Kubar</v>
      </c>
      <c r="AD137" s="154">
        <f>Times!G137</f>
        <v>117</v>
      </c>
      <c r="AE137" s="154" t="str">
        <f>IF(Times!D137&lt;&gt;"",IF(ISERR(SEARCH("V",Times!I137,1)),IF(ISERR(SEARCH("S",Times!I137,1)),"S","S"),"V"),"")</f>
        <v>V</v>
      </c>
      <c r="AF137" s="161">
        <f>IF(Times!D137&lt;&gt;"",SUMIFS(Times!$G$2:G137,$AA$2:AA137,AA137,$AK$2:AK137,"Y"),"")</f>
        <v>343</v>
      </c>
      <c r="AG137" s="154" t="str">
        <f>IF(Times!D137&lt;&gt;"",IF(AND(Times!J137="M",AI137+AL137=AM137,AK137="Y"),AF137,""),"")</f>
        <v/>
      </c>
      <c r="AH137" s="154" t="str">
        <f>IF(Times!D137&lt;&gt;"",IF(AND(Times!J137="F",AI137+AL137=AM137,AK137="Y"),AF137,""),"")</f>
        <v/>
      </c>
      <c r="AI137" s="154">
        <f>COUNTIF(Z$2:Z137,CONCATENATE("V",AA137))</f>
        <v>4</v>
      </c>
      <c r="AJ137" s="154">
        <f>COUNTIF(Z$2:Z137,CONCATENATE("S",AA137))</f>
        <v>6</v>
      </c>
      <c r="AK137" s="154" t="str">
        <f t="shared" si="86"/>
        <v>N</v>
      </c>
      <c r="AL137" s="154">
        <f>IF(AND(Times!J137="M",AJ137&gt;3),3, IF(AND(Times!J137="F",AJ137&gt;2),2,AJ137))</f>
        <v>3</v>
      </c>
      <c r="AM137" s="154">
        <f>IF(Times!J137="M",6, IF(Times!J137="F",4,""))</f>
        <v>6</v>
      </c>
      <c r="AN137" s="154" t="str">
        <f t="shared" si="87"/>
        <v/>
      </c>
      <c r="AO137" s="154" t="str">
        <f t="shared" si="88"/>
        <v/>
      </c>
    </row>
    <row r="138" spans="26:41" x14ac:dyDescent="0.25">
      <c r="Z138" s="154" t="str">
        <f>CONCATENATE(AE138,Times!AD138)</f>
        <v>VFEast London Runners</v>
      </c>
      <c r="AA138" s="154" t="str">
        <f>Times!AD138</f>
        <v>FEast London Runners</v>
      </c>
      <c r="AB138" s="154" t="str">
        <f>IF(AK138="Y",CONCATENATE(AA138,COUNTIFS($AK$2:AK138,"=Y",$AA$2:AA138,AA138)),"")</f>
        <v/>
      </c>
      <c r="AC138" s="154" t="str">
        <f>Times!K138</f>
        <v>Sarah Burns</v>
      </c>
      <c r="AD138" s="154">
        <f>Times!G138</f>
        <v>20</v>
      </c>
      <c r="AE138" s="154" t="str">
        <f>IF(Times!D138&lt;&gt;"",IF(ISERR(SEARCH("V",Times!I138,1)),IF(ISERR(SEARCH("S",Times!I138,1)),"S","S"),"V"),"")</f>
        <v>V</v>
      </c>
      <c r="AF138" s="161">
        <f>IF(Times!D138&lt;&gt;"",SUMIFS(Times!$G$2:G138,$AA$2:AA138,AA138,$AK$2:AK138,"Y"),"")</f>
        <v>27</v>
      </c>
      <c r="AG138" s="154" t="str">
        <f>IF(Times!D138&lt;&gt;"",IF(AND(Times!J138="M",AI138+AL138=AM138,AK138="Y"),AF138,""),"")</f>
        <v/>
      </c>
      <c r="AH138" s="154" t="str">
        <f>IF(Times!D138&lt;&gt;"",IF(AND(Times!J138="F",AI138+AL138=AM138,AK138="Y"),AF138,""),"")</f>
        <v/>
      </c>
      <c r="AI138" s="154">
        <f>COUNTIF(Z$2:Z138,CONCATENATE("V",AA138))</f>
        <v>3</v>
      </c>
      <c r="AJ138" s="154">
        <f>COUNTIF(Z$2:Z138,CONCATENATE("S",AA138))</f>
        <v>2</v>
      </c>
      <c r="AK138" s="154" t="str">
        <f t="shared" si="86"/>
        <v>N</v>
      </c>
      <c r="AL138" s="154">
        <f>IF(AND(Times!J138="M",AJ138&gt;3),3, IF(AND(Times!J138="F",AJ138&gt;2),2,AJ138))</f>
        <v>2</v>
      </c>
      <c r="AM138" s="154">
        <f>IF(Times!J138="M",6, IF(Times!J138="F",4,""))</f>
        <v>4</v>
      </c>
      <c r="AN138" s="154" t="str">
        <f t="shared" si="87"/>
        <v/>
      </c>
      <c r="AO138" s="154" t="str">
        <f t="shared" si="88"/>
        <v/>
      </c>
    </row>
    <row r="139" spans="26:41" x14ac:dyDescent="0.25">
      <c r="Z139" s="154" t="str">
        <f>CONCATENATE(AE139,Times!AD139)</f>
        <v>VFHarold Wood Running Club</v>
      </c>
      <c r="AA139" s="154" t="str">
        <f>Times!AD139</f>
        <v>FHarold Wood Running Club</v>
      </c>
      <c r="AB139" s="154" t="str">
        <f>IF(AK139="Y",CONCATENATE(AA139,COUNTIFS($AK$2:AK139,"=Y",$AA$2:AA139,AA139)),"")</f>
        <v>FHarold Wood Running Club3</v>
      </c>
      <c r="AC139" s="154" t="str">
        <f>Times!K139</f>
        <v>Ruth Quince</v>
      </c>
      <c r="AD139" s="154">
        <f>Times!G139</f>
        <v>21</v>
      </c>
      <c r="AE139" s="154" t="str">
        <f>IF(Times!D139&lt;&gt;"",IF(ISERR(SEARCH("V",Times!I139,1)),IF(ISERR(SEARCH("S",Times!I139,1)),"S","S"),"V"),"")</f>
        <v>V</v>
      </c>
      <c r="AF139" s="161">
        <f>IF(Times!D139&lt;&gt;"",SUMIFS(Times!$G$2:G139,$AA$2:AA139,AA139,$AK$2:AK139,"Y"),"")</f>
        <v>46</v>
      </c>
      <c r="AG139" s="154" t="str">
        <f>IF(Times!D139&lt;&gt;"",IF(AND(Times!J139="M",AI139+AL139=AM139,AK139="Y"),AF139,""),"")</f>
        <v/>
      </c>
      <c r="AH139" s="154" t="str">
        <f>IF(Times!D139&lt;&gt;"",IF(AND(Times!J139="F",AI139+AL139=AM139,AK139="Y"),AF139,""),"")</f>
        <v/>
      </c>
      <c r="AI139" s="154">
        <f>COUNTIF(Z$2:Z139,CONCATENATE("V",AA139))</f>
        <v>2</v>
      </c>
      <c r="AJ139" s="154">
        <f>COUNTIF(Z$2:Z139,CONCATENATE("S",AA139))</f>
        <v>1</v>
      </c>
      <c r="AK139" s="154" t="str">
        <f t="shared" si="86"/>
        <v>Y</v>
      </c>
      <c r="AL139" s="154">
        <f>IF(AND(Times!J139="M",AJ139&gt;3),3, IF(AND(Times!J139="F",AJ139&gt;2),2,AJ139))</f>
        <v>1</v>
      </c>
      <c r="AM139" s="154">
        <f>IF(Times!J139="M",6, IF(Times!J139="F",4,""))</f>
        <v>4</v>
      </c>
      <c r="AN139" s="154" t="str">
        <f t="shared" si="87"/>
        <v/>
      </c>
      <c r="AO139" s="154" t="str">
        <f t="shared" si="88"/>
        <v/>
      </c>
    </row>
    <row r="140" spans="26:41" x14ac:dyDescent="0.25">
      <c r="Z140" s="154" t="str">
        <f>CONCATENATE(AE140,Times!AD140)</f>
        <v>SMOrion Harriers</v>
      </c>
      <c r="AA140" s="154" t="str">
        <f>Times!AD140</f>
        <v>MOrion Harriers</v>
      </c>
      <c r="AB140" s="154" t="str">
        <f>IF(AK140="Y",CONCATENATE(AA140,COUNTIFS($AK$2:AK140,"=Y",$AA$2:AA140,AA140)),"")</f>
        <v/>
      </c>
      <c r="AC140" s="154" t="str">
        <f>Times!K140</f>
        <v>Nick Wilson</v>
      </c>
      <c r="AD140" s="154">
        <f>Times!G140</f>
        <v>118</v>
      </c>
      <c r="AE140" s="154" t="str">
        <f>IF(Times!D140&lt;&gt;"",IF(ISERR(SEARCH("V",Times!I140,1)),IF(ISERR(SEARCH("S",Times!I140,1)),"S","S"),"V"),"")</f>
        <v>S</v>
      </c>
      <c r="AF140" s="161">
        <f>IF(Times!D140&lt;&gt;"",SUMIFS(Times!$G$2:G140,$AA$2:AA140,AA140,$AK$2:AK140,"Y"),"")</f>
        <v>347</v>
      </c>
      <c r="AG140" s="154" t="str">
        <f>IF(Times!D140&lt;&gt;"",IF(AND(Times!J140="M",AI140+AL140=AM140,AK140="Y"),AF140,""),"")</f>
        <v/>
      </c>
      <c r="AH140" s="154" t="str">
        <f>IF(Times!D140&lt;&gt;"",IF(AND(Times!J140="F",AI140+AL140=AM140,AK140="Y"),AF140,""),"")</f>
        <v/>
      </c>
      <c r="AI140" s="154">
        <f>COUNTIF(Z$2:Z140,CONCATENATE("V",AA140))</f>
        <v>6</v>
      </c>
      <c r="AJ140" s="154">
        <f>COUNTIF(Z$2:Z140,CONCATENATE("S",AA140))</f>
        <v>4</v>
      </c>
      <c r="AK140" s="154" t="str">
        <f t="shared" si="86"/>
        <v>N</v>
      </c>
      <c r="AL140" s="154">
        <f>IF(AND(Times!J140="M",AJ140&gt;3),3, IF(AND(Times!J140="F",AJ140&gt;2),2,AJ140))</f>
        <v>3</v>
      </c>
      <c r="AM140" s="154">
        <f>IF(Times!J140="M",6, IF(Times!J140="F",4,""))</f>
        <v>6</v>
      </c>
      <c r="AN140" s="154" t="str">
        <f t="shared" si="87"/>
        <v/>
      </c>
      <c r="AO140" s="154" t="str">
        <f t="shared" si="88"/>
        <v/>
      </c>
    </row>
    <row r="141" spans="26:41" x14ac:dyDescent="0.25">
      <c r="Z141" s="154" t="str">
        <f>CONCATENATE(AE141,Times!AD141)</f>
        <v>VFDagenham 88 Runners</v>
      </c>
      <c r="AA141" s="154" t="str">
        <f>Times!AD141</f>
        <v>FDagenham 88 Runners</v>
      </c>
      <c r="AB141" s="154" t="str">
        <f>IF(AK141="Y",CONCATENATE(AA141,COUNTIFS($AK$2:AK141,"=Y",$AA$2:AA141,AA141)),"")</f>
        <v>FDagenham 88 Runners1</v>
      </c>
      <c r="AC141" s="154" t="str">
        <f>Times!K141</f>
        <v>Hannah Sheikh</v>
      </c>
      <c r="AD141" s="154">
        <f>Times!G141</f>
        <v>22</v>
      </c>
      <c r="AE141" s="154" t="str">
        <f>IF(Times!D141&lt;&gt;"",IF(ISERR(SEARCH("V",Times!I141,1)),IF(ISERR(SEARCH("S",Times!I141,1)),"S","S"),"V"),"")</f>
        <v>V</v>
      </c>
      <c r="AF141" s="161">
        <f>IF(Times!D141&lt;&gt;"",SUMIFS(Times!$G$2:G141,$AA$2:AA141,AA141,$AK$2:AK141,"Y"),"")</f>
        <v>22</v>
      </c>
      <c r="AG141" s="154" t="str">
        <f>IF(Times!D141&lt;&gt;"",IF(AND(Times!J141="M",AI141+AL141=AM141,AK141="Y"),AF141,""),"")</f>
        <v/>
      </c>
      <c r="AH141" s="154" t="str">
        <f>IF(Times!D141&lt;&gt;"",IF(AND(Times!J141="F",AI141+AL141=AM141,AK141="Y"),AF141,""),"")</f>
        <v/>
      </c>
      <c r="AI141" s="154">
        <f>COUNTIF(Z$2:Z141,CONCATENATE("V",AA141))</f>
        <v>1</v>
      </c>
      <c r="AJ141" s="154">
        <f>COUNTIF(Z$2:Z141,CONCATENATE("S",AA141))</f>
        <v>0</v>
      </c>
      <c r="AK141" s="154" t="str">
        <f t="shared" si="86"/>
        <v>Y</v>
      </c>
      <c r="AL141" s="154">
        <f>IF(AND(Times!J141="M",AJ141&gt;3),3, IF(AND(Times!J141="F",AJ141&gt;2),2,AJ141))</f>
        <v>0</v>
      </c>
      <c r="AM141" s="154">
        <f>IF(Times!J141="M",6, IF(Times!J141="F",4,""))</f>
        <v>4</v>
      </c>
      <c r="AN141" s="154" t="str">
        <f t="shared" si="87"/>
        <v/>
      </c>
      <c r="AO141" s="154" t="str">
        <f t="shared" si="88"/>
        <v/>
      </c>
    </row>
    <row r="142" spans="26:41" x14ac:dyDescent="0.25">
      <c r="Z142" s="154" t="str">
        <f>CONCATENATE(AE142,Times!AD142)</f>
        <v>VFOrion Harriers</v>
      </c>
      <c r="AA142" s="154" t="str">
        <f>Times!AD142</f>
        <v>FOrion Harriers</v>
      </c>
      <c r="AB142" s="154" t="str">
        <f>IF(AK142="Y",CONCATENATE(AA142,COUNTIFS($AK$2:AK142,"=Y",$AA$2:AA142,AA142)),"")</f>
        <v>FOrion Harriers4</v>
      </c>
      <c r="AC142" s="154" t="str">
        <f>Times!K142</f>
        <v>Frances Wilson</v>
      </c>
      <c r="AD142" s="154">
        <f>Times!G142</f>
        <v>23</v>
      </c>
      <c r="AE142" s="154" t="str">
        <f>IF(Times!D142&lt;&gt;"",IF(ISERR(SEARCH("V",Times!I142,1)),IF(ISERR(SEARCH("S",Times!I142,1)),"S","S"),"V"),"")</f>
        <v>V</v>
      </c>
      <c r="AF142" s="161">
        <f>IF(Times!D142&lt;&gt;"",SUMIFS(Times!$G$2:G142,$AA$2:AA142,AA142,$AK$2:AK142,"Y"),"")</f>
        <v>59</v>
      </c>
      <c r="AG142" s="154" t="str">
        <f>IF(Times!D142&lt;&gt;"",IF(AND(Times!J142="M",AI142+AL142=AM142,AK142="Y"),AF142,""),"")</f>
        <v/>
      </c>
      <c r="AH142" s="154">
        <f>IF(Times!D142&lt;&gt;"",IF(AND(Times!J142="F",AI142+AL142=AM142,AK142="Y"),AF142,""),"")</f>
        <v>59</v>
      </c>
      <c r="AI142" s="154">
        <f>COUNTIF(Z$2:Z142,CONCATENATE("V",AA142))</f>
        <v>4</v>
      </c>
      <c r="AJ142" s="154">
        <f>COUNTIF(Z$2:Z142,CONCATENATE("S",AA142))</f>
        <v>0</v>
      </c>
      <c r="AK142" s="154" t="str">
        <f t="shared" si="86"/>
        <v>Y</v>
      </c>
      <c r="AL142" s="154">
        <f>IF(AND(Times!J142="M",AJ142&gt;3),3, IF(AND(Times!J142="F",AJ142&gt;2),2,AJ142))</f>
        <v>0</v>
      </c>
      <c r="AM142" s="154">
        <f>IF(Times!J142="M",6, IF(Times!J142="F",4,""))</f>
        <v>4</v>
      </c>
      <c r="AN142" s="154" t="str">
        <f t="shared" si="87"/>
        <v/>
      </c>
      <c r="AO142" s="154">
        <f t="shared" si="88"/>
        <v>3</v>
      </c>
    </row>
    <row r="143" spans="26:41" x14ac:dyDescent="0.25">
      <c r="Z143" s="154" t="str">
        <f>CONCATENATE(AE143,Times!AD143)</f>
        <v>VFU/A</v>
      </c>
      <c r="AA143" s="154" t="str">
        <f>Times!AD143</f>
        <v>FU/A</v>
      </c>
      <c r="AB143" s="154" t="str">
        <f>IF(AK143="Y",CONCATENATE(AA143,COUNTIFS($AK$2:AK143,"=Y",$AA$2:AA143,AA143)),"")</f>
        <v>FU/A1</v>
      </c>
      <c r="AC143" s="154" t="str">
        <f>Times!K143</f>
        <v>Sunander Sarker-Bell</v>
      </c>
      <c r="AD143" s="154">
        <f>Times!G143</f>
        <v>24</v>
      </c>
      <c r="AE143" s="154" t="str">
        <f>IF(Times!D143&lt;&gt;"",IF(ISERR(SEARCH("V",Times!I143,1)),IF(ISERR(SEARCH("S",Times!I143,1)),"S","S"),"V"),"")</f>
        <v>V</v>
      </c>
      <c r="AF143" s="161">
        <f>IF(Times!D143&lt;&gt;"",SUMIFS(Times!$G$2:G143,$AA$2:AA143,AA143,$AK$2:AK143,"Y"),"")</f>
        <v>24</v>
      </c>
      <c r="AG143" s="154" t="str">
        <f>IF(Times!D143&lt;&gt;"",IF(AND(Times!J143="M",AI143+AL143=AM143,AK143="Y"),AF143,""),"")</f>
        <v/>
      </c>
      <c r="AH143" s="154" t="str">
        <f>IF(Times!D143&lt;&gt;"",IF(AND(Times!J143="F",AI143+AL143=AM143,AK143="Y"),AF143,""),"")</f>
        <v/>
      </c>
      <c r="AI143" s="154">
        <f>COUNTIF(Z$2:Z143,CONCATENATE("V",AA143))</f>
        <v>1</v>
      </c>
      <c r="AJ143" s="154">
        <f>COUNTIF(Z$2:Z143,CONCATENATE("S",AA143))</f>
        <v>0</v>
      </c>
      <c r="AK143" s="154" t="str">
        <f t="shared" si="86"/>
        <v>Y</v>
      </c>
      <c r="AL143" s="154">
        <f>IF(AND(Times!J143="M",AJ143&gt;3),3, IF(AND(Times!J143="F",AJ143&gt;2),2,AJ143))</f>
        <v>0</v>
      </c>
      <c r="AM143" s="154">
        <f>IF(Times!J143="M",6, IF(Times!J143="F",4,""))</f>
        <v>4</v>
      </c>
      <c r="AN143" s="154" t="str">
        <f t="shared" si="87"/>
        <v/>
      </c>
      <c r="AO143" s="154" t="str">
        <f t="shared" si="88"/>
        <v/>
      </c>
    </row>
    <row r="144" spans="26:41" x14ac:dyDescent="0.25">
      <c r="Z144" s="154" t="str">
        <f>CONCATENATE(AE144,Times!AD144)</f>
        <v>VMOrion Harriers</v>
      </c>
      <c r="AA144" s="154" t="str">
        <f>Times!AD144</f>
        <v>MOrion Harriers</v>
      </c>
      <c r="AB144" s="154" t="str">
        <f>IF(AK144="Y",CONCATENATE(AA144,COUNTIFS($AK$2:AK144,"=Y",$AA$2:AA144,AA144)),"")</f>
        <v/>
      </c>
      <c r="AC144" s="154" t="str">
        <f>Times!K144</f>
        <v>Bob Jousiffe</v>
      </c>
      <c r="AD144" s="154">
        <f>Times!G144</f>
        <v>119</v>
      </c>
      <c r="AE144" s="154" t="str">
        <f>IF(Times!D144&lt;&gt;"",IF(ISERR(SEARCH("V",Times!I144,1)),IF(ISERR(SEARCH("S",Times!I144,1)),"S","S"),"V"),"")</f>
        <v>V</v>
      </c>
      <c r="AF144" s="161">
        <f>IF(Times!D144&lt;&gt;"",SUMIFS(Times!$G$2:G144,$AA$2:AA144,AA144,$AK$2:AK144,"Y"),"")</f>
        <v>347</v>
      </c>
      <c r="AG144" s="154" t="str">
        <f>IF(Times!D144&lt;&gt;"",IF(AND(Times!J144="M",AI144+AL144=AM144,AK144="Y"),AF144,""),"")</f>
        <v/>
      </c>
      <c r="AH144" s="154" t="str">
        <f>IF(Times!D144&lt;&gt;"",IF(AND(Times!J144="F",AI144+AL144=AM144,AK144="Y"),AF144,""),"")</f>
        <v/>
      </c>
      <c r="AI144" s="154">
        <f>COUNTIF(Z$2:Z144,CONCATENATE("V",AA144))</f>
        <v>7</v>
      </c>
      <c r="AJ144" s="154">
        <f>COUNTIF(Z$2:Z144,CONCATENATE("S",AA144))</f>
        <v>4</v>
      </c>
      <c r="AK144" s="154" t="str">
        <f t="shared" si="86"/>
        <v>N</v>
      </c>
      <c r="AL144" s="154">
        <f>IF(AND(Times!J144="M",AJ144&gt;3),3, IF(AND(Times!J144="F",AJ144&gt;2),2,AJ144))</f>
        <v>3</v>
      </c>
      <c r="AM144" s="154">
        <f>IF(Times!J144="M",6, IF(Times!J144="F",4,""))</f>
        <v>6</v>
      </c>
      <c r="AN144" s="154" t="str">
        <f t="shared" si="87"/>
        <v/>
      </c>
      <c r="AO144" s="154" t="str">
        <f t="shared" si="88"/>
        <v/>
      </c>
    </row>
    <row r="145" spans="26:41" x14ac:dyDescent="0.25">
      <c r="Z145" s="154" t="str">
        <f>CONCATENATE(AE145,Times!AD145)</f>
        <v>VMEast London Runners</v>
      </c>
      <c r="AA145" s="154" t="str">
        <f>Times!AD145</f>
        <v>MEast London Runners</v>
      </c>
      <c r="AB145" s="154" t="str">
        <f>IF(AK145="Y",CONCATENATE(AA145,COUNTIFS($AK$2:AK145,"=Y",$AA$2:AA145,AA145)),"")</f>
        <v/>
      </c>
      <c r="AC145" s="154" t="str">
        <f>Times!K145</f>
        <v>John Healy</v>
      </c>
      <c r="AD145" s="154">
        <f>Times!G145</f>
        <v>120</v>
      </c>
      <c r="AE145" s="154" t="str">
        <f>IF(Times!D145&lt;&gt;"",IF(ISERR(SEARCH("V",Times!I145,1)),IF(ISERR(SEARCH("S",Times!I145,1)),"S","S"),"V"),"")</f>
        <v>V</v>
      </c>
      <c r="AF145" s="161">
        <f>IF(Times!D145&lt;&gt;"",SUMIFS(Times!$G$2:G145,$AA$2:AA145,AA145,$AK$2:AK145,"Y"),"")</f>
        <v>84</v>
      </c>
      <c r="AG145" s="154" t="str">
        <f>IF(Times!D145&lt;&gt;"",IF(AND(Times!J145="M",AI145+AL145=AM145,AK145="Y"),AF145,""),"")</f>
        <v/>
      </c>
      <c r="AH145" s="154" t="str">
        <f>IF(Times!D145&lt;&gt;"",IF(AND(Times!J145="F",AI145+AL145=AM145,AK145="Y"),AF145,""),"")</f>
        <v/>
      </c>
      <c r="AI145" s="154">
        <f>COUNTIF(Z$2:Z145,CONCATENATE("V",AA145))</f>
        <v>21</v>
      </c>
      <c r="AJ145" s="154">
        <f>COUNTIF(Z$2:Z145,CONCATENATE("S",AA145))</f>
        <v>17</v>
      </c>
      <c r="AK145" s="154" t="str">
        <f t="shared" si="86"/>
        <v>N</v>
      </c>
      <c r="AL145" s="154">
        <f>IF(AND(Times!J145="M",AJ145&gt;3),3, IF(AND(Times!J145="F",AJ145&gt;2),2,AJ145))</f>
        <v>3</v>
      </c>
      <c r="AM145" s="154">
        <f>IF(Times!J145="M",6, IF(Times!J145="F",4,""))</f>
        <v>6</v>
      </c>
      <c r="AN145" s="154" t="str">
        <f t="shared" si="87"/>
        <v/>
      </c>
      <c r="AO145" s="154" t="str">
        <f t="shared" si="88"/>
        <v/>
      </c>
    </row>
    <row r="146" spans="26:41" x14ac:dyDescent="0.25">
      <c r="Z146" s="154" t="str">
        <f>CONCATENATE(AE146,Times!AD146)</f>
        <v>VMdrax allstars</v>
      </c>
      <c r="AA146" s="154" t="str">
        <f>Times!AD146</f>
        <v>Mdrax allstars</v>
      </c>
      <c r="AB146" s="154" t="str">
        <f>IF(AK146="Y",CONCATENATE(AA146,COUNTIFS($AK$2:AK146,"=Y",$AA$2:AA146,AA146)),"")</f>
        <v>Mdrax allstars1</v>
      </c>
      <c r="AC146" s="154" t="str">
        <f>Times!K146</f>
        <v>David Godfrey</v>
      </c>
      <c r="AD146" s="154">
        <f>Times!G146</f>
        <v>121</v>
      </c>
      <c r="AE146" s="154" t="str">
        <f>IF(Times!D146&lt;&gt;"",IF(ISERR(SEARCH("V",Times!I146,1)),IF(ISERR(SEARCH("S",Times!I146,1)),"S","S"),"V"),"")</f>
        <v>V</v>
      </c>
      <c r="AF146" s="161">
        <f>IF(Times!D146&lt;&gt;"",SUMIFS(Times!$G$2:G146,$AA$2:AA146,AA146,$AK$2:AK146,"Y"),"")</f>
        <v>121</v>
      </c>
      <c r="AG146" s="154" t="str">
        <f>IF(Times!D146&lt;&gt;"",IF(AND(Times!J146="M",AI146+AL146=AM146,AK146="Y"),AF146,""),"")</f>
        <v/>
      </c>
      <c r="AH146" s="154" t="str">
        <f>IF(Times!D146&lt;&gt;"",IF(AND(Times!J146="F",AI146+AL146=AM146,AK146="Y"),AF146,""),"")</f>
        <v/>
      </c>
      <c r="AI146" s="154">
        <f>COUNTIF(Z$2:Z146,CONCATENATE("V",AA146))</f>
        <v>1</v>
      </c>
      <c r="AJ146" s="154">
        <f>COUNTIF(Z$2:Z146,CONCATENATE("S",AA146))</f>
        <v>0</v>
      </c>
      <c r="AK146" s="154" t="str">
        <f t="shared" si="86"/>
        <v>Y</v>
      </c>
      <c r="AL146" s="154">
        <f>IF(AND(Times!J146="M",AJ146&gt;3),3, IF(AND(Times!J146="F",AJ146&gt;2),2,AJ146))</f>
        <v>0</v>
      </c>
      <c r="AM146" s="154">
        <f>IF(Times!J146="M",6, IF(Times!J146="F",4,""))</f>
        <v>6</v>
      </c>
      <c r="AN146" s="154" t="str">
        <f t="shared" si="87"/>
        <v/>
      </c>
      <c r="AO146" s="154" t="str">
        <f t="shared" si="88"/>
        <v/>
      </c>
    </row>
    <row r="147" spans="26:41" x14ac:dyDescent="0.25">
      <c r="Z147" s="154" t="str">
        <f>CONCATENATE(AE147,Times!AD147)</f>
        <v>SFEast London Runners</v>
      </c>
      <c r="AA147" s="154" t="str">
        <f>Times!AD147</f>
        <v>FEast London Runners</v>
      </c>
      <c r="AB147" s="154" t="str">
        <f>IF(AK147="Y",CONCATENATE(AA147,COUNTIFS($AK$2:AK147,"=Y",$AA$2:AA147,AA147)),"")</f>
        <v/>
      </c>
      <c r="AC147" s="154" t="str">
        <f>Times!K147</f>
        <v>Chloe Millan</v>
      </c>
      <c r="AD147" s="154">
        <f>Times!G147</f>
        <v>25</v>
      </c>
      <c r="AE147" s="154" t="str">
        <f>IF(Times!D147&lt;&gt;"",IF(ISERR(SEARCH("V",Times!I147,1)),IF(ISERR(SEARCH("S",Times!I147,1)),"S","S"),"V"),"")</f>
        <v>S</v>
      </c>
      <c r="AF147" s="161">
        <f>IF(Times!D147&lt;&gt;"",SUMIFS(Times!$G$2:G147,$AA$2:AA147,AA147,$AK$2:AK147,"Y"),"")</f>
        <v>27</v>
      </c>
      <c r="AG147" s="154" t="str">
        <f>IF(Times!D147&lt;&gt;"",IF(AND(Times!J147="M",AI147+AL147=AM147,AK147="Y"),AF147,""),"")</f>
        <v/>
      </c>
      <c r="AH147" s="154" t="str">
        <f>IF(Times!D147&lt;&gt;"",IF(AND(Times!J147="F",AI147+AL147=AM147,AK147="Y"),AF147,""),"")</f>
        <v/>
      </c>
      <c r="AI147" s="154">
        <f>COUNTIF(Z$2:Z147,CONCATENATE("V",AA147))</f>
        <v>3</v>
      </c>
      <c r="AJ147" s="154">
        <f>COUNTIF(Z$2:Z147,CONCATENATE("S",AA147))</f>
        <v>3</v>
      </c>
      <c r="AK147" s="154" t="str">
        <f t="shared" si="86"/>
        <v>N</v>
      </c>
      <c r="AL147" s="154">
        <f>IF(AND(Times!J147="M",AJ147&gt;3),3, IF(AND(Times!J147="F",AJ147&gt;2),2,AJ147))</f>
        <v>2</v>
      </c>
      <c r="AM147" s="154">
        <f>IF(Times!J147="M",6, IF(Times!J147="F",4,""))</f>
        <v>4</v>
      </c>
      <c r="AN147" s="154" t="str">
        <f t="shared" si="87"/>
        <v/>
      </c>
      <c r="AO147" s="154" t="str">
        <f t="shared" si="88"/>
        <v/>
      </c>
    </row>
    <row r="148" spans="26:41" x14ac:dyDescent="0.25">
      <c r="Z148" s="154" t="str">
        <f>CONCATENATE(AE148,Times!AD148)</f>
        <v>VFBarking Road Runners</v>
      </c>
      <c r="AA148" s="154" t="str">
        <f>Times!AD148</f>
        <v>FBarking Road Runners</v>
      </c>
      <c r="AB148" s="154" t="str">
        <f>IF(AK148="Y",CONCATENATE(AA148,COUNTIFS($AK$2:AK148,"=Y",$AA$2:AA148,AA148)),"")</f>
        <v>FBarking Road Runners2</v>
      </c>
      <c r="AC148" s="154" t="str">
        <f>Times!K148</f>
        <v>Sally Bridge</v>
      </c>
      <c r="AD148" s="154">
        <f>Times!G148</f>
        <v>26</v>
      </c>
      <c r="AE148" s="154" t="str">
        <f>IF(Times!D148&lt;&gt;"",IF(ISERR(SEARCH("V",Times!I148,1)),IF(ISERR(SEARCH("S",Times!I148,1)),"S","S"),"V"),"")</f>
        <v>V</v>
      </c>
      <c r="AF148" s="161">
        <f>IF(Times!D148&lt;&gt;"",SUMIFS(Times!$G$2:G148,$AA$2:AA148,AA148,$AK$2:AK148,"Y"),"")</f>
        <v>45</v>
      </c>
      <c r="AG148" s="154" t="str">
        <f>IF(Times!D148&lt;&gt;"",IF(AND(Times!J148="M",AI148+AL148=AM148,AK148="Y"),AF148,""),"")</f>
        <v/>
      </c>
      <c r="AH148" s="154" t="str">
        <f>IF(Times!D148&lt;&gt;"",IF(AND(Times!J148="F",AI148+AL148=AM148,AK148="Y"),AF148,""),"")</f>
        <v/>
      </c>
      <c r="AI148" s="154">
        <f>COUNTIF(Z$2:Z148,CONCATENATE("V",AA148))</f>
        <v>2</v>
      </c>
      <c r="AJ148" s="154">
        <f>COUNTIF(Z$2:Z148,CONCATENATE("S",AA148))</f>
        <v>0</v>
      </c>
      <c r="AK148" s="154" t="str">
        <f t="shared" si="86"/>
        <v>Y</v>
      </c>
      <c r="AL148" s="154">
        <f>IF(AND(Times!J148="M",AJ148&gt;3),3, IF(AND(Times!J148="F",AJ148&gt;2),2,AJ148))</f>
        <v>0</v>
      </c>
      <c r="AM148" s="154">
        <f>IF(Times!J148="M",6, IF(Times!J148="F",4,""))</f>
        <v>4</v>
      </c>
      <c r="AN148" s="154" t="str">
        <f t="shared" si="87"/>
        <v/>
      </c>
      <c r="AO148" s="154" t="str">
        <f t="shared" si="88"/>
        <v/>
      </c>
    </row>
    <row r="149" spans="26:41" x14ac:dyDescent="0.25">
      <c r="Z149" s="154" t="str">
        <f>CONCATENATE(AE149,Times!AD149)</f>
        <v>SMilford A.C.</v>
      </c>
      <c r="AA149" s="154" t="str">
        <f>Times!AD149</f>
        <v>Milford A.C.</v>
      </c>
      <c r="AB149" s="154" t="str">
        <f>IF(AK149="Y",CONCATENATE(AA149,COUNTIFS($AK$2:AK149,"=Y",$AA$2:AA149,AA149)),"")</f>
        <v>Milford A.C.1</v>
      </c>
      <c r="AC149" s="154" t="str">
        <f>Times!K149</f>
        <v>Ryan Holeyman</v>
      </c>
      <c r="AD149" s="154">
        <f>Times!G149</f>
        <v>122</v>
      </c>
      <c r="AE149" s="154" t="str">
        <f>IF(Times!D149&lt;&gt;"",IF(ISERR(SEARCH("V",Times!I149,1)),IF(ISERR(SEARCH("S",Times!I149,1)),"S","S"),"V"),"")</f>
        <v>S</v>
      </c>
      <c r="AF149" s="161">
        <f>IF(Times!D149&lt;&gt;"",SUMIFS(Times!$G$2:G149,$AA$2:AA149,AA149,$AK$2:AK149,"Y"),"")</f>
        <v>122</v>
      </c>
      <c r="AG149" s="154" t="str">
        <f>IF(Times!D149&lt;&gt;"",IF(AND(Times!J149="M",AI149+AL149=AM149,AK149="Y"),AF149,""),"")</f>
        <v/>
      </c>
      <c r="AH149" s="154" t="str">
        <f>IF(Times!D149&lt;&gt;"",IF(AND(Times!J149="F",AI149+AL149=AM149,AK149="Y"),AF149,""),"")</f>
        <v/>
      </c>
      <c r="AI149" s="154">
        <f>COUNTIF(Z$2:Z149,CONCATENATE("V",AA149))</f>
        <v>0</v>
      </c>
      <c r="AJ149" s="154">
        <f>COUNTIF(Z$2:Z149,CONCATENATE("S",AA149))</f>
        <v>1</v>
      </c>
      <c r="AK149" s="154" t="str">
        <f t="shared" si="86"/>
        <v>Y</v>
      </c>
      <c r="AL149" s="154">
        <f>IF(AND(Times!J149="M",AJ149&gt;3),3, IF(AND(Times!J149="F",AJ149&gt;2),2,AJ149))</f>
        <v>1</v>
      </c>
      <c r="AM149" s="154">
        <f>IF(Times!J149="M",6, IF(Times!J149="F",4,""))</f>
        <v>6</v>
      </c>
      <c r="AN149" s="154" t="str">
        <f t="shared" si="87"/>
        <v/>
      </c>
      <c r="AO149" s="154" t="str">
        <f t="shared" si="88"/>
        <v/>
      </c>
    </row>
    <row r="150" spans="26:41" x14ac:dyDescent="0.25">
      <c r="Z150" s="154" t="str">
        <f>CONCATENATE(AE150,Times!AD150)</f>
        <v>VMDagenham 88 Runners</v>
      </c>
      <c r="AA150" s="154" t="str">
        <f>Times!AD150</f>
        <v>MDagenham 88 Runners</v>
      </c>
      <c r="AB150" s="154" t="str">
        <f>IF(AK150="Y",CONCATENATE(AA150,COUNTIFS($AK$2:AK150,"=Y",$AA$2:AA150,AA150)),"")</f>
        <v/>
      </c>
      <c r="AC150" s="154" t="str">
        <f>Times!K150</f>
        <v>Gary Cardnell</v>
      </c>
      <c r="AD150" s="154">
        <f>Times!G150</f>
        <v>123</v>
      </c>
      <c r="AE150" s="154" t="str">
        <f>IF(Times!D150&lt;&gt;"",IF(ISERR(SEARCH("V",Times!I150,1)),IF(ISERR(SEARCH("S",Times!I150,1)),"S","S"),"V"),"")</f>
        <v>V</v>
      </c>
      <c r="AF150" s="161">
        <f>IF(Times!D150&lt;&gt;"",SUMIFS(Times!$G$2:G150,$AA$2:AA150,AA150,$AK$2:AK150,"Y"),"")</f>
        <v>529</v>
      </c>
      <c r="AG150" s="154" t="str">
        <f>IF(Times!D150&lt;&gt;"",IF(AND(Times!J150="M",AI150+AL150=AM150,AK150="Y"),AF150,""),"")</f>
        <v/>
      </c>
      <c r="AH150" s="154" t="str">
        <f>IF(Times!D150&lt;&gt;"",IF(AND(Times!J150="F",AI150+AL150=AM150,AK150="Y"),AF150,""),"")</f>
        <v/>
      </c>
      <c r="AI150" s="154">
        <f>COUNTIF(Z$2:Z150,CONCATENATE("V",AA150))</f>
        <v>5</v>
      </c>
      <c r="AJ150" s="154">
        <f>COUNTIF(Z$2:Z150,CONCATENATE("S",AA150))</f>
        <v>2</v>
      </c>
      <c r="AK150" s="154" t="str">
        <f t="shared" si="86"/>
        <v>N</v>
      </c>
      <c r="AL150" s="154">
        <f>IF(AND(Times!J150="M",AJ150&gt;3),3, IF(AND(Times!J150="F",AJ150&gt;2),2,AJ150))</f>
        <v>2</v>
      </c>
      <c r="AM150" s="154">
        <f>IF(Times!J150="M",6, IF(Times!J150="F",4,""))</f>
        <v>6</v>
      </c>
      <c r="AN150" s="154" t="str">
        <f t="shared" si="87"/>
        <v/>
      </c>
      <c r="AO150" s="154" t="str">
        <f t="shared" si="88"/>
        <v/>
      </c>
    </row>
    <row r="151" spans="26:41" x14ac:dyDescent="0.25">
      <c r="Z151" s="154" t="str">
        <f>CONCATENATE(AE151,Times!AD151)</f>
        <v>VFEton Manor AC</v>
      </c>
      <c r="AA151" s="154" t="str">
        <f>Times!AD151</f>
        <v>FEton Manor AC</v>
      </c>
      <c r="AB151" s="154" t="str">
        <f>IF(AK151="Y",CONCATENATE(AA151,COUNTIFS($AK$2:AK151,"=Y",$AA$2:AA151,AA151)),"")</f>
        <v>FEton Manor AC4</v>
      </c>
      <c r="AC151" s="154" t="str">
        <f>Times!K151</f>
        <v>Sarah Giles</v>
      </c>
      <c r="AD151" s="154">
        <f>Times!G151</f>
        <v>27</v>
      </c>
      <c r="AE151" s="154" t="str">
        <f>IF(Times!D151&lt;&gt;"",IF(ISERR(SEARCH("V",Times!I151,1)),IF(ISERR(SEARCH("S",Times!I151,1)),"S","S"),"V"),"")</f>
        <v>V</v>
      </c>
      <c r="AF151" s="161">
        <f>IF(Times!D151&lt;&gt;"",SUMIFS(Times!$G$2:G151,$AA$2:AA151,AA151,$AK$2:AK151,"Y"),"")</f>
        <v>60</v>
      </c>
      <c r="AG151" s="154" t="str">
        <f>IF(Times!D151&lt;&gt;"",IF(AND(Times!J151="M",AI151+AL151=AM151,AK151="Y"),AF151,""),"")</f>
        <v/>
      </c>
      <c r="AH151" s="154">
        <f>IF(Times!D151&lt;&gt;"",IF(AND(Times!J151="F",AI151+AL151=AM151,AK151="Y"),AF151,""),"")</f>
        <v>60</v>
      </c>
      <c r="AI151" s="154">
        <f>COUNTIF(Z$2:Z151,CONCATENATE("V",AA151))</f>
        <v>4</v>
      </c>
      <c r="AJ151" s="154">
        <f>COUNTIF(Z$2:Z151,CONCATENATE("S",AA151))</f>
        <v>0</v>
      </c>
      <c r="AK151" s="154" t="str">
        <f t="shared" si="86"/>
        <v>Y</v>
      </c>
      <c r="AL151" s="154">
        <f>IF(AND(Times!J151="M",AJ151&gt;3),3, IF(AND(Times!J151="F",AJ151&gt;2),2,AJ151))</f>
        <v>0</v>
      </c>
      <c r="AM151" s="154">
        <f>IF(Times!J151="M",6, IF(Times!J151="F",4,""))</f>
        <v>4</v>
      </c>
      <c r="AN151" s="154" t="str">
        <f t="shared" si="87"/>
        <v/>
      </c>
      <c r="AO151" s="154">
        <f t="shared" si="88"/>
        <v>4</v>
      </c>
    </row>
    <row r="152" spans="26:41" x14ac:dyDescent="0.25">
      <c r="Z152" s="154" t="str">
        <f>CONCATENATE(AE152,Times!AD152)</f>
        <v>VMEast London Runners</v>
      </c>
      <c r="AA152" s="154" t="str">
        <f>Times!AD152</f>
        <v>MEast London Runners</v>
      </c>
      <c r="AB152" s="154" t="str">
        <f>IF(AK152="Y",CONCATENATE(AA152,COUNTIFS($AK$2:AK152,"=Y",$AA$2:AA152,AA152)),"")</f>
        <v/>
      </c>
      <c r="AC152" s="154" t="str">
        <f>Times!K152</f>
        <v>Marc Akers</v>
      </c>
      <c r="AD152" s="154">
        <f>Times!G152</f>
        <v>124</v>
      </c>
      <c r="AE152" s="154" t="str">
        <f>IF(Times!D152&lt;&gt;"",IF(ISERR(SEARCH("V",Times!I152,1)),IF(ISERR(SEARCH("S",Times!I152,1)),"S","S"),"V"),"")</f>
        <v>V</v>
      </c>
      <c r="AF152" s="161">
        <f>IF(Times!D152&lt;&gt;"",SUMIFS(Times!$G$2:G152,$AA$2:AA152,AA152,$AK$2:AK152,"Y"),"")</f>
        <v>84</v>
      </c>
      <c r="AG152" s="154" t="str">
        <f>IF(Times!D152&lt;&gt;"",IF(AND(Times!J152="M",AI152+AL152=AM152,AK152="Y"),AF152,""),"")</f>
        <v/>
      </c>
      <c r="AH152" s="154" t="str">
        <f>IF(Times!D152&lt;&gt;"",IF(AND(Times!J152="F",AI152+AL152=AM152,AK152="Y"),AF152,""),"")</f>
        <v/>
      </c>
      <c r="AI152" s="154">
        <f>COUNTIF(Z$2:Z152,CONCATENATE("V",AA152))</f>
        <v>22</v>
      </c>
      <c r="AJ152" s="154">
        <f>COUNTIF(Z$2:Z152,CONCATENATE("S",AA152))</f>
        <v>17</v>
      </c>
      <c r="AK152" s="154" t="str">
        <f t="shared" si="86"/>
        <v>N</v>
      </c>
      <c r="AL152" s="154">
        <f>IF(AND(Times!J152="M",AJ152&gt;3),3, IF(AND(Times!J152="F",AJ152&gt;2),2,AJ152))</f>
        <v>3</v>
      </c>
      <c r="AM152" s="154">
        <f>IF(Times!J152="M",6, IF(Times!J152="F",4,""))</f>
        <v>6</v>
      </c>
      <c r="AN152" s="154" t="str">
        <f t="shared" si="87"/>
        <v/>
      </c>
      <c r="AO152" s="154" t="str">
        <f t="shared" si="88"/>
        <v/>
      </c>
    </row>
    <row r="153" spans="26:41" x14ac:dyDescent="0.25">
      <c r="Z153" s="154" t="str">
        <f>CONCATENATE(AE153,Times!AD153)</f>
        <v>VFIlford AC</v>
      </c>
      <c r="AA153" s="154" t="str">
        <f>Times!AD153</f>
        <v>FIlford AC</v>
      </c>
      <c r="AB153" s="154" t="str">
        <f>IF(AK153="Y",CONCATENATE(AA153,COUNTIFS($AK$2:AK153,"=Y",$AA$2:AA153,AA153)),"")</f>
        <v>FIlford AC4</v>
      </c>
      <c r="AC153" s="154" t="str">
        <f>Times!K153</f>
        <v>Nicola Hopkinson</v>
      </c>
      <c r="AD153" s="154">
        <f>Times!G153</f>
        <v>28</v>
      </c>
      <c r="AE153" s="154" t="str">
        <f>IF(Times!D153&lt;&gt;"",IF(ISERR(SEARCH("V",Times!I153,1)),IF(ISERR(SEARCH("S",Times!I153,1)),"S","S"),"V"),"")</f>
        <v>V</v>
      </c>
      <c r="AF153" s="161">
        <f>IF(Times!D153&lt;&gt;"",SUMIFS(Times!$G$2:G153,$AA$2:AA153,AA153,$AK$2:AK153,"Y"),"")</f>
        <v>58</v>
      </c>
      <c r="AG153" s="154" t="str">
        <f>IF(Times!D153&lt;&gt;"",IF(AND(Times!J153="M",AI153+AL153=AM153,AK153="Y"),AF153,""),"")</f>
        <v/>
      </c>
      <c r="AH153" s="154">
        <f>IF(Times!D153&lt;&gt;"",IF(AND(Times!J153="F",AI153+AL153=AM153,AK153="Y"),AF153,""),"")</f>
        <v>58</v>
      </c>
      <c r="AI153" s="154">
        <f>COUNTIF(Z$2:Z153,CONCATENATE("V",AA153))</f>
        <v>2</v>
      </c>
      <c r="AJ153" s="154">
        <f>COUNTIF(Z$2:Z153,CONCATENATE("S",AA153))</f>
        <v>2</v>
      </c>
      <c r="AK153" s="154" t="str">
        <f t="shared" si="86"/>
        <v>Y</v>
      </c>
      <c r="AL153" s="154">
        <f>IF(AND(Times!J153="M",AJ153&gt;3),3, IF(AND(Times!J153="F",AJ153&gt;2),2,AJ153))</f>
        <v>2</v>
      </c>
      <c r="AM153" s="154">
        <f>IF(Times!J153="M",6, IF(Times!J153="F",4,""))</f>
        <v>4</v>
      </c>
      <c r="AN153" s="154" t="str">
        <f t="shared" si="87"/>
        <v/>
      </c>
      <c r="AO153" s="154">
        <f t="shared" si="88"/>
        <v>2</v>
      </c>
    </row>
    <row r="154" spans="26:41" x14ac:dyDescent="0.25">
      <c r="Z154" s="154" t="str">
        <f>CONCATENATE(AE154,Times!AD154)</f>
        <v>VMEast London Runners</v>
      </c>
      <c r="AA154" s="154" t="str">
        <f>Times!AD154</f>
        <v>MEast London Runners</v>
      </c>
      <c r="AB154" s="154" t="str">
        <f>IF(AK154="Y",CONCATENATE(AA154,COUNTIFS($AK$2:AK154,"=Y",$AA$2:AA154,AA154)),"")</f>
        <v/>
      </c>
      <c r="AC154" s="154" t="str">
        <f>Times!K154</f>
        <v>David Hallybone</v>
      </c>
      <c r="AD154" s="154">
        <f>Times!G154</f>
        <v>125</v>
      </c>
      <c r="AE154" s="154" t="str">
        <f>IF(Times!D154&lt;&gt;"",IF(ISERR(SEARCH("V",Times!I154,1)),IF(ISERR(SEARCH("S",Times!I154,1)),"S","S"),"V"),"")</f>
        <v>V</v>
      </c>
      <c r="AF154" s="161">
        <f>IF(Times!D154&lt;&gt;"",SUMIFS(Times!$G$2:G154,$AA$2:AA154,AA154,$AK$2:AK154,"Y"),"")</f>
        <v>84</v>
      </c>
      <c r="AG154" s="154" t="str">
        <f>IF(Times!D154&lt;&gt;"",IF(AND(Times!J154="M",AI154+AL154=AM154,AK154="Y"),AF154,""),"")</f>
        <v/>
      </c>
      <c r="AH154" s="154" t="str">
        <f>IF(Times!D154&lt;&gt;"",IF(AND(Times!J154="F",AI154+AL154=AM154,AK154="Y"),AF154,""),"")</f>
        <v/>
      </c>
      <c r="AI154" s="154">
        <f>COUNTIF(Z$2:Z154,CONCATENATE("V",AA154))</f>
        <v>23</v>
      </c>
      <c r="AJ154" s="154">
        <f>COUNTIF(Z$2:Z154,CONCATENATE("S",AA154))</f>
        <v>17</v>
      </c>
      <c r="AK154" s="154" t="str">
        <f t="shared" si="86"/>
        <v>N</v>
      </c>
      <c r="AL154" s="154">
        <f>IF(AND(Times!J154="M",AJ154&gt;3),3, IF(AND(Times!J154="F",AJ154&gt;2),2,AJ154))</f>
        <v>3</v>
      </c>
      <c r="AM154" s="154">
        <f>IF(Times!J154="M",6, IF(Times!J154="F",4,""))</f>
        <v>6</v>
      </c>
      <c r="AN154" s="154" t="str">
        <f t="shared" si="87"/>
        <v/>
      </c>
      <c r="AO154" s="154" t="str">
        <f t="shared" si="88"/>
        <v/>
      </c>
    </row>
    <row r="155" spans="26:41" x14ac:dyDescent="0.25">
      <c r="Z155" s="154" t="str">
        <f>CONCATENATE(AE155,Times!AD155)</f>
        <v>SMEast End Road Runners</v>
      </c>
      <c r="AA155" s="154" t="str">
        <f>Times!AD155</f>
        <v>MEast End Road Runners</v>
      </c>
      <c r="AB155" s="154" t="str">
        <f>IF(AK155="Y",CONCATENATE(AA155,COUNTIFS($AK$2:AK155,"=Y",$AA$2:AA155,AA155)),"")</f>
        <v/>
      </c>
      <c r="AC155" s="154" t="str">
        <f>Times!K155</f>
        <v>Imran Patel</v>
      </c>
      <c r="AD155" s="154">
        <f>Times!G155</f>
        <v>126</v>
      </c>
      <c r="AE155" s="154" t="str">
        <f>IF(Times!D155&lt;&gt;"",IF(ISERR(SEARCH("V",Times!I155,1)),IF(ISERR(SEARCH("S",Times!I155,1)),"S","S"),"V"),"")</f>
        <v>S</v>
      </c>
      <c r="AF155" s="161">
        <f>IF(Times!D155&lt;&gt;"",SUMIFS(Times!$G$2:G155,$AA$2:AA155,AA155,$AK$2:AK155,"Y"),"")</f>
        <v>343</v>
      </c>
      <c r="AG155" s="154" t="str">
        <f>IF(Times!D155&lt;&gt;"",IF(AND(Times!J155="M",AI155+AL155=AM155,AK155="Y"),AF155,""),"")</f>
        <v/>
      </c>
      <c r="AH155" s="154" t="str">
        <f>IF(Times!D155&lt;&gt;"",IF(AND(Times!J155="F",AI155+AL155=AM155,AK155="Y"),AF155,""),"")</f>
        <v/>
      </c>
      <c r="AI155" s="154">
        <f>COUNTIF(Z$2:Z155,CONCATENATE("V",AA155))</f>
        <v>4</v>
      </c>
      <c r="AJ155" s="154">
        <f>COUNTIF(Z$2:Z155,CONCATENATE("S",AA155))</f>
        <v>7</v>
      </c>
      <c r="AK155" s="154" t="str">
        <f t="shared" si="86"/>
        <v>N</v>
      </c>
      <c r="AL155" s="154">
        <f>IF(AND(Times!J155="M",AJ155&gt;3),3, IF(AND(Times!J155="F",AJ155&gt;2),2,AJ155))</f>
        <v>3</v>
      </c>
      <c r="AM155" s="154">
        <f>IF(Times!J155="M",6, IF(Times!J155="F",4,""))</f>
        <v>6</v>
      </c>
      <c r="AN155" s="154" t="str">
        <f t="shared" si="87"/>
        <v/>
      </c>
      <c r="AO155" s="154" t="str">
        <f t="shared" si="88"/>
        <v/>
      </c>
    </row>
    <row r="156" spans="26:41" x14ac:dyDescent="0.25">
      <c r="Z156" s="154" t="str">
        <f>CONCATENATE(AE156,Times!AD156)</f>
        <v>SFEast London Runners</v>
      </c>
      <c r="AA156" s="154" t="str">
        <f>Times!AD156</f>
        <v>FEast London Runners</v>
      </c>
      <c r="AB156" s="154" t="str">
        <f>IF(AK156="Y",CONCATENATE(AA156,COUNTIFS($AK$2:AK156,"=Y",$AA$2:AA156,AA156)),"")</f>
        <v/>
      </c>
      <c r="AC156" s="154" t="str">
        <f>Times!K156</f>
        <v>Kathryn Hertzberg</v>
      </c>
      <c r="AD156" s="154">
        <f>Times!G156</f>
        <v>29</v>
      </c>
      <c r="AE156" s="154" t="str">
        <f>IF(Times!D156&lt;&gt;"",IF(ISERR(SEARCH("V",Times!I156,1)),IF(ISERR(SEARCH("S",Times!I156,1)),"S","S"),"V"),"")</f>
        <v>S</v>
      </c>
      <c r="AF156" s="161">
        <f>IF(Times!D156&lt;&gt;"",SUMIFS(Times!$G$2:G156,$AA$2:AA156,AA156,$AK$2:AK156,"Y"),"")</f>
        <v>27</v>
      </c>
      <c r="AG156" s="154" t="str">
        <f>IF(Times!D156&lt;&gt;"",IF(AND(Times!J156="M",AI156+AL156=AM156,AK156="Y"),AF156,""),"")</f>
        <v/>
      </c>
      <c r="AH156" s="154" t="str">
        <f>IF(Times!D156&lt;&gt;"",IF(AND(Times!J156="F",AI156+AL156=AM156,AK156="Y"),AF156,""),"")</f>
        <v/>
      </c>
      <c r="AI156" s="154">
        <f>COUNTIF(Z$2:Z156,CONCATENATE("V",AA156))</f>
        <v>3</v>
      </c>
      <c r="AJ156" s="154">
        <f>COUNTIF(Z$2:Z156,CONCATENATE("S",AA156))</f>
        <v>4</v>
      </c>
      <c r="AK156" s="154" t="str">
        <f t="shared" si="86"/>
        <v>N</v>
      </c>
      <c r="AL156" s="154">
        <f>IF(AND(Times!J156="M",AJ156&gt;3),3, IF(AND(Times!J156="F",AJ156&gt;2),2,AJ156))</f>
        <v>2</v>
      </c>
      <c r="AM156" s="154">
        <f>IF(Times!J156="M",6, IF(Times!J156="F",4,""))</f>
        <v>4</v>
      </c>
      <c r="AN156" s="154" t="str">
        <f t="shared" si="87"/>
        <v/>
      </c>
      <c r="AO156" s="154" t="str">
        <f t="shared" si="88"/>
        <v/>
      </c>
    </row>
    <row r="157" spans="26:41" x14ac:dyDescent="0.25">
      <c r="Z157" s="154" t="str">
        <f>CONCATENATE(AE157,Times!AD157)</f>
        <v>VFEton Manor AC</v>
      </c>
      <c r="AA157" s="154" t="str">
        <f>Times!AD157</f>
        <v>FEton Manor AC</v>
      </c>
      <c r="AB157" s="154" t="str">
        <f>IF(AK157="Y",CONCATENATE(AA157,COUNTIFS($AK$2:AK157,"=Y",$AA$2:AA157,AA157)),"")</f>
        <v/>
      </c>
      <c r="AC157" s="154" t="str">
        <f>Times!K157</f>
        <v>Jane Pannell</v>
      </c>
      <c r="AD157" s="154">
        <f>Times!G157</f>
        <v>30</v>
      </c>
      <c r="AE157" s="154" t="str">
        <f>IF(Times!D157&lt;&gt;"",IF(ISERR(SEARCH("V",Times!I157,1)),IF(ISERR(SEARCH("S",Times!I157,1)),"S","S"),"V"),"")</f>
        <v>V</v>
      </c>
      <c r="AF157" s="161">
        <f>IF(Times!D157&lt;&gt;"",SUMIFS(Times!$G$2:G157,$AA$2:AA157,AA157,$AK$2:AK157,"Y"),"")</f>
        <v>60</v>
      </c>
      <c r="AG157" s="154" t="str">
        <f>IF(Times!D157&lt;&gt;"",IF(AND(Times!J157="M",AI157+AL157=AM157,AK157="Y"),AF157,""),"")</f>
        <v/>
      </c>
      <c r="AH157" s="154" t="str">
        <f>IF(Times!D157&lt;&gt;"",IF(AND(Times!J157="F",AI157+AL157=AM157,AK157="Y"),AF157,""),"")</f>
        <v/>
      </c>
      <c r="AI157" s="154">
        <f>COUNTIF(Z$2:Z157,CONCATENATE("V",AA157))</f>
        <v>5</v>
      </c>
      <c r="AJ157" s="154">
        <f>COUNTIF(Z$2:Z157,CONCATENATE("S",AA157))</f>
        <v>0</v>
      </c>
      <c r="AK157" s="154" t="str">
        <f t="shared" si="86"/>
        <v>N</v>
      </c>
      <c r="AL157" s="154">
        <f>IF(AND(Times!J157="M",AJ157&gt;3),3, IF(AND(Times!J157="F",AJ157&gt;2),2,AJ157))</f>
        <v>0</v>
      </c>
      <c r="AM157" s="154">
        <f>IF(Times!J157="M",6, IF(Times!J157="F",4,""))</f>
        <v>4</v>
      </c>
      <c r="AN157" s="154" t="str">
        <f t="shared" si="87"/>
        <v/>
      </c>
      <c r="AO157" s="154" t="str">
        <f t="shared" si="88"/>
        <v/>
      </c>
    </row>
    <row r="158" spans="26:41" x14ac:dyDescent="0.25">
      <c r="Z158" s="154" t="str">
        <f>CONCATENATE(AE158,Times!AD158)</f>
        <v>VFEast London Runners</v>
      </c>
      <c r="AA158" s="154" t="str">
        <f>Times!AD158</f>
        <v>FEast London Runners</v>
      </c>
      <c r="AB158" s="154" t="str">
        <f>IF(AK158="Y",CONCATENATE(AA158,COUNTIFS($AK$2:AK158,"=Y",$AA$2:AA158,AA158)),"")</f>
        <v/>
      </c>
      <c r="AC158" s="154" t="str">
        <f>Times!K158</f>
        <v>Maud Hodson</v>
      </c>
      <c r="AD158" s="154">
        <f>Times!G158</f>
        <v>31</v>
      </c>
      <c r="AE158" s="154" t="str">
        <f>IF(Times!D158&lt;&gt;"",IF(ISERR(SEARCH("V",Times!I158,1)),IF(ISERR(SEARCH("S",Times!I158,1)),"S","S"),"V"),"")</f>
        <v>V</v>
      </c>
      <c r="AF158" s="161">
        <f>IF(Times!D158&lt;&gt;"",SUMIFS(Times!$G$2:G158,$AA$2:AA158,AA158,$AK$2:AK158,"Y"),"")</f>
        <v>27</v>
      </c>
      <c r="AG158" s="154" t="str">
        <f>IF(Times!D158&lt;&gt;"",IF(AND(Times!J158="M",AI158+AL158=AM158,AK158="Y"),AF158,""),"")</f>
        <v/>
      </c>
      <c r="AH158" s="154" t="str">
        <f>IF(Times!D158&lt;&gt;"",IF(AND(Times!J158="F",AI158+AL158=AM158,AK158="Y"),AF158,""),"")</f>
        <v/>
      </c>
      <c r="AI158" s="154">
        <f>COUNTIF(Z$2:Z158,CONCATENATE("V",AA158))</f>
        <v>4</v>
      </c>
      <c r="AJ158" s="154">
        <f>COUNTIF(Z$2:Z158,CONCATENATE("S",AA158))</f>
        <v>4</v>
      </c>
      <c r="AK158" s="154" t="str">
        <f t="shared" si="86"/>
        <v>N</v>
      </c>
      <c r="AL158" s="154">
        <f>IF(AND(Times!J158="M",AJ158&gt;3),3, IF(AND(Times!J158="F",AJ158&gt;2),2,AJ158))</f>
        <v>2</v>
      </c>
      <c r="AM158" s="154">
        <f>IF(Times!J158="M",6, IF(Times!J158="F",4,""))</f>
        <v>4</v>
      </c>
      <c r="AN158" s="154" t="str">
        <f t="shared" si="87"/>
        <v/>
      </c>
      <c r="AO158" s="154" t="str">
        <f t="shared" si="88"/>
        <v/>
      </c>
    </row>
    <row r="159" spans="26:41" x14ac:dyDescent="0.25">
      <c r="Z159" s="154" t="str">
        <f>CONCATENATE(AE159,Times!AD159)</f>
        <v>SFU/A</v>
      </c>
      <c r="AA159" s="154" t="str">
        <f>Times!AD159</f>
        <v>FU/A</v>
      </c>
      <c r="AB159" s="154" t="str">
        <f>IF(AK159="Y",CONCATENATE(AA159,COUNTIFS($AK$2:AK159,"=Y",$AA$2:AA159,AA159)),"")</f>
        <v>FU/A2</v>
      </c>
      <c r="AC159" s="154" t="str">
        <f>Times!K159</f>
        <v>Jasmine Bell</v>
      </c>
      <c r="AD159" s="154">
        <f>Times!G159</f>
        <v>32</v>
      </c>
      <c r="AE159" s="154" t="str">
        <f>IF(Times!D159&lt;&gt;"",IF(ISERR(SEARCH("V",Times!I159,1)),IF(ISERR(SEARCH("S",Times!I159,1)),"S","S"),"V"),"")</f>
        <v>S</v>
      </c>
      <c r="AF159" s="161">
        <f>IF(Times!D159&lt;&gt;"",SUMIFS(Times!$G$2:G159,$AA$2:AA159,AA159,$AK$2:AK159,"Y"),"")</f>
        <v>56</v>
      </c>
      <c r="AG159" s="154" t="str">
        <f>IF(Times!D159&lt;&gt;"",IF(AND(Times!J159="M",AI159+AL159=AM159,AK159="Y"),AF159,""),"")</f>
        <v/>
      </c>
      <c r="AH159" s="154" t="str">
        <f>IF(Times!D159&lt;&gt;"",IF(AND(Times!J159="F",AI159+AL159=AM159,AK159="Y"),AF159,""),"")</f>
        <v/>
      </c>
      <c r="AI159" s="154">
        <f>COUNTIF(Z$2:Z159,CONCATENATE("V",AA159))</f>
        <v>1</v>
      </c>
      <c r="AJ159" s="154">
        <f>COUNTIF(Z$2:Z159,CONCATENATE("S",AA159))</f>
        <v>1</v>
      </c>
      <c r="AK159" s="154" t="str">
        <f t="shared" si="86"/>
        <v>Y</v>
      </c>
      <c r="AL159" s="154">
        <f>IF(AND(Times!J159="M",AJ159&gt;3),3, IF(AND(Times!J159="F",AJ159&gt;2),2,AJ159))</f>
        <v>1</v>
      </c>
      <c r="AM159" s="154">
        <f>IF(Times!J159="M",6, IF(Times!J159="F",4,""))</f>
        <v>4</v>
      </c>
      <c r="AN159" s="154" t="str">
        <f t="shared" si="87"/>
        <v/>
      </c>
      <c r="AO159" s="154" t="str">
        <f t="shared" si="88"/>
        <v/>
      </c>
    </row>
    <row r="160" spans="26:41" x14ac:dyDescent="0.25">
      <c r="Z160" s="154" t="str">
        <f>CONCATENATE(AE160,Times!AD160)</f>
        <v>VMHavering 90 Joggers</v>
      </c>
      <c r="AA160" s="154" t="str">
        <f>Times!AD160</f>
        <v>MHavering 90 Joggers</v>
      </c>
      <c r="AB160" s="154" t="str">
        <f>IF(AK160="Y",CONCATENATE(AA160,COUNTIFS($AK$2:AK160,"=Y",$AA$2:AA160,AA160)),"")</f>
        <v/>
      </c>
      <c r="AC160" s="154" t="str">
        <f>Times!K160</f>
        <v>Steve Constantinou</v>
      </c>
      <c r="AD160" s="154">
        <f>Times!G160</f>
        <v>127</v>
      </c>
      <c r="AE160" s="154" t="str">
        <f>IF(Times!D160&lt;&gt;"",IF(ISERR(SEARCH("V",Times!I160,1)),IF(ISERR(SEARCH("S",Times!I160,1)),"S","S"),"V"),"")</f>
        <v>V</v>
      </c>
      <c r="AF160" s="161">
        <f>IF(Times!D160&lt;&gt;"",SUMIFS(Times!$G$2:G160,$AA$2:AA160,AA160,$AK$2:AK160,"Y"),"")</f>
        <v>506</v>
      </c>
      <c r="AG160" s="154" t="str">
        <f>IF(Times!D160&lt;&gt;"",IF(AND(Times!J160="M",AI160+AL160=AM160,AK160="Y"),AF160,""),"")</f>
        <v/>
      </c>
      <c r="AH160" s="154" t="str">
        <f>IF(Times!D160&lt;&gt;"",IF(AND(Times!J160="F",AI160+AL160=AM160,AK160="Y"),AF160,""),"")</f>
        <v/>
      </c>
      <c r="AI160" s="154">
        <f>COUNTIF(Z$2:Z160,CONCATENATE("V",AA160))</f>
        <v>5</v>
      </c>
      <c r="AJ160" s="154">
        <f>COUNTIF(Z$2:Z160,CONCATENATE("S",AA160))</f>
        <v>2</v>
      </c>
      <c r="AK160" s="154" t="str">
        <f t="shared" si="86"/>
        <v>N</v>
      </c>
      <c r="AL160" s="154">
        <f>IF(AND(Times!J160="M",AJ160&gt;3),3, IF(AND(Times!J160="F",AJ160&gt;2),2,AJ160))</f>
        <v>2</v>
      </c>
      <c r="AM160" s="154">
        <f>IF(Times!J160="M",6, IF(Times!J160="F",4,""))</f>
        <v>6</v>
      </c>
      <c r="AN160" s="154" t="str">
        <f t="shared" si="87"/>
        <v/>
      </c>
      <c r="AO160" s="154" t="str">
        <f t="shared" si="88"/>
        <v/>
      </c>
    </row>
    <row r="161" spans="26:41" x14ac:dyDescent="0.25">
      <c r="Z161" s="154" t="str">
        <f>CONCATENATE(AE161,Times!AD161)</f>
        <v>SFIlford AC</v>
      </c>
      <c r="AA161" s="154" t="str">
        <f>Times!AD161</f>
        <v>FIlford AC</v>
      </c>
      <c r="AB161" s="154" t="str">
        <f>IF(AK161="Y",CONCATENATE(AA161,COUNTIFS($AK$2:AK161,"=Y",$AA$2:AA161,AA161)),"")</f>
        <v/>
      </c>
      <c r="AC161" s="154" t="str">
        <f>Times!K161</f>
        <v>Natalie Crisp</v>
      </c>
      <c r="AD161" s="154">
        <f>Times!G161</f>
        <v>33</v>
      </c>
      <c r="AE161" s="154" t="str">
        <f>IF(Times!D161&lt;&gt;"",IF(ISERR(SEARCH("V",Times!I161,1)),IF(ISERR(SEARCH("S",Times!I161,1)),"S","S"),"V"),"")</f>
        <v>S</v>
      </c>
      <c r="AF161" s="161">
        <f>IF(Times!D161&lt;&gt;"",SUMIFS(Times!$G$2:G161,$AA$2:AA161,AA161,$AK$2:AK161,"Y"),"")</f>
        <v>58</v>
      </c>
      <c r="AG161" s="154" t="str">
        <f>IF(Times!D161&lt;&gt;"",IF(AND(Times!J161="M",AI161+AL161=AM161,AK161="Y"),AF161,""),"")</f>
        <v/>
      </c>
      <c r="AH161" s="154" t="str">
        <f>IF(Times!D161&lt;&gt;"",IF(AND(Times!J161="F",AI161+AL161=AM161,AK161="Y"),AF161,""),"")</f>
        <v/>
      </c>
      <c r="AI161" s="154">
        <f>COUNTIF(Z$2:Z161,CONCATENATE("V",AA161))</f>
        <v>2</v>
      </c>
      <c r="AJ161" s="154">
        <f>COUNTIF(Z$2:Z161,CONCATENATE("S",AA161))</f>
        <v>3</v>
      </c>
      <c r="AK161" s="154" t="str">
        <f t="shared" si="86"/>
        <v>N</v>
      </c>
      <c r="AL161" s="154">
        <f>IF(AND(Times!J161="M",AJ161&gt;3),3, IF(AND(Times!J161="F",AJ161&gt;2),2,AJ161))</f>
        <v>2</v>
      </c>
      <c r="AM161" s="154">
        <f>IF(Times!J161="M",6, IF(Times!J161="F",4,""))</f>
        <v>4</v>
      </c>
      <c r="AN161" s="154" t="str">
        <f t="shared" si="87"/>
        <v/>
      </c>
      <c r="AO161" s="154" t="str">
        <f t="shared" si="88"/>
        <v/>
      </c>
    </row>
    <row r="162" spans="26:41" x14ac:dyDescent="0.25">
      <c r="Z162" s="154" t="str">
        <f>CONCATENATE(AE162,Times!AD162)</f>
        <v>VFEton Manor AC</v>
      </c>
      <c r="AA162" s="154" t="str">
        <f>Times!AD162</f>
        <v>FEton Manor AC</v>
      </c>
      <c r="AB162" s="154" t="str">
        <f>IF(AK162="Y",CONCATENATE(AA162,COUNTIFS($AK$2:AK162,"=Y",$AA$2:AA162,AA162)),"")</f>
        <v/>
      </c>
      <c r="AC162" s="154" t="str">
        <f>Times!K162</f>
        <v>Kate Aldersey</v>
      </c>
      <c r="AD162" s="154">
        <f>Times!G162</f>
        <v>34</v>
      </c>
      <c r="AE162" s="154" t="str">
        <f>IF(Times!D162&lt;&gt;"",IF(ISERR(SEARCH("V",Times!I162,1)),IF(ISERR(SEARCH("S",Times!I162,1)),"S","S"),"V"),"")</f>
        <v>V</v>
      </c>
      <c r="AF162" s="161">
        <f>IF(Times!D162&lt;&gt;"",SUMIFS(Times!$G$2:G162,$AA$2:AA162,AA162,$AK$2:AK162,"Y"),"")</f>
        <v>60</v>
      </c>
      <c r="AG162" s="154" t="str">
        <f>IF(Times!D162&lt;&gt;"",IF(AND(Times!J162="M",AI162+AL162=AM162,AK162="Y"),AF162,""),"")</f>
        <v/>
      </c>
      <c r="AH162" s="154" t="str">
        <f>IF(Times!D162&lt;&gt;"",IF(AND(Times!J162="F",AI162+AL162=AM162,AK162="Y"),AF162,""),"")</f>
        <v/>
      </c>
      <c r="AI162" s="154">
        <f>COUNTIF(Z$2:Z162,CONCATENATE("V",AA162))</f>
        <v>6</v>
      </c>
      <c r="AJ162" s="154">
        <f>COUNTIF(Z$2:Z162,CONCATENATE("S",AA162))</f>
        <v>0</v>
      </c>
      <c r="AK162" s="154" t="str">
        <f t="shared" si="86"/>
        <v>N</v>
      </c>
      <c r="AL162" s="154">
        <f>IF(AND(Times!J162="M",AJ162&gt;3),3, IF(AND(Times!J162="F",AJ162&gt;2),2,AJ162))</f>
        <v>0</v>
      </c>
      <c r="AM162" s="154">
        <f>IF(Times!J162="M",6, IF(Times!J162="F",4,""))</f>
        <v>4</v>
      </c>
      <c r="AN162" s="154" t="str">
        <f t="shared" si="87"/>
        <v/>
      </c>
      <c r="AO162" s="154" t="str">
        <f t="shared" si="88"/>
        <v/>
      </c>
    </row>
    <row r="163" spans="26:41" x14ac:dyDescent="0.25">
      <c r="Z163" s="154" t="str">
        <f>CONCATENATE(AE163,Times!AD163)</f>
        <v>VFBarking Road Runners</v>
      </c>
      <c r="AA163" s="154" t="str">
        <f>Times!AD163</f>
        <v>FBarking Road Runners</v>
      </c>
      <c r="AB163" s="154" t="str">
        <f>IF(AK163="Y",CONCATENATE(AA163,COUNTIFS($AK$2:AK163,"=Y",$AA$2:AA163,AA163)),"")</f>
        <v>FBarking Road Runners3</v>
      </c>
      <c r="AC163" s="154" t="str">
        <f>Times!K163</f>
        <v>Faye Spooner</v>
      </c>
      <c r="AD163" s="154">
        <f>Times!G163</f>
        <v>35</v>
      </c>
      <c r="AE163" s="154" t="str">
        <f>IF(Times!D163&lt;&gt;"",IF(ISERR(SEARCH("V",Times!I163,1)),IF(ISERR(SEARCH("S",Times!I163,1)),"S","S"),"V"),"")</f>
        <v>V</v>
      </c>
      <c r="AF163" s="161">
        <f>IF(Times!D163&lt;&gt;"",SUMIFS(Times!$G$2:G163,$AA$2:AA163,AA163,$AK$2:AK163,"Y"),"")</f>
        <v>80</v>
      </c>
      <c r="AG163" s="154" t="str">
        <f>IF(Times!D163&lt;&gt;"",IF(AND(Times!J163="M",AI163+AL163=AM163,AK163="Y"),AF163,""),"")</f>
        <v/>
      </c>
      <c r="AH163" s="154" t="str">
        <f>IF(Times!D163&lt;&gt;"",IF(AND(Times!J163="F",AI163+AL163=AM163,AK163="Y"),AF163,""),"")</f>
        <v/>
      </c>
      <c r="AI163" s="154">
        <f>COUNTIF(Z$2:Z163,CONCATENATE("V",AA163))</f>
        <v>3</v>
      </c>
      <c r="AJ163" s="154">
        <f>COUNTIF(Z$2:Z163,CONCATENATE("S",AA163))</f>
        <v>0</v>
      </c>
      <c r="AK163" s="154" t="str">
        <f t="shared" si="86"/>
        <v>Y</v>
      </c>
      <c r="AL163" s="154">
        <f>IF(AND(Times!J163="M",AJ163&gt;3),3, IF(AND(Times!J163="F",AJ163&gt;2),2,AJ163))</f>
        <v>0</v>
      </c>
      <c r="AM163" s="154">
        <f>IF(Times!J163="M",6, IF(Times!J163="F",4,""))</f>
        <v>4</v>
      </c>
      <c r="AN163" s="154" t="str">
        <f t="shared" si="87"/>
        <v/>
      </c>
      <c r="AO163" s="154" t="str">
        <f t="shared" si="88"/>
        <v/>
      </c>
    </row>
    <row r="164" spans="26:41" x14ac:dyDescent="0.25">
      <c r="Z164" s="154" t="str">
        <f>CONCATENATE(AE164,Times!AD164)</f>
        <v>VMOrion Harriers</v>
      </c>
      <c r="AA164" s="154" t="str">
        <f>Times!AD164</f>
        <v>MOrion Harriers</v>
      </c>
      <c r="AB164" s="154" t="str">
        <f>IF(AK164="Y",CONCATENATE(AA164,COUNTIFS($AK$2:AK164,"=Y",$AA$2:AA164,AA164)),"")</f>
        <v/>
      </c>
      <c r="AC164" s="154" t="str">
        <f>Times!K164</f>
        <v>Dave Mills</v>
      </c>
      <c r="AD164" s="154">
        <f>Times!G164</f>
        <v>128</v>
      </c>
      <c r="AE164" s="154" t="str">
        <f>IF(Times!D164&lt;&gt;"",IF(ISERR(SEARCH("V",Times!I164,1)),IF(ISERR(SEARCH("S",Times!I164,1)),"S","S"),"V"),"")</f>
        <v>V</v>
      </c>
      <c r="AF164" s="161">
        <f>IF(Times!D164&lt;&gt;"",SUMIFS(Times!$G$2:G164,$AA$2:AA164,AA164,$AK$2:AK164,"Y"),"")</f>
        <v>347</v>
      </c>
      <c r="AG164" s="154" t="str">
        <f>IF(Times!D164&lt;&gt;"",IF(AND(Times!J164="M",AI164+AL164=AM164,AK164="Y"),AF164,""),"")</f>
        <v/>
      </c>
      <c r="AH164" s="154" t="str">
        <f>IF(Times!D164&lt;&gt;"",IF(AND(Times!J164="F",AI164+AL164=AM164,AK164="Y"),AF164,""),"")</f>
        <v/>
      </c>
      <c r="AI164" s="154">
        <f>COUNTIF(Z$2:Z164,CONCATENATE("V",AA164))</f>
        <v>8</v>
      </c>
      <c r="AJ164" s="154">
        <f>COUNTIF(Z$2:Z164,CONCATENATE("S",AA164))</f>
        <v>4</v>
      </c>
      <c r="AK164" s="154" t="str">
        <f t="shared" si="86"/>
        <v>N</v>
      </c>
      <c r="AL164" s="154">
        <f>IF(AND(Times!J164="M",AJ164&gt;3),3, IF(AND(Times!J164="F",AJ164&gt;2),2,AJ164))</f>
        <v>3</v>
      </c>
      <c r="AM164" s="154">
        <f>IF(Times!J164="M",6, IF(Times!J164="F",4,""))</f>
        <v>6</v>
      </c>
      <c r="AN164" s="154" t="str">
        <f t="shared" si="87"/>
        <v/>
      </c>
      <c r="AO164" s="154" t="str">
        <f t="shared" si="88"/>
        <v/>
      </c>
    </row>
    <row r="165" spans="26:41" x14ac:dyDescent="0.25">
      <c r="Z165" s="154" t="str">
        <f>CONCATENATE(AE165,Times!AD165)</f>
        <v>VMEast End Road Runners</v>
      </c>
      <c r="AA165" s="154" t="str">
        <f>Times!AD165</f>
        <v>MEast End Road Runners</v>
      </c>
      <c r="AB165" s="154" t="str">
        <f>IF(AK165="Y",CONCATENATE(AA165,COUNTIFS($AK$2:AK165,"=Y",$AA$2:AA165,AA165)),"")</f>
        <v/>
      </c>
      <c r="AC165" s="154" t="str">
        <f>Times!K165</f>
        <v>Marc Taffy Upton</v>
      </c>
      <c r="AD165" s="154">
        <f>Times!G165</f>
        <v>129</v>
      </c>
      <c r="AE165" s="154" t="str">
        <f>IF(Times!D165&lt;&gt;"",IF(ISERR(SEARCH("V",Times!I165,1)),IF(ISERR(SEARCH("S",Times!I165,1)),"S","S"),"V"),"")</f>
        <v>V</v>
      </c>
      <c r="AF165" s="161">
        <f>IF(Times!D165&lt;&gt;"",SUMIFS(Times!$G$2:G165,$AA$2:AA165,AA165,$AK$2:AK165,"Y"),"")</f>
        <v>343</v>
      </c>
      <c r="AG165" s="154" t="str">
        <f>IF(Times!D165&lt;&gt;"",IF(AND(Times!J165="M",AI165+AL165=AM165,AK165="Y"),AF165,""),"")</f>
        <v/>
      </c>
      <c r="AH165" s="154" t="str">
        <f>IF(Times!D165&lt;&gt;"",IF(AND(Times!J165="F",AI165+AL165=AM165,AK165="Y"),AF165,""),"")</f>
        <v/>
      </c>
      <c r="AI165" s="154">
        <f>COUNTIF(Z$2:Z165,CONCATENATE("V",AA165))</f>
        <v>5</v>
      </c>
      <c r="AJ165" s="154">
        <f>COUNTIF(Z$2:Z165,CONCATENATE("S",AA165))</f>
        <v>7</v>
      </c>
      <c r="AK165" s="154" t="str">
        <f t="shared" si="86"/>
        <v>N</v>
      </c>
      <c r="AL165" s="154">
        <f>IF(AND(Times!J165="M",AJ165&gt;3),3, IF(AND(Times!J165="F",AJ165&gt;2),2,AJ165))</f>
        <v>3</v>
      </c>
      <c r="AM165" s="154">
        <f>IF(Times!J165="M",6, IF(Times!J165="F",4,""))</f>
        <v>6</v>
      </c>
      <c r="AN165" s="154" t="str">
        <f t="shared" si="87"/>
        <v/>
      </c>
      <c r="AO165" s="154" t="str">
        <f t="shared" si="88"/>
        <v/>
      </c>
    </row>
    <row r="166" spans="26:41" x14ac:dyDescent="0.25">
      <c r="Z166" s="154" t="str">
        <f>CONCATENATE(AE166,Times!AD166)</f>
        <v>VMEast London Runners</v>
      </c>
      <c r="AA166" s="154" t="str">
        <f>Times!AD166</f>
        <v>MEast London Runners</v>
      </c>
      <c r="AB166" s="154" t="str">
        <f>IF(AK166="Y",CONCATENATE(AA166,COUNTIFS($AK$2:AK166,"=Y",$AA$2:AA166,AA166)),"")</f>
        <v/>
      </c>
      <c r="AC166" s="154" t="str">
        <f>Times!K166</f>
        <v>Lance Fuller</v>
      </c>
      <c r="AD166" s="154">
        <f>Times!G166</f>
        <v>130</v>
      </c>
      <c r="AE166" s="154" t="str">
        <f>IF(Times!D166&lt;&gt;"",IF(ISERR(SEARCH("V",Times!I166,1)),IF(ISERR(SEARCH("S",Times!I166,1)),"S","S"),"V"),"")</f>
        <v>V</v>
      </c>
      <c r="AF166" s="161">
        <f>IF(Times!D166&lt;&gt;"",SUMIFS(Times!$G$2:G166,$AA$2:AA166,AA166,$AK$2:AK166,"Y"),"")</f>
        <v>84</v>
      </c>
      <c r="AG166" s="154" t="str">
        <f>IF(Times!D166&lt;&gt;"",IF(AND(Times!J166="M",AI166+AL166=AM166,AK166="Y"),AF166,""),"")</f>
        <v/>
      </c>
      <c r="AH166" s="154" t="str">
        <f>IF(Times!D166&lt;&gt;"",IF(AND(Times!J166="F",AI166+AL166=AM166,AK166="Y"),AF166,""),"")</f>
        <v/>
      </c>
      <c r="AI166" s="154">
        <f>COUNTIF(Z$2:Z166,CONCATENATE("V",AA166))</f>
        <v>24</v>
      </c>
      <c r="AJ166" s="154">
        <f>COUNTIF(Z$2:Z166,CONCATENATE("S",AA166))</f>
        <v>17</v>
      </c>
      <c r="AK166" s="154" t="str">
        <f t="shared" si="86"/>
        <v>N</v>
      </c>
      <c r="AL166" s="154">
        <f>IF(AND(Times!J166="M",AJ166&gt;3),3, IF(AND(Times!J166="F",AJ166&gt;2),2,AJ166))</f>
        <v>3</v>
      </c>
      <c r="AM166" s="154">
        <f>IF(Times!J166="M",6, IF(Times!J166="F",4,""))</f>
        <v>6</v>
      </c>
      <c r="AN166" s="154" t="str">
        <f t="shared" si="87"/>
        <v/>
      </c>
      <c r="AO166" s="154" t="str">
        <f t="shared" si="88"/>
        <v/>
      </c>
    </row>
    <row r="167" spans="26:41" x14ac:dyDescent="0.25">
      <c r="Z167" s="154" t="str">
        <f>CONCATENATE(AE167,Times!AD167)</f>
        <v>VMIlford AC</v>
      </c>
      <c r="AA167" s="154" t="str">
        <f>Times!AD167</f>
        <v>MIlford AC</v>
      </c>
      <c r="AB167" s="154" t="str">
        <f>IF(AK167="Y",CONCATENATE(AA167,COUNTIFS($AK$2:AK167,"=Y",$AA$2:AA167,AA167)),"")</f>
        <v/>
      </c>
      <c r="AC167" s="154" t="str">
        <f>Times!K167</f>
        <v>Satha Alaganandasundaram</v>
      </c>
      <c r="AD167" s="154">
        <f>Times!G167</f>
        <v>131</v>
      </c>
      <c r="AE167" s="154" t="str">
        <f>IF(Times!D167&lt;&gt;"",IF(ISERR(SEARCH("V",Times!I167,1)),IF(ISERR(SEARCH("S",Times!I167,1)),"S","S"),"V"),"")</f>
        <v>V</v>
      </c>
      <c r="AF167" s="161">
        <f>IF(Times!D167&lt;&gt;"",SUMIFS(Times!$G$2:G167,$AA$2:AA167,AA167,$AK$2:AK167,"Y"),"")</f>
        <v>56</v>
      </c>
      <c r="AG167" s="154" t="str">
        <f>IF(Times!D167&lt;&gt;"",IF(AND(Times!J167="M",AI167+AL167=AM167,AK167="Y"),AF167,""),"")</f>
        <v/>
      </c>
      <c r="AH167" s="154" t="str">
        <f>IF(Times!D167&lt;&gt;"",IF(AND(Times!J167="F",AI167+AL167=AM167,AK167="Y"),AF167,""),"")</f>
        <v/>
      </c>
      <c r="AI167" s="154">
        <f>COUNTIF(Z$2:Z167,CONCATENATE("V",AA167))</f>
        <v>10</v>
      </c>
      <c r="AJ167" s="154">
        <f>COUNTIF(Z$2:Z167,CONCATENATE("S",AA167))</f>
        <v>6</v>
      </c>
      <c r="AK167" s="154" t="str">
        <f t="shared" si="86"/>
        <v>N</v>
      </c>
      <c r="AL167" s="154">
        <f>IF(AND(Times!J167="M",AJ167&gt;3),3, IF(AND(Times!J167="F",AJ167&gt;2),2,AJ167))</f>
        <v>3</v>
      </c>
      <c r="AM167" s="154">
        <f>IF(Times!J167="M",6, IF(Times!J167="F",4,""))</f>
        <v>6</v>
      </c>
      <c r="AN167" s="154" t="str">
        <f t="shared" si="87"/>
        <v/>
      </c>
      <c r="AO167" s="154" t="str">
        <f t="shared" si="88"/>
        <v/>
      </c>
    </row>
    <row r="168" spans="26:41" x14ac:dyDescent="0.25">
      <c r="Z168" s="154" t="str">
        <f>CONCATENATE(AE168,Times!AD168)</f>
        <v>VFEast End Road Runners</v>
      </c>
      <c r="AA168" s="154" t="str">
        <f>Times!AD168</f>
        <v>FEast End Road Runners</v>
      </c>
      <c r="AB168" s="154" t="str">
        <f>IF(AK168="Y",CONCATENATE(AA168,COUNTIFS($AK$2:AK168,"=Y",$AA$2:AA168,AA168)),"")</f>
        <v>FEast End Road Runners2</v>
      </c>
      <c r="AC168" s="154" t="str">
        <f>Times!K168</f>
        <v>Sarah Bemand</v>
      </c>
      <c r="AD168" s="154">
        <f>Times!G168</f>
        <v>36</v>
      </c>
      <c r="AE168" s="154" t="str">
        <f>IF(Times!D168&lt;&gt;"",IF(ISERR(SEARCH("V",Times!I168,1)),IF(ISERR(SEARCH("S",Times!I168,1)),"S","S"),"V"),"")</f>
        <v>V</v>
      </c>
      <c r="AF168" s="161">
        <f>IF(Times!D168&lt;&gt;"",SUMIFS(Times!$G$2:G168,$AA$2:AA168,AA168,$AK$2:AK168,"Y"),"")</f>
        <v>53</v>
      </c>
      <c r="AG168" s="154" t="str">
        <f>IF(Times!D168&lt;&gt;"",IF(AND(Times!J168="M",AI168+AL168=AM168,AK168="Y"),AF168,""),"")</f>
        <v/>
      </c>
      <c r="AH168" s="154" t="str">
        <f>IF(Times!D168&lt;&gt;"",IF(AND(Times!J168="F",AI168+AL168=AM168,AK168="Y"),AF168,""),"")</f>
        <v/>
      </c>
      <c r="AI168" s="154">
        <f>COUNTIF(Z$2:Z168,CONCATENATE("V",AA168))</f>
        <v>1</v>
      </c>
      <c r="AJ168" s="154">
        <f>COUNTIF(Z$2:Z168,CONCATENATE("S",AA168))</f>
        <v>1</v>
      </c>
      <c r="AK168" s="154" t="str">
        <f t="shared" si="86"/>
        <v>Y</v>
      </c>
      <c r="AL168" s="154">
        <f>IF(AND(Times!J168="M",AJ168&gt;3),3, IF(AND(Times!J168="F",AJ168&gt;2),2,AJ168))</f>
        <v>1</v>
      </c>
      <c r="AM168" s="154">
        <f>IF(Times!J168="M",6, IF(Times!J168="F",4,""))</f>
        <v>4</v>
      </c>
      <c r="AN168" s="154" t="str">
        <f t="shared" si="87"/>
        <v/>
      </c>
      <c r="AO168" s="154" t="str">
        <f t="shared" si="88"/>
        <v/>
      </c>
    </row>
    <row r="169" spans="26:41" x14ac:dyDescent="0.25">
      <c r="Z169" s="154" t="str">
        <f>CONCATENATE(AE169,Times!AD169)</f>
        <v>VMIlford AC</v>
      </c>
      <c r="AA169" s="154" t="str">
        <f>Times!AD169</f>
        <v>MIlford AC</v>
      </c>
      <c r="AB169" s="154" t="str">
        <f>IF(AK169="Y",CONCATENATE(AA169,COUNTIFS($AK$2:AK169,"=Y",$AA$2:AA169,AA169)),"")</f>
        <v/>
      </c>
      <c r="AC169" s="154" t="str">
        <f>Times!K169</f>
        <v>ernest forsyth</v>
      </c>
      <c r="AD169" s="154">
        <f>Times!G169</f>
        <v>132</v>
      </c>
      <c r="AE169" s="154" t="str">
        <f>IF(Times!D169&lt;&gt;"",IF(ISERR(SEARCH("V",Times!I169,1)),IF(ISERR(SEARCH("S",Times!I169,1)),"S","S"),"V"),"")</f>
        <v>V</v>
      </c>
      <c r="AF169" s="161">
        <f>IF(Times!D169&lt;&gt;"",SUMIFS(Times!$G$2:G169,$AA$2:AA169,AA169,$AK$2:AK169,"Y"),"")</f>
        <v>56</v>
      </c>
      <c r="AG169" s="154" t="str">
        <f>IF(Times!D169&lt;&gt;"",IF(AND(Times!J169="M",AI169+AL169=AM169,AK169="Y"),AF169,""),"")</f>
        <v/>
      </c>
      <c r="AH169" s="154" t="str">
        <f>IF(Times!D169&lt;&gt;"",IF(AND(Times!J169="F",AI169+AL169=AM169,AK169="Y"),AF169,""),"")</f>
        <v/>
      </c>
      <c r="AI169" s="154">
        <f>COUNTIF(Z$2:Z169,CONCATENATE("V",AA169))</f>
        <v>11</v>
      </c>
      <c r="AJ169" s="154">
        <f>COUNTIF(Z$2:Z169,CONCATENATE("S",AA169))</f>
        <v>6</v>
      </c>
      <c r="AK169" s="154" t="str">
        <f t="shared" si="86"/>
        <v>N</v>
      </c>
      <c r="AL169" s="154">
        <f>IF(AND(Times!J169="M",AJ169&gt;3),3, IF(AND(Times!J169="F",AJ169&gt;2),2,AJ169))</f>
        <v>3</v>
      </c>
      <c r="AM169" s="154">
        <f>IF(Times!J169="M",6, IF(Times!J169="F",4,""))</f>
        <v>6</v>
      </c>
      <c r="AN169" s="154" t="str">
        <f t="shared" si="87"/>
        <v/>
      </c>
      <c r="AO169" s="154" t="str">
        <f t="shared" si="88"/>
        <v/>
      </c>
    </row>
    <row r="170" spans="26:41" x14ac:dyDescent="0.25">
      <c r="Z170" s="154" t="str">
        <f>CONCATENATE(AE170,Times!AD170)</f>
        <v>SMEast London Runners</v>
      </c>
      <c r="AA170" s="154" t="str">
        <f>Times!AD170</f>
        <v>MEast London Runners</v>
      </c>
      <c r="AB170" s="154" t="str">
        <f>IF(AK170="Y",CONCATENATE(AA170,COUNTIFS($AK$2:AK170,"=Y",$AA$2:AA170,AA170)),"")</f>
        <v/>
      </c>
      <c r="AC170" s="154" t="str">
        <f>Times!K170</f>
        <v>Karan Gadhia</v>
      </c>
      <c r="AD170" s="154">
        <f>Times!G170</f>
        <v>133</v>
      </c>
      <c r="AE170" s="154" t="str">
        <f>IF(Times!D170&lt;&gt;"",IF(ISERR(SEARCH("V",Times!I170,1)),IF(ISERR(SEARCH("S",Times!I170,1)),"S","S"),"V"),"")</f>
        <v>S</v>
      </c>
      <c r="AF170" s="161">
        <f>IF(Times!D170&lt;&gt;"",SUMIFS(Times!$G$2:G170,$AA$2:AA170,AA170,$AK$2:AK170,"Y"),"")</f>
        <v>84</v>
      </c>
      <c r="AG170" s="154" t="str">
        <f>IF(Times!D170&lt;&gt;"",IF(AND(Times!J170="M",AI170+AL170=AM170,AK170="Y"),AF170,""),"")</f>
        <v/>
      </c>
      <c r="AH170" s="154" t="str">
        <f>IF(Times!D170&lt;&gt;"",IF(AND(Times!J170="F",AI170+AL170=AM170,AK170="Y"),AF170,""),"")</f>
        <v/>
      </c>
      <c r="AI170" s="154">
        <f>COUNTIF(Z$2:Z170,CONCATENATE("V",AA170))</f>
        <v>24</v>
      </c>
      <c r="AJ170" s="154">
        <f>COUNTIF(Z$2:Z170,CONCATENATE("S",AA170))</f>
        <v>18</v>
      </c>
      <c r="AK170" s="154" t="str">
        <f t="shared" si="86"/>
        <v>N</v>
      </c>
      <c r="AL170" s="154">
        <f>IF(AND(Times!J170="M",AJ170&gt;3),3, IF(AND(Times!J170="F",AJ170&gt;2),2,AJ170))</f>
        <v>3</v>
      </c>
      <c r="AM170" s="154">
        <f>IF(Times!J170="M",6, IF(Times!J170="F",4,""))</f>
        <v>6</v>
      </c>
      <c r="AN170" s="154" t="str">
        <f t="shared" si="87"/>
        <v/>
      </c>
      <c r="AO170" s="154" t="str">
        <f t="shared" si="88"/>
        <v/>
      </c>
    </row>
    <row r="171" spans="26:41" x14ac:dyDescent="0.25">
      <c r="Z171" s="154" t="str">
        <f>CONCATENATE(AE171,Times!AD171)</f>
        <v>VMEast London Runners</v>
      </c>
      <c r="AA171" s="154" t="str">
        <f>Times!AD171</f>
        <v>MEast London Runners</v>
      </c>
      <c r="AB171" s="154" t="str">
        <f>IF(AK171="Y",CONCATENATE(AA171,COUNTIFS($AK$2:AK171,"=Y",$AA$2:AA171,AA171)),"")</f>
        <v/>
      </c>
      <c r="AC171" s="154" t="str">
        <f>Times!K171</f>
        <v>George Georgiou</v>
      </c>
      <c r="AD171" s="154">
        <f>Times!G171</f>
        <v>134</v>
      </c>
      <c r="AE171" s="154" t="str">
        <f>IF(Times!D171&lt;&gt;"",IF(ISERR(SEARCH("V",Times!I171,1)),IF(ISERR(SEARCH("S",Times!I171,1)),"S","S"),"V"),"")</f>
        <v>V</v>
      </c>
      <c r="AF171" s="161">
        <f>IF(Times!D171&lt;&gt;"",SUMIFS(Times!$G$2:G171,$AA$2:AA171,AA171,$AK$2:AK171,"Y"),"")</f>
        <v>84</v>
      </c>
      <c r="AG171" s="154" t="str">
        <f>IF(Times!D171&lt;&gt;"",IF(AND(Times!J171="M",AI171+AL171=AM171,AK171="Y"),AF171,""),"")</f>
        <v/>
      </c>
      <c r="AH171" s="154" t="str">
        <f>IF(Times!D171&lt;&gt;"",IF(AND(Times!J171="F",AI171+AL171=AM171,AK171="Y"),AF171,""),"")</f>
        <v/>
      </c>
      <c r="AI171" s="154">
        <f>COUNTIF(Z$2:Z171,CONCATENATE("V",AA171))</f>
        <v>25</v>
      </c>
      <c r="AJ171" s="154">
        <f>COUNTIF(Z$2:Z171,CONCATENATE("S",AA171))</f>
        <v>18</v>
      </c>
      <c r="AK171" s="154" t="str">
        <f t="shared" si="86"/>
        <v>N</v>
      </c>
      <c r="AL171" s="154">
        <f>IF(AND(Times!J171="M",AJ171&gt;3),3, IF(AND(Times!J171="F",AJ171&gt;2),2,AJ171))</f>
        <v>3</v>
      </c>
      <c r="AM171" s="154">
        <f>IF(Times!J171="M",6, IF(Times!J171="F",4,""))</f>
        <v>6</v>
      </c>
      <c r="AN171" s="154" t="str">
        <f t="shared" si="87"/>
        <v/>
      </c>
      <c r="AO171" s="154" t="str">
        <f t="shared" si="88"/>
        <v/>
      </c>
    </row>
    <row r="172" spans="26:41" x14ac:dyDescent="0.25">
      <c r="Z172" s="154" t="str">
        <f>CONCATENATE(AE172,Times!AD172)</f>
        <v>VFOrion Harriers</v>
      </c>
      <c r="AA172" s="154" t="str">
        <f>Times!AD172</f>
        <v>FOrion Harriers</v>
      </c>
      <c r="AB172" s="154" t="str">
        <f>IF(AK172="Y",CONCATENATE(AA172,COUNTIFS($AK$2:AK172,"=Y",$AA$2:AA172,AA172)),"")</f>
        <v/>
      </c>
      <c r="AC172" s="154" t="str">
        <f>Times!K172</f>
        <v>Julie Robinson</v>
      </c>
      <c r="AD172" s="154">
        <f>Times!G172</f>
        <v>37</v>
      </c>
      <c r="AE172" s="154" t="str">
        <f>IF(Times!D172&lt;&gt;"",IF(ISERR(SEARCH("V",Times!I172,1)),IF(ISERR(SEARCH("S",Times!I172,1)),"S","S"),"V"),"")</f>
        <v>V</v>
      </c>
      <c r="AF172" s="161">
        <f>IF(Times!D172&lt;&gt;"",SUMIFS(Times!$G$2:G172,$AA$2:AA172,AA172,$AK$2:AK172,"Y"),"")</f>
        <v>59</v>
      </c>
      <c r="AG172" s="154" t="str">
        <f>IF(Times!D172&lt;&gt;"",IF(AND(Times!J172="M",AI172+AL172=AM172,AK172="Y"),AF172,""),"")</f>
        <v/>
      </c>
      <c r="AH172" s="154" t="str">
        <f>IF(Times!D172&lt;&gt;"",IF(AND(Times!J172="F",AI172+AL172=AM172,AK172="Y"),AF172,""),"")</f>
        <v/>
      </c>
      <c r="AI172" s="154">
        <f>COUNTIF(Z$2:Z172,CONCATENATE("V",AA172))</f>
        <v>5</v>
      </c>
      <c r="AJ172" s="154">
        <f>COUNTIF(Z$2:Z172,CONCATENATE("S",AA172))</f>
        <v>0</v>
      </c>
      <c r="AK172" s="154" t="str">
        <f t="shared" si="86"/>
        <v>N</v>
      </c>
      <c r="AL172" s="154">
        <f>IF(AND(Times!J172="M",AJ172&gt;3),3, IF(AND(Times!J172="F",AJ172&gt;2),2,AJ172))</f>
        <v>0</v>
      </c>
      <c r="AM172" s="154">
        <f>IF(Times!J172="M",6, IF(Times!J172="F",4,""))</f>
        <v>4</v>
      </c>
      <c r="AN172" s="154" t="str">
        <f t="shared" si="87"/>
        <v/>
      </c>
      <c r="AO172" s="154" t="str">
        <f t="shared" si="88"/>
        <v/>
      </c>
    </row>
    <row r="173" spans="26:41" x14ac:dyDescent="0.25">
      <c r="Z173" s="154" t="str">
        <f>CONCATENATE(AE173,Times!AD173)</f>
        <v>VFEast End Road Runners</v>
      </c>
      <c r="AA173" s="154" t="str">
        <f>Times!AD173</f>
        <v>FEast End Road Runners</v>
      </c>
      <c r="AB173" s="154" t="str">
        <f>IF(AK173="Y",CONCATENATE(AA173,COUNTIFS($AK$2:AK173,"=Y",$AA$2:AA173,AA173)),"")</f>
        <v>FEast End Road Runners3</v>
      </c>
      <c r="AC173" s="154" t="str">
        <f>Times!K173</f>
        <v>Catherine Jane Apps</v>
      </c>
      <c r="AD173" s="154">
        <f>Times!G173</f>
        <v>38</v>
      </c>
      <c r="AE173" s="154" t="str">
        <f>IF(Times!D173&lt;&gt;"",IF(ISERR(SEARCH("V",Times!I173,1)),IF(ISERR(SEARCH("S",Times!I173,1)),"S","S"),"V"),"")</f>
        <v>V</v>
      </c>
      <c r="AF173" s="161">
        <f>IF(Times!D173&lt;&gt;"",SUMIFS(Times!$G$2:G173,$AA$2:AA173,AA173,$AK$2:AK173,"Y"),"")</f>
        <v>91</v>
      </c>
      <c r="AG173" s="154" t="str">
        <f>IF(Times!D173&lt;&gt;"",IF(AND(Times!J173="M",AI173+AL173=AM173,AK173="Y"),AF173,""),"")</f>
        <v/>
      </c>
      <c r="AH173" s="154" t="str">
        <f>IF(Times!D173&lt;&gt;"",IF(AND(Times!J173="F",AI173+AL173=AM173,AK173="Y"),AF173,""),"")</f>
        <v/>
      </c>
      <c r="AI173" s="154">
        <f>COUNTIF(Z$2:Z173,CONCATENATE("V",AA173))</f>
        <v>2</v>
      </c>
      <c r="AJ173" s="154">
        <f>COUNTIF(Z$2:Z173,CONCATENATE("S",AA173))</f>
        <v>1</v>
      </c>
      <c r="AK173" s="154" t="str">
        <f t="shared" si="86"/>
        <v>Y</v>
      </c>
      <c r="AL173" s="154">
        <f>IF(AND(Times!J173="M",AJ173&gt;3),3, IF(AND(Times!J173="F",AJ173&gt;2),2,AJ173))</f>
        <v>1</v>
      </c>
      <c r="AM173" s="154">
        <f>IF(Times!J173="M",6, IF(Times!J173="F",4,""))</f>
        <v>4</v>
      </c>
      <c r="AN173" s="154" t="str">
        <f t="shared" si="87"/>
        <v/>
      </c>
      <c r="AO173" s="154" t="str">
        <f t="shared" si="88"/>
        <v/>
      </c>
    </row>
    <row r="174" spans="26:41" x14ac:dyDescent="0.25">
      <c r="Z174" s="154" t="str">
        <f>CONCATENATE(AE174,Times!AD174)</f>
        <v>VMHarold Wood Running Club</v>
      </c>
      <c r="AA174" s="154" t="str">
        <f>Times!AD174</f>
        <v>MHarold Wood Running Club</v>
      </c>
      <c r="AB174" s="154" t="str">
        <f>IF(AK174="Y",CONCATENATE(AA174,COUNTIFS($AK$2:AK174,"=Y",$AA$2:AA174,AA174)),"")</f>
        <v>MHarold Wood Running Club4</v>
      </c>
      <c r="AC174" s="154" t="str">
        <f>Times!K174</f>
        <v>Brynley Giddings</v>
      </c>
      <c r="AD174" s="154">
        <f>Times!G174</f>
        <v>135</v>
      </c>
      <c r="AE174" s="154" t="str">
        <f>IF(Times!D174&lt;&gt;"",IF(ISERR(SEARCH("V",Times!I174,1)),IF(ISERR(SEARCH("S",Times!I174,1)),"S","S"),"V"),"")</f>
        <v>V</v>
      </c>
      <c r="AF174" s="161">
        <f>IF(Times!D174&lt;&gt;"",SUMIFS(Times!$G$2:G174,$AA$2:AA174,AA174,$AK$2:AK174,"Y"),"")</f>
        <v>210</v>
      </c>
      <c r="AG174" s="154" t="str">
        <f>IF(Times!D174&lt;&gt;"",IF(AND(Times!J174="M",AI174+AL174=AM174,AK174="Y"),AF174,""),"")</f>
        <v/>
      </c>
      <c r="AH174" s="154" t="str">
        <f>IF(Times!D174&lt;&gt;"",IF(AND(Times!J174="F",AI174+AL174=AM174,AK174="Y"),AF174,""),"")</f>
        <v/>
      </c>
      <c r="AI174" s="154">
        <f>COUNTIF(Z$2:Z174,CONCATENATE("V",AA174))</f>
        <v>1</v>
      </c>
      <c r="AJ174" s="154">
        <f>COUNTIF(Z$2:Z174,CONCATENATE("S",AA174))</f>
        <v>6</v>
      </c>
      <c r="AK174" s="154" t="str">
        <f t="shared" si="86"/>
        <v>Y</v>
      </c>
      <c r="AL174" s="154">
        <f>IF(AND(Times!J174="M",AJ174&gt;3),3, IF(AND(Times!J174="F",AJ174&gt;2),2,AJ174))</f>
        <v>3</v>
      </c>
      <c r="AM174" s="154">
        <f>IF(Times!J174="M",6, IF(Times!J174="F",4,""))</f>
        <v>6</v>
      </c>
      <c r="AN174" s="154" t="str">
        <f t="shared" si="87"/>
        <v/>
      </c>
      <c r="AO174" s="154" t="str">
        <f t="shared" si="88"/>
        <v/>
      </c>
    </row>
    <row r="175" spans="26:41" x14ac:dyDescent="0.25">
      <c r="Z175" s="154" t="str">
        <f>CONCATENATE(AE175,Times!AD175)</f>
        <v>VMOrion Harriers</v>
      </c>
      <c r="AA175" s="154" t="str">
        <f>Times!AD175</f>
        <v>MOrion Harriers</v>
      </c>
      <c r="AB175" s="154" t="str">
        <f>IF(AK175="Y",CONCATENATE(AA175,COUNTIFS($AK$2:AK175,"=Y",$AA$2:AA175,AA175)),"")</f>
        <v/>
      </c>
      <c r="AC175" s="154" t="str">
        <f>Times!K175</f>
        <v>Dhurmendra Mistry</v>
      </c>
      <c r="AD175" s="154">
        <f>Times!G175</f>
        <v>136</v>
      </c>
      <c r="AE175" s="154" t="str">
        <f>IF(Times!D175&lt;&gt;"",IF(ISERR(SEARCH("V",Times!I175,1)),IF(ISERR(SEARCH("S",Times!I175,1)),"S","S"),"V"),"")</f>
        <v>V</v>
      </c>
      <c r="AF175" s="161">
        <f>IF(Times!D175&lt;&gt;"",SUMIFS(Times!$G$2:G175,$AA$2:AA175,AA175,$AK$2:AK175,"Y"),"")</f>
        <v>347</v>
      </c>
      <c r="AG175" s="154" t="str">
        <f>IF(Times!D175&lt;&gt;"",IF(AND(Times!J175="M",AI175+AL175=AM175,AK175="Y"),AF175,""),"")</f>
        <v/>
      </c>
      <c r="AH175" s="154" t="str">
        <f>IF(Times!D175&lt;&gt;"",IF(AND(Times!J175="F",AI175+AL175=AM175,AK175="Y"),AF175,""),"")</f>
        <v/>
      </c>
      <c r="AI175" s="154">
        <f>COUNTIF(Z$2:Z175,CONCATENATE("V",AA175))</f>
        <v>9</v>
      </c>
      <c r="AJ175" s="154">
        <f>COUNTIF(Z$2:Z175,CONCATENATE("S",AA175))</f>
        <v>4</v>
      </c>
      <c r="AK175" s="154" t="str">
        <f t="shared" si="86"/>
        <v>N</v>
      </c>
      <c r="AL175" s="154">
        <f>IF(AND(Times!J175="M",AJ175&gt;3),3, IF(AND(Times!J175="F",AJ175&gt;2),2,AJ175))</f>
        <v>3</v>
      </c>
      <c r="AM175" s="154">
        <f>IF(Times!J175="M",6, IF(Times!J175="F",4,""))</f>
        <v>6</v>
      </c>
      <c r="AN175" s="154" t="str">
        <f t="shared" si="87"/>
        <v/>
      </c>
      <c r="AO175" s="154" t="str">
        <f t="shared" si="88"/>
        <v/>
      </c>
    </row>
    <row r="176" spans="26:41" x14ac:dyDescent="0.25">
      <c r="Z176" s="154" t="str">
        <f>CONCATENATE(AE176,Times!AD176)</f>
        <v>VMHavering 90 Joggers</v>
      </c>
      <c r="AA176" s="154" t="str">
        <f>Times!AD176</f>
        <v>MHavering 90 Joggers</v>
      </c>
      <c r="AB176" s="154" t="str">
        <f>IF(AK176="Y",CONCATENATE(AA176,COUNTIFS($AK$2:AK176,"=Y",$AA$2:AA176,AA176)),"")</f>
        <v/>
      </c>
      <c r="AC176" s="154" t="str">
        <f>Times!K176</f>
        <v>Darren Radford</v>
      </c>
      <c r="AD176" s="154">
        <f>Times!G176</f>
        <v>137</v>
      </c>
      <c r="AE176" s="154" t="str">
        <f>IF(Times!D176&lt;&gt;"",IF(ISERR(SEARCH("V",Times!I176,1)),IF(ISERR(SEARCH("S",Times!I176,1)),"S","S"),"V"),"")</f>
        <v>V</v>
      </c>
      <c r="AF176" s="161">
        <f>IF(Times!D176&lt;&gt;"",SUMIFS(Times!$G$2:G176,$AA$2:AA176,AA176,$AK$2:AK176,"Y"),"")</f>
        <v>506</v>
      </c>
      <c r="AG176" s="154" t="str">
        <f>IF(Times!D176&lt;&gt;"",IF(AND(Times!J176="M",AI176+AL176=AM176,AK176="Y"),AF176,""),"")</f>
        <v/>
      </c>
      <c r="AH176" s="154" t="str">
        <f>IF(Times!D176&lt;&gt;"",IF(AND(Times!J176="F",AI176+AL176=AM176,AK176="Y"),AF176,""),"")</f>
        <v/>
      </c>
      <c r="AI176" s="154">
        <f>COUNTIF(Z$2:Z176,CONCATENATE("V",AA176))</f>
        <v>6</v>
      </c>
      <c r="AJ176" s="154">
        <f>COUNTIF(Z$2:Z176,CONCATENATE("S",AA176))</f>
        <v>2</v>
      </c>
      <c r="AK176" s="154" t="str">
        <f t="shared" si="86"/>
        <v>N</v>
      </c>
      <c r="AL176" s="154">
        <f>IF(AND(Times!J176="M",AJ176&gt;3),3, IF(AND(Times!J176="F",AJ176&gt;2),2,AJ176))</f>
        <v>2</v>
      </c>
      <c r="AM176" s="154">
        <f>IF(Times!J176="M",6, IF(Times!J176="F",4,""))</f>
        <v>6</v>
      </c>
      <c r="AN176" s="154" t="str">
        <f t="shared" si="87"/>
        <v/>
      </c>
      <c r="AO176" s="154" t="str">
        <f t="shared" si="88"/>
        <v/>
      </c>
    </row>
    <row r="177" spans="26:41" x14ac:dyDescent="0.25">
      <c r="Z177" s="154" t="str">
        <f>CONCATENATE(AE177,Times!AD177)</f>
        <v>VMEast End Road Runners</v>
      </c>
      <c r="AA177" s="154" t="str">
        <f>Times!AD177</f>
        <v>MEast End Road Runners</v>
      </c>
      <c r="AB177" s="154" t="str">
        <f>IF(AK177="Y",CONCATENATE(AA177,COUNTIFS($AK$2:AK177,"=Y",$AA$2:AA177,AA177)),"")</f>
        <v/>
      </c>
      <c r="AC177" s="154" t="str">
        <f>Times!K177</f>
        <v>Paul Dennis</v>
      </c>
      <c r="AD177" s="154">
        <f>Times!G177</f>
        <v>138</v>
      </c>
      <c r="AE177" s="154" t="str">
        <f>IF(Times!D177&lt;&gt;"",IF(ISERR(SEARCH("V",Times!I177,1)),IF(ISERR(SEARCH("S",Times!I177,1)),"S","S"),"V"),"")</f>
        <v>V</v>
      </c>
      <c r="AF177" s="161">
        <f>IF(Times!D177&lt;&gt;"",SUMIFS(Times!$G$2:G177,$AA$2:AA177,AA177,$AK$2:AK177,"Y"),"")</f>
        <v>343</v>
      </c>
      <c r="AG177" s="154" t="str">
        <f>IF(Times!D177&lt;&gt;"",IF(AND(Times!J177="M",AI177+AL177=AM177,AK177="Y"),AF177,""),"")</f>
        <v/>
      </c>
      <c r="AH177" s="154" t="str">
        <f>IF(Times!D177&lt;&gt;"",IF(AND(Times!J177="F",AI177+AL177=AM177,AK177="Y"),AF177,""),"")</f>
        <v/>
      </c>
      <c r="AI177" s="154">
        <f>COUNTIF(Z$2:Z177,CONCATENATE("V",AA177))</f>
        <v>6</v>
      </c>
      <c r="AJ177" s="154">
        <f>COUNTIF(Z$2:Z177,CONCATENATE("S",AA177))</f>
        <v>7</v>
      </c>
      <c r="AK177" s="154" t="str">
        <f t="shared" si="86"/>
        <v>N</v>
      </c>
      <c r="AL177" s="154">
        <f>IF(AND(Times!J177="M",AJ177&gt;3),3, IF(AND(Times!J177="F",AJ177&gt;2),2,AJ177))</f>
        <v>3</v>
      </c>
      <c r="AM177" s="154">
        <f>IF(Times!J177="M",6, IF(Times!J177="F",4,""))</f>
        <v>6</v>
      </c>
      <c r="AN177" s="154" t="str">
        <f t="shared" si="87"/>
        <v/>
      </c>
      <c r="AO177" s="154" t="str">
        <f t="shared" si="88"/>
        <v/>
      </c>
    </row>
    <row r="178" spans="26:41" x14ac:dyDescent="0.25">
      <c r="Z178" s="154" t="str">
        <f>CONCATENATE(AE178,Times!AD178)</f>
        <v>VMDrax All Stars</v>
      </c>
      <c r="AA178" s="154" t="str">
        <f>Times!AD178</f>
        <v>MDrax All Stars</v>
      </c>
      <c r="AB178" s="154" t="str">
        <f>IF(AK178="Y",CONCATENATE(AA178,COUNTIFS($AK$2:AK178,"=Y",$AA$2:AA178,AA178)),"")</f>
        <v>MDrax All Stars2</v>
      </c>
      <c r="AC178" s="154" t="str">
        <f>Times!K178</f>
        <v>Michael Newman</v>
      </c>
      <c r="AD178" s="154">
        <f>Times!G178</f>
        <v>139</v>
      </c>
      <c r="AE178" s="154" t="str">
        <f>IF(Times!D178&lt;&gt;"",IF(ISERR(SEARCH("V",Times!I178,1)),IF(ISERR(SEARCH("S",Times!I178,1)),"S","S"),"V"),"")</f>
        <v>V</v>
      </c>
      <c r="AF178" s="161">
        <f>IF(Times!D178&lt;&gt;"",SUMIFS(Times!$G$2:G178,$AA$2:AA178,AA178,$AK$2:AK178,"Y"),"")</f>
        <v>233</v>
      </c>
      <c r="AG178" s="154" t="str">
        <f>IF(Times!D178&lt;&gt;"",IF(AND(Times!J178="M",AI178+AL178=AM178,AK178="Y"),AF178,""),"")</f>
        <v/>
      </c>
      <c r="AH178" s="154" t="str">
        <f>IF(Times!D178&lt;&gt;"",IF(AND(Times!J178="F",AI178+AL178=AM178,AK178="Y"),AF178,""),"")</f>
        <v/>
      </c>
      <c r="AI178" s="154">
        <f>COUNTIF(Z$2:Z178,CONCATENATE("V",AA178))</f>
        <v>2</v>
      </c>
      <c r="AJ178" s="154">
        <f>COUNTIF(Z$2:Z178,CONCATENATE("S",AA178))</f>
        <v>0</v>
      </c>
      <c r="AK178" s="154" t="str">
        <f t="shared" si="86"/>
        <v>Y</v>
      </c>
      <c r="AL178" s="154">
        <f>IF(AND(Times!J178="M",AJ178&gt;3),3, IF(AND(Times!J178="F",AJ178&gt;2),2,AJ178))</f>
        <v>0</v>
      </c>
      <c r="AM178" s="154">
        <f>IF(Times!J178="M",6, IF(Times!J178="F",4,""))</f>
        <v>6</v>
      </c>
      <c r="AN178" s="154" t="str">
        <f t="shared" si="87"/>
        <v/>
      </c>
      <c r="AO178" s="154" t="str">
        <f t="shared" si="88"/>
        <v/>
      </c>
    </row>
    <row r="179" spans="26:41" x14ac:dyDescent="0.25">
      <c r="Z179" s="154" t="str">
        <f>CONCATENATE(AE179,Times!AD179)</f>
        <v>VFEast London Runners</v>
      </c>
      <c r="AA179" s="154" t="str">
        <f>Times!AD179</f>
        <v>FEast London Runners</v>
      </c>
      <c r="AB179" s="154" t="str">
        <f>IF(AK179="Y",CONCATENATE(AA179,COUNTIFS($AK$2:AK179,"=Y",$AA$2:AA179,AA179)),"")</f>
        <v/>
      </c>
      <c r="AC179" s="154" t="str">
        <f>Times!K179</f>
        <v>Rachel Le Roux</v>
      </c>
      <c r="AD179" s="154">
        <f>Times!G179</f>
        <v>39</v>
      </c>
      <c r="AE179" s="154" t="str">
        <f>IF(Times!D179&lt;&gt;"",IF(ISERR(SEARCH("V",Times!I179,1)),IF(ISERR(SEARCH("S",Times!I179,1)),"S","S"),"V"),"")</f>
        <v>V</v>
      </c>
      <c r="AF179" s="161">
        <f>IF(Times!D179&lt;&gt;"",SUMIFS(Times!$G$2:G179,$AA$2:AA179,AA179,$AK$2:AK179,"Y"),"")</f>
        <v>27</v>
      </c>
      <c r="AG179" s="154" t="str">
        <f>IF(Times!D179&lt;&gt;"",IF(AND(Times!J179="M",AI179+AL179=AM179,AK179="Y"),AF179,""),"")</f>
        <v/>
      </c>
      <c r="AH179" s="154" t="str">
        <f>IF(Times!D179&lt;&gt;"",IF(AND(Times!J179="F",AI179+AL179=AM179,AK179="Y"),AF179,""),"")</f>
        <v/>
      </c>
      <c r="AI179" s="154">
        <f>COUNTIF(Z$2:Z179,CONCATENATE("V",AA179))</f>
        <v>5</v>
      </c>
      <c r="AJ179" s="154">
        <f>COUNTIF(Z$2:Z179,CONCATENATE("S",AA179))</f>
        <v>4</v>
      </c>
      <c r="AK179" s="154" t="str">
        <f t="shared" si="86"/>
        <v>N</v>
      </c>
      <c r="AL179" s="154">
        <f>IF(AND(Times!J179="M",AJ179&gt;3),3, IF(AND(Times!J179="F",AJ179&gt;2),2,AJ179))</f>
        <v>2</v>
      </c>
      <c r="AM179" s="154">
        <f>IF(Times!J179="M",6, IF(Times!J179="F",4,""))</f>
        <v>4</v>
      </c>
      <c r="AN179" s="154" t="str">
        <f t="shared" si="87"/>
        <v/>
      </c>
      <c r="AO179" s="154" t="str">
        <f t="shared" si="88"/>
        <v/>
      </c>
    </row>
    <row r="180" spans="26:41" x14ac:dyDescent="0.25">
      <c r="Z180" s="154" t="str">
        <f>CONCATENATE(AE180,Times!AD180)</f>
        <v>VMEast London Runners</v>
      </c>
      <c r="AA180" s="154" t="str">
        <f>Times!AD180</f>
        <v>MEast London Runners</v>
      </c>
      <c r="AB180" s="154" t="str">
        <f>IF(AK180="Y",CONCATENATE(AA180,COUNTIFS($AK$2:AK180,"=Y",$AA$2:AA180,AA180)),"")</f>
        <v/>
      </c>
      <c r="AC180" s="154" t="str">
        <f>Times!K180</f>
        <v>Samir Younsi</v>
      </c>
      <c r="AD180" s="154">
        <f>Times!G180</f>
        <v>140</v>
      </c>
      <c r="AE180" s="154" t="str">
        <f>IF(Times!D180&lt;&gt;"",IF(ISERR(SEARCH("V",Times!I180,1)),IF(ISERR(SEARCH("S",Times!I180,1)),"S","S"),"V"),"")</f>
        <v>V</v>
      </c>
      <c r="AF180" s="161">
        <f>IF(Times!D180&lt;&gt;"",SUMIFS(Times!$G$2:G180,$AA$2:AA180,AA180,$AK$2:AK180,"Y"),"")</f>
        <v>84</v>
      </c>
      <c r="AG180" s="154" t="str">
        <f>IF(Times!D180&lt;&gt;"",IF(AND(Times!J180="M",AI180+AL180=AM180,AK180="Y"),AF180,""),"")</f>
        <v/>
      </c>
      <c r="AH180" s="154" t="str">
        <f>IF(Times!D180&lt;&gt;"",IF(AND(Times!J180="F",AI180+AL180=AM180,AK180="Y"),AF180,""),"")</f>
        <v/>
      </c>
      <c r="AI180" s="154">
        <f>COUNTIF(Z$2:Z180,CONCATENATE("V",AA180))</f>
        <v>26</v>
      </c>
      <c r="AJ180" s="154">
        <f>COUNTIF(Z$2:Z180,CONCATENATE("S",AA180))</f>
        <v>18</v>
      </c>
      <c r="AK180" s="154" t="str">
        <f t="shared" si="86"/>
        <v>N</v>
      </c>
      <c r="AL180" s="154">
        <f>IF(AND(Times!J180="M",AJ180&gt;3),3, IF(AND(Times!J180="F",AJ180&gt;2),2,AJ180))</f>
        <v>3</v>
      </c>
      <c r="AM180" s="154">
        <f>IF(Times!J180="M",6, IF(Times!J180="F",4,""))</f>
        <v>6</v>
      </c>
      <c r="AN180" s="154" t="str">
        <f t="shared" si="87"/>
        <v/>
      </c>
      <c r="AO180" s="154" t="str">
        <f t="shared" si="88"/>
        <v/>
      </c>
    </row>
    <row r="181" spans="26:41" x14ac:dyDescent="0.25">
      <c r="Z181" s="154" t="str">
        <f>CONCATENATE(AE181,Times!AD181)</f>
        <v>VFEton Manor AC</v>
      </c>
      <c r="AA181" s="154" t="str">
        <f>Times!AD181</f>
        <v>FEton Manor AC</v>
      </c>
      <c r="AB181" s="154" t="str">
        <f>IF(AK181="Y",CONCATENATE(AA181,COUNTIFS($AK$2:AK181,"=Y",$AA$2:AA181,AA181)),"")</f>
        <v/>
      </c>
      <c r="AC181" s="154" t="str">
        <f>Times!K181</f>
        <v>Janine durrant</v>
      </c>
      <c r="AD181" s="154">
        <f>Times!G181</f>
        <v>40</v>
      </c>
      <c r="AE181" s="154" t="str">
        <f>IF(Times!D181&lt;&gt;"",IF(ISERR(SEARCH("V",Times!I181,1)),IF(ISERR(SEARCH("S",Times!I181,1)),"S","S"),"V"),"")</f>
        <v>V</v>
      </c>
      <c r="AF181" s="161">
        <f>IF(Times!D181&lt;&gt;"",SUMIFS(Times!$G$2:G181,$AA$2:AA181,AA181,$AK$2:AK181,"Y"),"")</f>
        <v>60</v>
      </c>
      <c r="AG181" s="154" t="str">
        <f>IF(Times!D181&lt;&gt;"",IF(AND(Times!J181="M",AI181+AL181=AM181,AK181="Y"),AF181,""),"")</f>
        <v/>
      </c>
      <c r="AH181" s="154" t="str">
        <f>IF(Times!D181&lt;&gt;"",IF(AND(Times!J181="F",AI181+AL181=AM181,AK181="Y"),AF181,""),"")</f>
        <v/>
      </c>
      <c r="AI181" s="154">
        <f>COUNTIF(Z$2:Z181,CONCATENATE("V",AA181))</f>
        <v>7</v>
      </c>
      <c r="AJ181" s="154">
        <f>COUNTIF(Z$2:Z181,CONCATENATE("S",AA181))</f>
        <v>0</v>
      </c>
      <c r="AK181" s="154" t="str">
        <f t="shared" si="86"/>
        <v>N</v>
      </c>
      <c r="AL181" s="154">
        <f>IF(AND(Times!J181="M",AJ181&gt;3),3, IF(AND(Times!J181="F",AJ181&gt;2),2,AJ181))</f>
        <v>0</v>
      </c>
      <c r="AM181" s="154">
        <f>IF(Times!J181="M",6, IF(Times!J181="F",4,""))</f>
        <v>4</v>
      </c>
      <c r="AN181" s="154" t="str">
        <f t="shared" si="87"/>
        <v/>
      </c>
      <c r="AO181" s="154" t="str">
        <f t="shared" si="88"/>
        <v/>
      </c>
    </row>
    <row r="182" spans="26:41" x14ac:dyDescent="0.25">
      <c r="Z182" s="154" t="str">
        <f>CONCATENATE(AE182,Times!AD182)</f>
        <v>VFOrion Harriers</v>
      </c>
      <c r="AA182" s="154" t="str">
        <f>Times!AD182</f>
        <v>FOrion Harriers</v>
      </c>
      <c r="AB182" s="154" t="str">
        <f>IF(AK182="Y",CONCATENATE(AA182,COUNTIFS($AK$2:AK182,"=Y",$AA$2:AA182,AA182)),"")</f>
        <v/>
      </c>
      <c r="AC182" s="154" t="str">
        <f>Times!K182</f>
        <v>Vanessa Clyne</v>
      </c>
      <c r="AD182" s="154">
        <f>Times!G182</f>
        <v>41</v>
      </c>
      <c r="AE182" s="154" t="str">
        <f>IF(Times!D182&lt;&gt;"",IF(ISERR(SEARCH("V",Times!I182,1)),IF(ISERR(SEARCH("S",Times!I182,1)),"S","S"),"V"),"")</f>
        <v>V</v>
      </c>
      <c r="AF182" s="161">
        <f>IF(Times!D182&lt;&gt;"",SUMIFS(Times!$G$2:G182,$AA$2:AA182,AA182,$AK$2:AK182,"Y"),"")</f>
        <v>59</v>
      </c>
      <c r="AG182" s="154" t="str">
        <f>IF(Times!D182&lt;&gt;"",IF(AND(Times!J182="M",AI182+AL182=AM182,AK182="Y"),AF182,""),"")</f>
        <v/>
      </c>
      <c r="AH182" s="154" t="str">
        <f>IF(Times!D182&lt;&gt;"",IF(AND(Times!J182="F",AI182+AL182=AM182,AK182="Y"),AF182,""),"")</f>
        <v/>
      </c>
      <c r="AI182" s="154">
        <f>COUNTIF(Z$2:Z182,CONCATENATE("V",AA182))</f>
        <v>6</v>
      </c>
      <c r="AJ182" s="154">
        <f>COUNTIF(Z$2:Z182,CONCATENATE("S",AA182))</f>
        <v>0</v>
      </c>
      <c r="AK182" s="154" t="str">
        <f t="shared" si="86"/>
        <v>N</v>
      </c>
      <c r="AL182" s="154">
        <f>IF(AND(Times!J182="M",AJ182&gt;3),3, IF(AND(Times!J182="F",AJ182&gt;2),2,AJ182))</f>
        <v>0</v>
      </c>
      <c r="AM182" s="154">
        <f>IF(Times!J182="M",6, IF(Times!J182="F",4,""))</f>
        <v>4</v>
      </c>
      <c r="AN182" s="154" t="str">
        <f t="shared" si="87"/>
        <v/>
      </c>
      <c r="AO182" s="154" t="str">
        <f t="shared" si="88"/>
        <v/>
      </c>
    </row>
    <row r="183" spans="26:41" x14ac:dyDescent="0.25">
      <c r="Z183" s="154" t="str">
        <f>CONCATENATE(AE183,Times!AD183)</f>
        <v>SFBarking Road Runners</v>
      </c>
      <c r="AA183" s="154" t="str">
        <f>Times!AD183</f>
        <v>FBarking Road Runners</v>
      </c>
      <c r="AB183" s="154" t="str">
        <f>IF(AK183="Y",CONCATENATE(AA183,COUNTIFS($AK$2:AK183,"=Y",$AA$2:AA183,AA183)),"")</f>
        <v>FBarking Road Runners4</v>
      </c>
      <c r="AC183" s="154" t="str">
        <f>Times!K183</f>
        <v>Charlotte Owen</v>
      </c>
      <c r="AD183" s="154">
        <f>Times!G183</f>
        <v>42</v>
      </c>
      <c r="AE183" s="154" t="str">
        <f>IF(Times!D183&lt;&gt;"",IF(ISERR(SEARCH("V",Times!I183,1)),IF(ISERR(SEARCH("S",Times!I183,1)),"S","S"),"V"),"")</f>
        <v>S</v>
      </c>
      <c r="AF183" s="161">
        <f>IF(Times!D183&lt;&gt;"",SUMIFS(Times!$G$2:G183,$AA$2:AA183,AA183,$AK$2:AK183,"Y"),"")</f>
        <v>122</v>
      </c>
      <c r="AG183" s="154" t="str">
        <f>IF(Times!D183&lt;&gt;"",IF(AND(Times!J183="M",AI183+AL183=AM183,AK183="Y"),AF183,""),"")</f>
        <v/>
      </c>
      <c r="AH183" s="154">
        <f>IF(Times!D183&lt;&gt;"",IF(AND(Times!J183="F",AI183+AL183=AM183,AK183="Y"),AF183,""),"")</f>
        <v>122</v>
      </c>
      <c r="AI183" s="154">
        <f>COUNTIF(Z$2:Z183,CONCATENATE("V",AA183))</f>
        <v>3</v>
      </c>
      <c r="AJ183" s="154">
        <f>COUNTIF(Z$2:Z183,CONCATENATE("S",AA183))</f>
        <v>1</v>
      </c>
      <c r="AK183" s="154" t="str">
        <f t="shared" si="86"/>
        <v>Y</v>
      </c>
      <c r="AL183" s="154">
        <f>IF(AND(Times!J183="M",AJ183&gt;3),3, IF(AND(Times!J183="F",AJ183&gt;2),2,AJ183))</f>
        <v>1</v>
      </c>
      <c r="AM183" s="154">
        <f>IF(Times!J183="M",6, IF(Times!J183="F",4,""))</f>
        <v>4</v>
      </c>
      <c r="AN183" s="154" t="str">
        <f t="shared" si="87"/>
        <v/>
      </c>
      <c r="AO183" s="154">
        <f t="shared" si="88"/>
        <v>6</v>
      </c>
    </row>
    <row r="184" spans="26:41" x14ac:dyDescent="0.25">
      <c r="Z184" s="154" t="str">
        <f>CONCATENATE(AE184,Times!AD184)</f>
        <v>VFEast London Runners</v>
      </c>
      <c r="AA184" s="154" t="str">
        <f>Times!AD184</f>
        <v>FEast London Runners</v>
      </c>
      <c r="AB184" s="154" t="str">
        <f>IF(AK184="Y",CONCATENATE(AA184,COUNTIFS($AK$2:AK184,"=Y",$AA$2:AA184,AA184)),"")</f>
        <v/>
      </c>
      <c r="AC184" s="154" t="str">
        <f>Times!K184</f>
        <v>Bernadett Kalmar</v>
      </c>
      <c r="AD184" s="154">
        <f>Times!G184</f>
        <v>43</v>
      </c>
      <c r="AE184" s="154" t="str">
        <f>IF(Times!D184&lt;&gt;"",IF(ISERR(SEARCH("V",Times!I184,1)),IF(ISERR(SEARCH("S",Times!I184,1)),"S","S"),"V"),"")</f>
        <v>V</v>
      </c>
      <c r="AF184" s="161">
        <f>IF(Times!D184&lt;&gt;"",SUMIFS(Times!$G$2:G184,$AA$2:AA184,AA184,$AK$2:AK184,"Y"),"")</f>
        <v>27</v>
      </c>
      <c r="AG184" s="154" t="str">
        <f>IF(Times!D184&lt;&gt;"",IF(AND(Times!J184="M",AI184+AL184=AM184,AK184="Y"),AF184,""),"")</f>
        <v/>
      </c>
      <c r="AH184" s="154" t="str">
        <f>IF(Times!D184&lt;&gt;"",IF(AND(Times!J184="F",AI184+AL184=AM184,AK184="Y"),AF184,""),"")</f>
        <v/>
      </c>
      <c r="AI184" s="154">
        <f>COUNTIF(Z$2:Z184,CONCATENATE("V",AA184))</f>
        <v>6</v>
      </c>
      <c r="AJ184" s="154">
        <f>COUNTIF(Z$2:Z184,CONCATENATE("S",AA184))</f>
        <v>4</v>
      </c>
      <c r="AK184" s="154" t="str">
        <f t="shared" si="86"/>
        <v>N</v>
      </c>
      <c r="AL184" s="154">
        <f>IF(AND(Times!J184="M",AJ184&gt;3),3, IF(AND(Times!J184="F",AJ184&gt;2),2,AJ184))</f>
        <v>2</v>
      </c>
      <c r="AM184" s="154">
        <f>IF(Times!J184="M",6, IF(Times!J184="F",4,""))</f>
        <v>4</v>
      </c>
      <c r="AN184" s="154" t="str">
        <f t="shared" si="87"/>
        <v/>
      </c>
      <c r="AO184" s="154" t="str">
        <f t="shared" si="88"/>
        <v/>
      </c>
    </row>
    <row r="185" spans="26:41" x14ac:dyDescent="0.25">
      <c r="Z185" s="154" t="str">
        <f>CONCATENATE(AE185,Times!AD185)</f>
        <v>VFHavering 90 Joggers</v>
      </c>
      <c r="AA185" s="154" t="str">
        <f>Times!AD185</f>
        <v>FHavering 90 Joggers</v>
      </c>
      <c r="AB185" s="154" t="str">
        <f>IF(AK185="Y",CONCATENATE(AA185,COUNTIFS($AK$2:AK185,"=Y",$AA$2:AA185,AA185)),"")</f>
        <v>FHavering 90 Joggers1</v>
      </c>
      <c r="AC185" s="154" t="str">
        <f>Times!K185</f>
        <v>Kate Pettit</v>
      </c>
      <c r="AD185" s="154">
        <f>Times!G185</f>
        <v>44</v>
      </c>
      <c r="AE185" s="154" t="str">
        <f>IF(Times!D185&lt;&gt;"",IF(ISERR(SEARCH("V",Times!I185,1)),IF(ISERR(SEARCH("S",Times!I185,1)),"S","S"),"V"),"")</f>
        <v>V</v>
      </c>
      <c r="AF185" s="161">
        <f>IF(Times!D185&lt;&gt;"",SUMIFS(Times!$G$2:G185,$AA$2:AA185,AA185,$AK$2:AK185,"Y"),"")</f>
        <v>44</v>
      </c>
      <c r="AG185" s="154" t="str">
        <f>IF(Times!D185&lt;&gt;"",IF(AND(Times!J185="M",AI185+AL185=AM185,AK185="Y"),AF185,""),"")</f>
        <v/>
      </c>
      <c r="AH185" s="154" t="str">
        <f>IF(Times!D185&lt;&gt;"",IF(AND(Times!J185="F",AI185+AL185=AM185,AK185="Y"),AF185,""),"")</f>
        <v/>
      </c>
      <c r="AI185" s="154">
        <f>COUNTIF(Z$2:Z185,CONCATENATE("V",AA185))</f>
        <v>1</v>
      </c>
      <c r="AJ185" s="154">
        <f>COUNTIF(Z$2:Z185,CONCATENATE("S",AA185))</f>
        <v>0</v>
      </c>
      <c r="AK185" s="154" t="str">
        <f t="shared" si="86"/>
        <v>Y</v>
      </c>
      <c r="AL185" s="154">
        <f>IF(AND(Times!J185="M",AJ185&gt;3),3, IF(AND(Times!J185="F",AJ185&gt;2),2,AJ185))</f>
        <v>0</v>
      </c>
      <c r="AM185" s="154">
        <f>IF(Times!J185="M",6, IF(Times!J185="F",4,""))</f>
        <v>4</v>
      </c>
      <c r="AN185" s="154" t="str">
        <f t="shared" si="87"/>
        <v/>
      </c>
      <c r="AO185" s="154" t="str">
        <f t="shared" si="88"/>
        <v/>
      </c>
    </row>
    <row r="186" spans="26:41" x14ac:dyDescent="0.25">
      <c r="Z186" s="154" t="str">
        <f>CONCATENATE(AE186,Times!AD186)</f>
        <v>VMHarold Wood Running Club</v>
      </c>
      <c r="AA186" s="154" t="str">
        <f>Times!AD186</f>
        <v>MHarold Wood Running Club</v>
      </c>
      <c r="AB186" s="154" t="str">
        <f>IF(AK186="Y",CONCATENATE(AA186,COUNTIFS($AK$2:AK186,"=Y",$AA$2:AA186,AA186)),"")</f>
        <v>MHarold Wood Running Club5</v>
      </c>
      <c r="AC186" s="154" t="str">
        <f>Times!K186</f>
        <v>Glen Wisbey</v>
      </c>
      <c r="AD186" s="154">
        <f>Times!G186</f>
        <v>141</v>
      </c>
      <c r="AE186" s="154" t="str">
        <f>IF(Times!D186&lt;&gt;"",IF(ISERR(SEARCH("V",Times!I186,1)),IF(ISERR(SEARCH("S",Times!I186,1)),"S","S"),"V"),"")</f>
        <v>V</v>
      </c>
      <c r="AF186" s="161">
        <f>IF(Times!D186&lt;&gt;"",SUMIFS(Times!$G$2:G186,$AA$2:AA186,AA186,$AK$2:AK186,"Y"),"")</f>
        <v>351</v>
      </c>
      <c r="AG186" s="154" t="str">
        <f>IF(Times!D186&lt;&gt;"",IF(AND(Times!J186="M",AI186+AL186=AM186,AK186="Y"),AF186,""),"")</f>
        <v/>
      </c>
      <c r="AH186" s="154" t="str">
        <f>IF(Times!D186&lt;&gt;"",IF(AND(Times!J186="F",AI186+AL186=AM186,AK186="Y"),AF186,""),"")</f>
        <v/>
      </c>
      <c r="AI186" s="154">
        <f>COUNTIF(Z$2:Z186,CONCATENATE("V",AA186))</f>
        <v>2</v>
      </c>
      <c r="AJ186" s="154">
        <f>COUNTIF(Z$2:Z186,CONCATENATE("S",AA186))</f>
        <v>6</v>
      </c>
      <c r="AK186" s="154" t="str">
        <f t="shared" si="86"/>
        <v>Y</v>
      </c>
      <c r="AL186" s="154">
        <f>IF(AND(Times!J186="M",AJ186&gt;3),3, IF(AND(Times!J186="F",AJ186&gt;2),2,AJ186))</f>
        <v>3</v>
      </c>
      <c r="AM186" s="154">
        <f>IF(Times!J186="M",6, IF(Times!J186="F",4,""))</f>
        <v>6</v>
      </c>
      <c r="AN186" s="154" t="str">
        <f t="shared" si="87"/>
        <v/>
      </c>
      <c r="AO186" s="154" t="str">
        <f t="shared" si="88"/>
        <v/>
      </c>
    </row>
    <row r="187" spans="26:41" x14ac:dyDescent="0.25">
      <c r="Z187" s="154" t="str">
        <f>CONCATENATE(AE187,Times!AD187)</f>
        <v>VFIlford AC</v>
      </c>
      <c r="AA187" s="154" t="str">
        <f>Times!AD187</f>
        <v>FIlford AC</v>
      </c>
      <c r="AB187" s="154" t="str">
        <f>IF(AK187="Y",CONCATENATE(AA187,COUNTIFS($AK$2:AK187,"=Y",$AA$2:AA187,AA187)),"")</f>
        <v/>
      </c>
      <c r="AC187" s="154" t="str">
        <f>Times!K187</f>
        <v>Sharon Honey</v>
      </c>
      <c r="AD187" s="154">
        <f>Times!G187</f>
        <v>45</v>
      </c>
      <c r="AE187" s="154" t="str">
        <f>IF(Times!D187&lt;&gt;"",IF(ISERR(SEARCH("V",Times!I187,1)),IF(ISERR(SEARCH("S",Times!I187,1)),"S","S"),"V"),"")</f>
        <v>V</v>
      </c>
      <c r="AF187" s="161">
        <f>IF(Times!D187&lt;&gt;"",SUMIFS(Times!$G$2:G187,$AA$2:AA187,AA187,$AK$2:AK187,"Y"),"")</f>
        <v>58</v>
      </c>
      <c r="AG187" s="154" t="str">
        <f>IF(Times!D187&lt;&gt;"",IF(AND(Times!J187="M",AI187+AL187=AM187,AK187="Y"),AF187,""),"")</f>
        <v/>
      </c>
      <c r="AH187" s="154" t="str">
        <f>IF(Times!D187&lt;&gt;"",IF(AND(Times!J187="F",AI187+AL187=AM187,AK187="Y"),AF187,""),"")</f>
        <v/>
      </c>
      <c r="AI187" s="154">
        <f>COUNTIF(Z$2:Z187,CONCATENATE("V",AA187))</f>
        <v>3</v>
      </c>
      <c r="AJ187" s="154">
        <f>COUNTIF(Z$2:Z187,CONCATENATE("S",AA187))</f>
        <v>3</v>
      </c>
      <c r="AK187" s="154" t="str">
        <f t="shared" si="86"/>
        <v>N</v>
      </c>
      <c r="AL187" s="154">
        <f>IF(AND(Times!J187="M",AJ187&gt;3),3, IF(AND(Times!J187="F",AJ187&gt;2),2,AJ187))</f>
        <v>2</v>
      </c>
      <c r="AM187" s="154">
        <f>IF(Times!J187="M",6, IF(Times!J187="F",4,""))</f>
        <v>4</v>
      </c>
      <c r="AN187" s="154" t="str">
        <f t="shared" si="87"/>
        <v/>
      </c>
      <c r="AO187" s="154" t="str">
        <f t="shared" si="88"/>
        <v/>
      </c>
    </row>
    <row r="188" spans="26:41" x14ac:dyDescent="0.25">
      <c r="Z188" s="154" t="str">
        <f>CONCATENATE(AE188,Times!AD188)</f>
        <v>VMDagenham 88 Runners</v>
      </c>
      <c r="AA188" s="154" t="str">
        <f>Times!AD188</f>
        <v>MDagenham 88 Runners</v>
      </c>
      <c r="AB188" s="154" t="str">
        <f>IF(AK188="Y",CONCATENATE(AA188,COUNTIFS($AK$2:AK188,"=Y",$AA$2:AA188,AA188)),"")</f>
        <v/>
      </c>
      <c r="AC188" s="154" t="str">
        <f>Times!K188</f>
        <v>Danny White</v>
      </c>
      <c r="AD188" s="154">
        <f>Times!G188</f>
        <v>142</v>
      </c>
      <c r="AE188" s="154" t="str">
        <f>IF(Times!D188&lt;&gt;"",IF(ISERR(SEARCH("V",Times!I188,1)),IF(ISERR(SEARCH("S",Times!I188,1)),"S","S"),"V"),"")</f>
        <v>V</v>
      </c>
      <c r="AF188" s="161">
        <f>IF(Times!D188&lt;&gt;"",SUMIFS(Times!$G$2:G188,$AA$2:AA188,AA188,$AK$2:AK188,"Y"),"")</f>
        <v>529</v>
      </c>
      <c r="AG188" s="154" t="str">
        <f>IF(Times!D188&lt;&gt;"",IF(AND(Times!J188="M",AI188+AL188=AM188,AK188="Y"),AF188,""),"")</f>
        <v/>
      </c>
      <c r="AH188" s="154" t="str">
        <f>IF(Times!D188&lt;&gt;"",IF(AND(Times!J188="F",AI188+AL188=AM188,AK188="Y"),AF188,""),"")</f>
        <v/>
      </c>
      <c r="AI188" s="154">
        <f>COUNTIF(Z$2:Z188,CONCATENATE("V",AA188))</f>
        <v>6</v>
      </c>
      <c r="AJ188" s="154">
        <f>COUNTIF(Z$2:Z188,CONCATENATE("S",AA188))</f>
        <v>2</v>
      </c>
      <c r="AK188" s="154" t="str">
        <f t="shared" si="86"/>
        <v>N</v>
      </c>
      <c r="AL188" s="154">
        <f>IF(AND(Times!J188="M",AJ188&gt;3),3, IF(AND(Times!J188="F",AJ188&gt;2),2,AJ188))</f>
        <v>2</v>
      </c>
      <c r="AM188" s="154">
        <f>IF(Times!J188="M",6, IF(Times!J188="F",4,""))</f>
        <v>6</v>
      </c>
      <c r="AN188" s="154" t="str">
        <f t="shared" si="87"/>
        <v/>
      </c>
      <c r="AO188" s="154" t="str">
        <f t="shared" si="88"/>
        <v/>
      </c>
    </row>
    <row r="189" spans="26:41" x14ac:dyDescent="0.25">
      <c r="Z189" s="154" t="str">
        <f>CONCATENATE(AE189,Times!AD189)</f>
        <v>VMHavering 90 Joggers</v>
      </c>
      <c r="AA189" s="154" t="str">
        <f>Times!AD189</f>
        <v>MHavering 90 Joggers</v>
      </c>
      <c r="AB189" s="154" t="str">
        <f>IF(AK189="Y",CONCATENATE(AA189,COUNTIFS($AK$2:AK189,"=Y",$AA$2:AA189,AA189)),"")</f>
        <v/>
      </c>
      <c r="AC189" s="154" t="str">
        <f>Times!K189</f>
        <v>Anbarasu Govindasamy</v>
      </c>
      <c r="AD189" s="154">
        <f>Times!G189</f>
        <v>143</v>
      </c>
      <c r="AE189" s="154" t="str">
        <f>IF(Times!D189&lt;&gt;"",IF(ISERR(SEARCH("V",Times!I189,1)),IF(ISERR(SEARCH("S",Times!I189,1)),"S","S"),"V"),"")</f>
        <v>V</v>
      </c>
      <c r="AF189" s="161">
        <f>IF(Times!D189&lt;&gt;"",SUMIFS(Times!$G$2:G189,$AA$2:AA189,AA189,$AK$2:AK189,"Y"),"")</f>
        <v>506</v>
      </c>
      <c r="AG189" s="154" t="str">
        <f>IF(Times!D189&lt;&gt;"",IF(AND(Times!J189="M",AI189+AL189=AM189,AK189="Y"),AF189,""),"")</f>
        <v/>
      </c>
      <c r="AH189" s="154" t="str">
        <f>IF(Times!D189&lt;&gt;"",IF(AND(Times!J189="F",AI189+AL189=AM189,AK189="Y"),AF189,""),"")</f>
        <v/>
      </c>
      <c r="AI189" s="154">
        <f>COUNTIF(Z$2:Z189,CONCATENATE("V",AA189))</f>
        <v>7</v>
      </c>
      <c r="AJ189" s="154">
        <f>COUNTIF(Z$2:Z189,CONCATENATE("S",AA189))</f>
        <v>2</v>
      </c>
      <c r="AK189" s="154" t="str">
        <f t="shared" si="86"/>
        <v>N</v>
      </c>
      <c r="AL189" s="154">
        <f>IF(AND(Times!J189="M",AJ189&gt;3),3, IF(AND(Times!J189="F",AJ189&gt;2),2,AJ189))</f>
        <v>2</v>
      </c>
      <c r="AM189" s="154">
        <f>IF(Times!J189="M",6, IF(Times!J189="F",4,""))</f>
        <v>6</v>
      </c>
      <c r="AN189" s="154" t="str">
        <f t="shared" si="87"/>
        <v/>
      </c>
      <c r="AO189" s="154" t="str">
        <f t="shared" si="88"/>
        <v/>
      </c>
    </row>
    <row r="190" spans="26:41" x14ac:dyDescent="0.25">
      <c r="Z190" s="154" t="str">
        <f>CONCATENATE(AE190,Times!AD190)</f>
        <v>VFOrion Harriers</v>
      </c>
      <c r="AA190" s="154" t="str">
        <f>Times!AD190</f>
        <v>FOrion Harriers</v>
      </c>
      <c r="AB190" s="154" t="str">
        <f>IF(AK190="Y",CONCATENATE(AA190,COUNTIFS($AK$2:AK190,"=Y",$AA$2:AA190,AA190)),"")</f>
        <v/>
      </c>
      <c r="AC190" s="154" t="str">
        <f>Times!K190</f>
        <v>Andrea Macqueen</v>
      </c>
      <c r="AD190" s="154">
        <f>Times!G190</f>
        <v>46</v>
      </c>
      <c r="AE190" s="154" t="str">
        <f>IF(Times!D190&lt;&gt;"",IF(ISERR(SEARCH("V",Times!I190,1)),IF(ISERR(SEARCH("S",Times!I190,1)),"S","S"),"V"),"")</f>
        <v>V</v>
      </c>
      <c r="AF190" s="161">
        <f>IF(Times!D190&lt;&gt;"",SUMIFS(Times!$G$2:G190,$AA$2:AA190,AA190,$AK$2:AK190,"Y"),"")</f>
        <v>59</v>
      </c>
      <c r="AG190" s="154" t="str">
        <f>IF(Times!D190&lt;&gt;"",IF(AND(Times!J190="M",AI190+AL190=AM190,AK190="Y"),AF190,""),"")</f>
        <v/>
      </c>
      <c r="AH190" s="154" t="str">
        <f>IF(Times!D190&lt;&gt;"",IF(AND(Times!J190="F",AI190+AL190=AM190,AK190="Y"),AF190,""),"")</f>
        <v/>
      </c>
      <c r="AI190" s="154">
        <f>COUNTIF(Z$2:Z190,CONCATENATE("V",AA190))</f>
        <v>7</v>
      </c>
      <c r="AJ190" s="154">
        <f>COUNTIF(Z$2:Z190,CONCATENATE("S",AA190))</f>
        <v>0</v>
      </c>
      <c r="AK190" s="154" t="str">
        <f t="shared" si="86"/>
        <v>N</v>
      </c>
      <c r="AL190" s="154">
        <f>IF(AND(Times!J190="M",AJ190&gt;3),3, IF(AND(Times!J190="F",AJ190&gt;2),2,AJ190))</f>
        <v>0</v>
      </c>
      <c r="AM190" s="154">
        <f>IF(Times!J190="M",6, IF(Times!J190="F",4,""))</f>
        <v>4</v>
      </c>
      <c r="AN190" s="154" t="str">
        <f t="shared" si="87"/>
        <v/>
      </c>
      <c r="AO190" s="154" t="str">
        <f t="shared" si="88"/>
        <v/>
      </c>
    </row>
    <row r="191" spans="26:41" x14ac:dyDescent="0.25">
      <c r="Z191" s="154" t="str">
        <f>CONCATENATE(AE191,Times!AD191)</f>
        <v>VMEast End Road Runners</v>
      </c>
      <c r="AA191" s="154" t="str">
        <f>Times!AD191</f>
        <v>MEast End Road Runners</v>
      </c>
      <c r="AB191" s="154" t="str">
        <f>IF(AK191="Y",CONCATENATE(AA191,COUNTIFS($AK$2:AK191,"=Y",$AA$2:AA191,AA191)),"")</f>
        <v/>
      </c>
      <c r="AC191" s="154" t="str">
        <f>Times!K191</f>
        <v>Nick Gorman</v>
      </c>
      <c r="AD191" s="154">
        <f>Times!G191</f>
        <v>144</v>
      </c>
      <c r="AE191" s="154" t="str">
        <f>IF(Times!D191&lt;&gt;"",IF(ISERR(SEARCH("V",Times!I191,1)),IF(ISERR(SEARCH("S",Times!I191,1)),"S","S"),"V"),"")</f>
        <v>V</v>
      </c>
      <c r="AF191" s="161">
        <f>IF(Times!D191&lt;&gt;"",SUMIFS(Times!$G$2:G191,$AA$2:AA191,AA191,$AK$2:AK191,"Y"),"")</f>
        <v>343</v>
      </c>
      <c r="AG191" s="154" t="str">
        <f>IF(Times!D191&lt;&gt;"",IF(AND(Times!J191="M",AI191+AL191=AM191,AK191="Y"),AF191,""),"")</f>
        <v/>
      </c>
      <c r="AH191" s="154" t="str">
        <f>IF(Times!D191&lt;&gt;"",IF(AND(Times!J191="F",AI191+AL191=AM191,AK191="Y"),AF191,""),"")</f>
        <v/>
      </c>
      <c r="AI191" s="154">
        <f>COUNTIF(Z$2:Z191,CONCATENATE("V",AA191))</f>
        <v>7</v>
      </c>
      <c r="AJ191" s="154">
        <f>COUNTIF(Z$2:Z191,CONCATENATE("S",AA191))</f>
        <v>7</v>
      </c>
      <c r="AK191" s="154" t="str">
        <f t="shared" si="86"/>
        <v>N</v>
      </c>
      <c r="AL191" s="154">
        <f>IF(AND(Times!J191="M",AJ191&gt;3),3, IF(AND(Times!J191="F",AJ191&gt;2),2,AJ191))</f>
        <v>3</v>
      </c>
      <c r="AM191" s="154">
        <f>IF(Times!J191="M",6, IF(Times!J191="F",4,""))</f>
        <v>6</v>
      </c>
      <c r="AN191" s="154" t="str">
        <f t="shared" si="87"/>
        <v/>
      </c>
      <c r="AO191" s="154" t="str">
        <f t="shared" si="88"/>
        <v/>
      </c>
    </row>
    <row r="192" spans="26:41" x14ac:dyDescent="0.25">
      <c r="Z192" s="154" t="str">
        <f>CONCATENATE(AE192,Times!AD192)</f>
        <v>VFHavering 90 Joggers</v>
      </c>
      <c r="AA192" s="154" t="str">
        <f>Times!AD192</f>
        <v>FHavering 90 Joggers</v>
      </c>
      <c r="AB192" s="154" t="str">
        <f>IF(AK192="Y",CONCATENATE(AA192,COUNTIFS($AK$2:AK192,"=Y",$AA$2:AA192,AA192)),"")</f>
        <v>FHavering 90 Joggers2</v>
      </c>
      <c r="AC192" s="154" t="str">
        <f>Times!K192</f>
        <v>Emma Bolton</v>
      </c>
      <c r="AD192" s="154">
        <f>Times!G192</f>
        <v>47</v>
      </c>
      <c r="AE192" s="154" t="str">
        <f>IF(Times!D192&lt;&gt;"",IF(ISERR(SEARCH("V",Times!I192,1)),IF(ISERR(SEARCH("S",Times!I192,1)),"S","S"),"V"),"")</f>
        <v>V</v>
      </c>
      <c r="AF192" s="161">
        <f>IF(Times!D192&lt;&gt;"",SUMIFS(Times!$G$2:G192,$AA$2:AA192,AA192,$AK$2:AK192,"Y"),"")</f>
        <v>91</v>
      </c>
      <c r="AG192" s="154" t="str">
        <f>IF(Times!D192&lt;&gt;"",IF(AND(Times!J192="M",AI192+AL192=AM192,AK192="Y"),AF192,""),"")</f>
        <v/>
      </c>
      <c r="AH192" s="154" t="str">
        <f>IF(Times!D192&lt;&gt;"",IF(AND(Times!J192="F",AI192+AL192=AM192,AK192="Y"),AF192,""),"")</f>
        <v/>
      </c>
      <c r="AI192" s="154">
        <f>COUNTIF(Z$2:Z192,CONCATENATE("V",AA192))</f>
        <v>2</v>
      </c>
      <c r="AJ192" s="154">
        <f>COUNTIF(Z$2:Z192,CONCATENATE("S",AA192))</f>
        <v>0</v>
      </c>
      <c r="AK192" s="154" t="str">
        <f t="shared" si="86"/>
        <v>Y</v>
      </c>
      <c r="AL192" s="154">
        <f>IF(AND(Times!J192="M",AJ192&gt;3),3, IF(AND(Times!J192="F",AJ192&gt;2),2,AJ192))</f>
        <v>0</v>
      </c>
      <c r="AM192" s="154">
        <f>IF(Times!J192="M",6, IF(Times!J192="F",4,""))</f>
        <v>4</v>
      </c>
      <c r="AN192" s="154" t="str">
        <f t="shared" si="87"/>
        <v/>
      </c>
      <c r="AO192" s="154" t="str">
        <f t="shared" si="88"/>
        <v/>
      </c>
    </row>
    <row r="193" spans="26:41" x14ac:dyDescent="0.25">
      <c r="Z193" s="154" t="str">
        <f>CONCATENATE(AE193,Times!AD193)</f>
        <v>SMDagenham 88 Runners</v>
      </c>
      <c r="AA193" s="154" t="str">
        <f>Times!AD193</f>
        <v>MDagenham 88 Runners</v>
      </c>
      <c r="AB193" s="154" t="str">
        <f>IF(AK193="Y",CONCATENATE(AA193,COUNTIFS($AK$2:AK193,"=Y",$AA$2:AA193,AA193)),"")</f>
        <v/>
      </c>
      <c r="AC193" s="154" t="str">
        <f>Times!K193</f>
        <v>michael pegnall</v>
      </c>
      <c r="AD193" s="154">
        <f>Times!G193</f>
        <v>145</v>
      </c>
      <c r="AE193" s="154" t="str">
        <f>IF(Times!D193&lt;&gt;"",IF(ISERR(SEARCH("V",Times!I193,1)),IF(ISERR(SEARCH("S",Times!I193,1)),"S","S"),"V"),"")</f>
        <v>S</v>
      </c>
      <c r="AF193" s="161">
        <f>IF(Times!D193&lt;&gt;"",SUMIFS(Times!$G$2:G193,$AA$2:AA193,AA193,$AK$2:AK193,"Y"),"")</f>
        <v>529</v>
      </c>
      <c r="AG193" s="154" t="str">
        <f>IF(Times!D193&lt;&gt;"",IF(AND(Times!J193="M",AI193+AL193=AM193,AK193="Y"),AF193,""),"")</f>
        <v/>
      </c>
      <c r="AH193" s="154" t="str">
        <f>IF(Times!D193&lt;&gt;"",IF(AND(Times!J193="F",AI193+AL193=AM193,AK193="Y"),AF193,""),"")</f>
        <v/>
      </c>
      <c r="AI193" s="154">
        <f>COUNTIF(Z$2:Z193,CONCATENATE("V",AA193))</f>
        <v>6</v>
      </c>
      <c r="AJ193" s="154">
        <f>COUNTIF(Z$2:Z193,CONCATENATE("S",AA193))</f>
        <v>3</v>
      </c>
      <c r="AK193" s="154" t="str">
        <f t="shared" si="86"/>
        <v>N</v>
      </c>
      <c r="AL193" s="154">
        <f>IF(AND(Times!J193="M",AJ193&gt;3),3, IF(AND(Times!J193="F",AJ193&gt;2),2,AJ193))</f>
        <v>3</v>
      </c>
      <c r="AM193" s="154">
        <f>IF(Times!J193="M",6, IF(Times!J193="F",4,""))</f>
        <v>6</v>
      </c>
      <c r="AN193" s="154" t="str">
        <f t="shared" si="87"/>
        <v/>
      </c>
      <c r="AO193" s="154" t="str">
        <f t="shared" si="88"/>
        <v/>
      </c>
    </row>
    <row r="194" spans="26:41" x14ac:dyDescent="0.25">
      <c r="Z194" s="154" t="str">
        <f>CONCATENATE(AE194,Times!AD194)</f>
        <v>VMEton Manor AC</v>
      </c>
      <c r="AA194" s="154" t="str">
        <f>Times!AD194</f>
        <v>MEton Manor AC</v>
      </c>
      <c r="AB194" s="154" t="str">
        <f>IF(AK194="Y",CONCATENATE(AA194,COUNTIFS($AK$2:AK194,"=Y",$AA$2:AA194,AA194)),"")</f>
        <v>MEton Manor AC6</v>
      </c>
      <c r="AC194" s="154" t="str">
        <f>Times!K194</f>
        <v>Gabriel Ellenberg</v>
      </c>
      <c r="AD194" s="154">
        <f>Times!G194</f>
        <v>146</v>
      </c>
      <c r="AE194" s="154" t="str">
        <f>IF(Times!D194&lt;&gt;"",IF(ISERR(SEARCH("V",Times!I194,1)),IF(ISERR(SEARCH("S",Times!I194,1)),"S","S"),"V"),"")</f>
        <v>V</v>
      </c>
      <c r="AF194" s="161">
        <f>IF(Times!D194&lt;&gt;"",SUMIFS(Times!$G$2:G194,$AA$2:AA194,AA194,$AK$2:AK194,"Y"),"")</f>
        <v>407</v>
      </c>
      <c r="AG194" s="154">
        <f>IF(Times!D194&lt;&gt;"",IF(AND(Times!J194="M",AI194+AL194=AM194,AK194="Y"),AF194,""),"")</f>
        <v>407</v>
      </c>
      <c r="AH194" s="154" t="str">
        <f>IF(Times!D194&lt;&gt;"",IF(AND(Times!J194="F",AI194+AL194=AM194,AK194="Y"),AF194,""),"")</f>
        <v/>
      </c>
      <c r="AI194" s="154">
        <f>COUNTIF(Z$2:Z194,CONCATENATE("V",AA194))</f>
        <v>3</v>
      </c>
      <c r="AJ194" s="154">
        <f>COUNTIF(Z$2:Z194,CONCATENATE("S",AA194))</f>
        <v>3</v>
      </c>
      <c r="AK194" s="154" t="str">
        <f t="shared" si="86"/>
        <v>Y</v>
      </c>
      <c r="AL194" s="154">
        <f>IF(AND(Times!J194="M",AJ194&gt;3),3, IF(AND(Times!J194="F",AJ194&gt;2),2,AJ194))</f>
        <v>3</v>
      </c>
      <c r="AM194" s="154">
        <f>IF(Times!J194="M",6, IF(Times!J194="F",4,""))</f>
        <v>6</v>
      </c>
      <c r="AN194" s="154">
        <f t="shared" si="87"/>
        <v>6</v>
      </c>
      <c r="AO194" s="154" t="str">
        <f t="shared" si="88"/>
        <v/>
      </c>
    </row>
    <row r="195" spans="26:41" x14ac:dyDescent="0.25">
      <c r="Z195" s="154" t="str">
        <f>CONCATENATE(AE195,Times!AD195)</f>
        <v>VFDagenham 88 Runners</v>
      </c>
      <c r="AA195" s="154" t="str">
        <f>Times!AD195</f>
        <v>FDagenham 88 Runners</v>
      </c>
      <c r="AB195" s="154" t="str">
        <f>IF(AK195="Y",CONCATENATE(AA195,COUNTIFS($AK$2:AK195,"=Y",$AA$2:AA195,AA195)),"")</f>
        <v>FDagenham 88 Runners2</v>
      </c>
      <c r="AC195" s="154" t="str">
        <f>Times!K195</f>
        <v>Louise Chappell</v>
      </c>
      <c r="AD195" s="154">
        <f>Times!G195</f>
        <v>48</v>
      </c>
      <c r="AE195" s="154" t="str">
        <f>IF(Times!D195&lt;&gt;"",IF(ISERR(SEARCH("V",Times!I195,1)),IF(ISERR(SEARCH("S",Times!I195,1)),"S","S"),"V"),"")</f>
        <v>V</v>
      </c>
      <c r="AF195" s="161">
        <f>IF(Times!D195&lt;&gt;"",SUMIFS(Times!$G$2:G195,$AA$2:AA195,AA195,$AK$2:AK195,"Y"),"")</f>
        <v>70</v>
      </c>
      <c r="AG195" s="154" t="str">
        <f>IF(Times!D195&lt;&gt;"",IF(AND(Times!J195="M",AI195+AL195=AM195,AK195="Y"),AF195,""),"")</f>
        <v/>
      </c>
      <c r="AH195" s="154" t="str">
        <f>IF(Times!D195&lt;&gt;"",IF(AND(Times!J195="F",AI195+AL195=AM195,AK195="Y"),AF195,""),"")</f>
        <v/>
      </c>
      <c r="AI195" s="154">
        <f>COUNTIF(Z$2:Z195,CONCATENATE("V",AA195))</f>
        <v>2</v>
      </c>
      <c r="AJ195" s="154">
        <f>COUNTIF(Z$2:Z195,CONCATENATE("S",AA195))</f>
        <v>0</v>
      </c>
      <c r="AK195" s="154" t="str">
        <f t="shared" ref="AK195:AK258" si="89">IF(AND(AE195="V",AI195&lt;=AM195-AL195),"Y",IF(AND(AE195="S",AJ195&lt;=AM195/2,AJ195&lt;=AM195-AI195),"Y","N"))</f>
        <v>Y</v>
      </c>
      <c r="AL195" s="154">
        <f>IF(AND(Times!J195="M",AJ195&gt;3),3, IF(AND(Times!J195="F",AJ195&gt;2),2,AJ195))</f>
        <v>0</v>
      </c>
      <c r="AM195" s="154">
        <f>IF(Times!J195="M",6, IF(Times!J195="F",4,""))</f>
        <v>4</v>
      </c>
      <c r="AN195" s="154" t="str">
        <f t="shared" ref="AN195:AN258" si="90">IF(AG195&lt;&gt;"",RANK(AG195,AG$2:AG$501,1),"")</f>
        <v/>
      </c>
      <c r="AO195" s="154" t="str">
        <f t="shared" ref="AO195:AO258" si="91">IF(AH195&lt;&gt;"",RANK(AH195,AH$2:AH$501,1),"")</f>
        <v/>
      </c>
    </row>
    <row r="196" spans="26:41" x14ac:dyDescent="0.25">
      <c r="Z196" s="154" t="str">
        <f>CONCATENATE(AE196,Times!AD196)</f>
        <v>SMEast London Runners</v>
      </c>
      <c r="AA196" s="154" t="str">
        <f>Times!AD196</f>
        <v>MEast London Runners</v>
      </c>
      <c r="AB196" s="154" t="str">
        <f>IF(AK196="Y",CONCATENATE(AA196,COUNTIFS($AK$2:AK196,"=Y",$AA$2:AA196,AA196)),"")</f>
        <v/>
      </c>
      <c r="AC196" s="154" t="str">
        <f>Times!K196</f>
        <v>Mark Wiltshire</v>
      </c>
      <c r="AD196" s="154">
        <f>Times!G196</f>
        <v>147</v>
      </c>
      <c r="AE196" s="154" t="str">
        <f>IF(Times!D196&lt;&gt;"",IF(ISERR(SEARCH("V",Times!I196,1)),IF(ISERR(SEARCH("S",Times!I196,1)),"S","S"),"V"),"")</f>
        <v>S</v>
      </c>
      <c r="AF196" s="161">
        <f>IF(Times!D196&lt;&gt;"",SUMIFS(Times!$G$2:G196,$AA$2:AA196,AA196,$AK$2:AK196,"Y"),"")</f>
        <v>84</v>
      </c>
      <c r="AG196" s="154" t="str">
        <f>IF(Times!D196&lt;&gt;"",IF(AND(Times!J196="M",AI196+AL196=AM196,AK196="Y"),AF196,""),"")</f>
        <v/>
      </c>
      <c r="AH196" s="154" t="str">
        <f>IF(Times!D196&lt;&gt;"",IF(AND(Times!J196="F",AI196+AL196=AM196,AK196="Y"),AF196,""),"")</f>
        <v/>
      </c>
      <c r="AI196" s="154">
        <f>COUNTIF(Z$2:Z196,CONCATENATE("V",AA196))</f>
        <v>26</v>
      </c>
      <c r="AJ196" s="154">
        <f>COUNTIF(Z$2:Z196,CONCATENATE("S",AA196))</f>
        <v>19</v>
      </c>
      <c r="AK196" s="154" t="str">
        <f t="shared" si="89"/>
        <v>N</v>
      </c>
      <c r="AL196" s="154">
        <f>IF(AND(Times!J196="M",AJ196&gt;3),3, IF(AND(Times!J196="F",AJ196&gt;2),2,AJ196))</f>
        <v>3</v>
      </c>
      <c r="AM196" s="154">
        <f>IF(Times!J196="M",6, IF(Times!J196="F",4,""))</f>
        <v>6</v>
      </c>
      <c r="AN196" s="154" t="str">
        <f t="shared" si="90"/>
        <v/>
      </c>
      <c r="AO196" s="154" t="str">
        <f t="shared" si="91"/>
        <v/>
      </c>
    </row>
    <row r="197" spans="26:41" x14ac:dyDescent="0.25">
      <c r="Z197" s="154" t="str">
        <f>CONCATENATE(AE197,Times!AD197)</f>
        <v>VMEast London Runners</v>
      </c>
      <c r="AA197" s="154" t="str">
        <f>Times!AD197</f>
        <v>MEast London Runners</v>
      </c>
      <c r="AB197" s="154" t="str">
        <f>IF(AK197="Y",CONCATENATE(AA197,COUNTIFS($AK$2:AK197,"=Y",$AA$2:AA197,AA197)),"")</f>
        <v/>
      </c>
      <c r="AC197" s="154" t="str">
        <f>Times!K197</f>
        <v>Steven Bywater</v>
      </c>
      <c r="AD197" s="154">
        <f>Times!G197</f>
        <v>148</v>
      </c>
      <c r="AE197" s="154" t="str">
        <f>IF(Times!D197&lt;&gt;"",IF(ISERR(SEARCH("V",Times!I197,1)),IF(ISERR(SEARCH("S",Times!I197,1)),"S","S"),"V"),"")</f>
        <v>V</v>
      </c>
      <c r="AF197" s="161">
        <f>IF(Times!D197&lt;&gt;"",SUMIFS(Times!$G$2:G197,$AA$2:AA197,AA197,$AK$2:AK197,"Y"),"")</f>
        <v>84</v>
      </c>
      <c r="AG197" s="154" t="str">
        <f>IF(Times!D197&lt;&gt;"",IF(AND(Times!J197="M",AI197+AL197=AM197,AK197="Y"),AF197,""),"")</f>
        <v/>
      </c>
      <c r="AH197" s="154" t="str">
        <f>IF(Times!D197&lt;&gt;"",IF(AND(Times!J197="F",AI197+AL197=AM197,AK197="Y"),AF197,""),"")</f>
        <v/>
      </c>
      <c r="AI197" s="154">
        <f>COUNTIF(Z$2:Z197,CONCATENATE("V",AA197))</f>
        <v>27</v>
      </c>
      <c r="AJ197" s="154">
        <f>COUNTIF(Z$2:Z197,CONCATENATE("S",AA197))</f>
        <v>19</v>
      </c>
      <c r="AK197" s="154" t="str">
        <f t="shared" si="89"/>
        <v>N</v>
      </c>
      <c r="AL197" s="154">
        <f>IF(AND(Times!J197="M",AJ197&gt;3),3, IF(AND(Times!J197="F",AJ197&gt;2),2,AJ197))</f>
        <v>3</v>
      </c>
      <c r="AM197" s="154">
        <f>IF(Times!J197="M",6, IF(Times!J197="F",4,""))</f>
        <v>6</v>
      </c>
      <c r="AN197" s="154" t="str">
        <f t="shared" si="90"/>
        <v/>
      </c>
      <c r="AO197" s="154" t="str">
        <f t="shared" si="91"/>
        <v/>
      </c>
    </row>
    <row r="198" spans="26:41" x14ac:dyDescent="0.25">
      <c r="Z198" s="154" t="str">
        <f>CONCATENATE(AE198,Times!AD198)</f>
        <v>SFIlford AC</v>
      </c>
      <c r="AA198" s="154" t="str">
        <f>Times!AD198</f>
        <v>FIlford AC</v>
      </c>
      <c r="AB198" s="154" t="str">
        <f>IF(AK198="Y",CONCATENATE(AA198,COUNTIFS($AK$2:AK198,"=Y",$AA$2:AA198,AA198)),"")</f>
        <v/>
      </c>
      <c r="AC198" s="154" t="str">
        <f>Times!K198</f>
        <v>Anna Crawley</v>
      </c>
      <c r="AD198" s="154">
        <f>Times!G198</f>
        <v>49</v>
      </c>
      <c r="AE198" s="154" t="str">
        <f>IF(Times!D198&lt;&gt;"",IF(ISERR(SEARCH("V",Times!I198,1)),IF(ISERR(SEARCH("S",Times!I198,1)),"S","S"),"V"),"")</f>
        <v>S</v>
      </c>
      <c r="AF198" s="161">
        <f>IF(Times!D198&lt;&gt;"",SUMIFS(Times!$G$2:G198,$AA$2:AA198,AA198,$AK$2:AK198,"Y"),"")</f>
        <v>58</v>
      </c>
      <c r="AG198" s="154" t="str">
        <f>IF(Times!D198&lt;&gt;"",IF(AND(Times!J198="M",AI198+AL198=AM198,AK198="Y"),AF198,""),"")</f>
        <v/>
      </c>
      <c r="AH198" s="154" t="str">
        <f>IF(Times!D198&lt;&gt;"",IF(AND(Times!J198="F",AI198+AL198=AM198,AK198="Y"),AF198,""),"")</f>
        <v/>
      </c>
      <c r="AI198" s="154">
        <f>COUNTIF(Z$2:Z198,CONCATENATE("V",AA198))</f>
        <v>3</v>
      </c>
      <c r="AJ198" s="154">
        <f>COUNTIF(Z$2:Z198,CONCATENATE("S",AA198))</f>
        <v>4</v>
      </c>
      <c r="AK198" s="154" t="str">
        <f t="shared" si="89"/>
        <v>N</v>
      </c>
      <c r="AL198" s="154">
        <f>IF(AND(Times!J198="M",AJ198&gt;3),3, IF(AND(Times!J198="F",AJ198&gt;2),2,AJ198))</f>
        <v>2</v>
      </c>
      <c r="AM198" s="154">
        <f>IF(Times!J198="M",6, IF(Times!J198="F",4,""))</f>
        <v>4</v>
      </c>
      <c r="AN198" s="154" t="str">
        <f t="shared" si="90"/>
        <v/>
      </c>
      <c r="AO198" s="154" t="str">
        <f t="shared" si="91"/>
        <v/>
      </c>
    </row>
    <row r="199" spans="26:41" x14ac:dyDescent="0.25">
      <c r="Z199" s="154" t="str">
        <f>CONCATENATE(AE199,Times!AD199)</f>
        <v>VFUnattached</v>
      </c>
      <c r="AA199" s="154" t="str">
        <f>Times!AD199</f>
        <v>FUnattached</v>
      </c>
      <c r="AB199" s="154" t="str">
        <f>IF(AK199="Y",CONCATENATE(AA199,COUNTIFS($AK$2:AK199,"=Y",$AA$2:AA199,AA199)),"")</f>
        <v>FUnattached1</v>
      </c>
      <c r="AC199" s="154" t="str">
        <f>Times!K199</f>
        <v>Alison Hinton</v>
      </c>
      <c r="AD199" s="154">
        <f>Times!G199</f>
        <v>50</v>
      </c>
      <c r="AE199" s="154" t="str">
        <f>IF(Times!D199&lt;&gt;"",IF(ISERR(SEARCH("V",Times!I199,1)),IF(ISERR(SEARCH("S",Times!I199,1)),"S","S"),"V"),"")</f>
        <v>V</v>
      </c>
      <c r="AF199" s="161">
        <f>IF(Times!D199&lt;&gt;"",SUMIFS(Times!$G$2:G199,$AA$2:AA199,AA199,$AK$2:AK199,"Y"),"")</f>
        <v>50</v>
      </c>
      <c r="AG199" s="154" t="str">
        <f>IF(Times!D199&lt;&gt;"",IF(AND(Times!J199="M",AI199+AL199=AM199,AK199="Y"),AF199,""),"")</f>
        <v/>
      </c>
      <c r="AH199" s="154" t="str">
        <f>IF(Times!D199&lt;&gt;"",IF(AND(Times!J199="F",AI199+AL199=AM199,AK199="Y"),AF199,""),"")</f>
        <v/>
      </c>
      <c r="AI199" s="154">
        <f>COUNTIF(Z$2:Z199,CONCATENATE("V",AA199))</f>
        <v>1</v>
      </c>
      <c r="AJ199" s="154">
        <f>COUNTIF(Z$2:Z199,CONCATENATE("S",AA199))</f>
        <v>0</v>
      </c>
      <c r="AK199" s="154" t="str">
        <f t="shared" si="89"/>
        <v>Y</v>
      </c>
      <c r="AL199" s="154">
        <f>IF(AND(Times!J199="M",AJ199&gt;3),3, IF(AND(Times!J199="F",AJ199&gt;2),2,AJ199))</f>
        <v>0</v>
      </c>
      <c r="AM199" s="154">
        <f>IF(Times!J199="M",6, IF(Times!J199="F",4,""))</f>
        <v>4</v>
      </c>
      <c r="AN199" s="154" t="str">
        <f t="shared" si="90"/>
        <v/>
      </c>
      <c r="AO199" s="154" t="str">
        <f t="shared" si="91"/>
        <v/>
      </c>
    </row>
    <row r="200" spans="26:41" x14ac:dyDescent="0.25">
      <c r="Z200" s="154" t="str">
        <f>CONCATENATE(AE200,Times!AD200)</f>
        <v>VFHarold Wood Running Club</v>
      </c>
      <c r="AA200" s="154" t="str">
        <f>Times!AD200</f>
        <v>FHarold Wood Running Club</v>
      </c>
      <c r="AB200" s="154" t="str">
        <f>IF(AK200="Y",CONCATENATE(AA200,COUNTIFS($AK$2:AK200,"=Y",$AA$2:AA200,AA200)),"")</f>
        <v>FHarold Wood Running Club4</v>
      </c>
      <c r="AC200" s="154" t="str">
        <f>Times!K200</f>
        <v>Helen Jenner</v>
      </c>
      <c r="AD200" s="154">
        <f>Times!G200</f>
        <v>51</v>
      </c>
      <c r="AE200" s="154" t="str">
        <f>IF(Times!D200&lt;&gt;"",IF(ISERR(SEARCH("V",Times!I200,1)),IF(ISERR(SEARCH("S",Times!I200,1)),"S","S"),"V"),"")</f>
        <v>V</v>
      </c>
      <c r="AF200" s="161">
        <f>IF(Times!D200&lt;&gt;"",SUMIFS(Times!$G$2:G200,$AA$2:AA200,AA200,$AK$2:AK200,"Y"),"")</f>
        <v>97</v>
      </c>
      <c r="AG200" s="154" t="str">
        <f>IF(Times!D200&lt;&gt;"",IF(AND(Times!J200="M",AI200+AL200=AM200,AK200="Y"),AF200,""),"")</f>
        <v/>
      </c>
      <c r="AH200" s="154">
        <f>IF(Times!D200&lt;&gt;"",IF(AND(Times!J200="F",AI200+AL200=AM200,AK200="Y"),AF200,""),"")</f>
        <v>97</v>
      </c>
      <c r="AI200" s="154">
        <f>COUNTIF(Z$2:Z200,CONCATENATE("V",AA200))</f>
        <v>3</v>
      </c>
      <c r="AJ200" s="154">
        <f>COUNTIF(Z$2:Z200,CONCATENATE("S",AA200))</f>
        <v>1</v>
      </c>
      <c r="AK200" s="154" t="str">
        <f t="shared" si="89"/>
        <v>Y</v>
      </c>
      <c r="AL200" s="154">
        <f>IF(AND(Times!J200="M",AJ200&gt;3),3, IF(AND(Times!J200="F",AJ200&gt;2),2,AJ200))</f>
        <v>1</v>
      </c>
      <c r="AM200" s="154">
        <f>IF(Times!J200="M",6, IF(Times!J200="F",4,""))</f>
        <v>4</v>
      </c>
      <c r="AN200" s="154" t="str">
        <f t="shared" si="90"/>
        <v/>
      </c>
      <c r="AO200" s="154">
        <f t="shared" si="91"/>
        <v>5</v>
      </c>
    </row>
    <row r="201" spans="26:41" x14ac:dyDescent="0.25">
      <c r="Z201" s="154" t="str">
        <f>CONCATENATE(AE201,Times!AD201)</f>
        <v>VMPitsea RC</v>
      </c>
      <c r="AA201" s="154" t="str">
        <f>Times!AD201</f>
        <v>MPitsea RC</v>
      </c>
      <c r="AB201" s="154" t="str">
        <f>IF(AK201="Y",CONCATENATE(AA201,COUNTIFS($AK$2:AK201,"=Y",$AA$2:AA201,AA201)),"")</f>
        <v>MPitsea RC1</v>
      </c>
      <c r="AC201" s="154" t="str">
        <f>Times!K201</f>
        <v>Peter Chaplin</v>
      </c>
      <c r="AD201" s="154">
        <f>Times!G201</f>
        <v>149</v>
      </c>
      <c r="AE201" s="154" t="str">
        <f>IF(Times!D201&lt;&gt;"",IF(ISERR(SEARCH("V",Times!I201,1)),IF(ISERR(SEARCH("S",Times!I201,1)),"S","S"),"V"),"")</f>
        <v>V</v>
      </c>
      <c r="AF201" s="161">
        <f>IF(Times!D201&lt;&gt;"",SUMIFS(Times!$G$2:G201,$AA$2:AA201,AA201,$AK$2:AK201,"Y"),"")</f>
        <v>149</v>
      </c>
      <c r="AG201" s="154" t="str">
        <f>IF(Times!D201&lt;&gt;"",IF(AND(Times!J201="M",AI201+AL201=AM201,AK201="Y"),AF201,""),"")</f>
        <v/>
      </c>
      <c r="AH201" s="154" t="str">
        <f>IF(Times!D201&lt;&gt;"",IF(AND(Times!J201="F",AI201+AL201=AM201,AK201="Y"),AF201,""),"")</f>
        <v/>
      </c>
      <c r="AI201" s="154">
        <f>COUNTIF(Z$2:Z201,CONCATENATE("V",AA201))</f>
        <v>1</v>
      </c>
      <c r="AJ201" s="154">
        <f>COUNTIF(Z$2:Z201,CONCATENATE("S",AA201))</f>
        <v>0</v>
      </c>
      <c r="AK201" s="154" t="str">
        <f t="shared" si="89"/>
        <v>Y</v>
      </c>
      <c r="AL201" s="154">
        <f>IF(AND(Times!J201="M",AJ201&gt;3),3, IF(AND(Times!J201="F",AJ201&gt;2),2,AJ201))</f>
        <v>0</v>
      </c>
      <c r="AM201" s="154">
        <f>IF(Times!J201="M",6, IF(Times!J201="F",4,""))</f>
        <v>6</v>
      </c>
      <c r="AN201" s="154" t="str">
        <f t="shared" si="90"/>
        <v/>
      </c>
      <c r="AO201" s="154" t="str">
        <f t="shared" si="91"/>
        <v/>
      </c>
    </row>
    <row r="202" spans="26:41" x14ac:dyDescent="0.25">
      <c r="Z202" s="154" t="str">
        <f>CONCATENATE(AE202,Times!AD202)</f>
        <v>VMOrion Harriers</v>
      </c>
      <c r="AA202" s="154" t="str">
        <f>Times!AD202</f>
        <v>MOrion Harriers</v>
      </c>
      <c r="AB202" s="154" t="str">
        <f>IF(AK202="Y",CONCATENATE(AA202,COUNTIFS($AK$2:AK202,"=Y",$AA$2:AA202,AA202)),"")</f>
        <v/>
      </c>
      <c r="AC202" s="154" t="str">
        <f>Times!K202</f>
        <v>Peter Bulaitis</v>
      </c>
      <c r="AD202" s="154">
        <f>Times!G202</f>
        <v>150</v>
      </c>
      <c r="AE202" s="154" t="str">
        <f>IF(Times!D202&lt;&gt;"",IF(ISERR(SEARCH("V",Times!I202,1)),IF(ISERR(SEARCH("S",Times!I202,1)),"S","S"),"V"),"")</f>
        <v>V</v>
      </c>
      <c r="AF202" s="161">
        <f>IF(Times!D202&lt;&gt;"",SUMIFS(Times!$G$2:G202,$AA$2:AA202,AA202,$AK$2:AK202,"Y"),"")</f>
        <v>347</v>
      </c>
      <c r="AG202" s="154" t="str">
        <f>IF(Times!D202&lt;&gt;"",IF(AND(Times!J202="M",AI202+AL202=AM202,AK202="Y"),AF202,""),"")</f>
        <v/>
      </c>
      <c r="AH202" s="154" t="str">
        <f>IF(Times!D202&lt;&gt;"",IF(AND(Times!J202="F",AI202+AL202=AM202,AK202="Y"),AF202,""),"")</f>
        <v/>
      </c>
      <c r="AI202" s="154">
        <f>COUNTIF(Z$2:Z202,CONCATENATE("V",AA202))</f>
        <v>10</v>
      </c>
      <c r="AJ202" s="154">
        <f>COUNTIF(Z$2:Z202,CONCATENATE("S",AA202))</f>
        <v>4</v>
      </c>
      <c r="AK202" s="154" t="str">
        <f t="shared" si="89"/>
        <v>N</v>
      </c>
      <c r="AL202" s="154">
        <f>IF(AND(Times!J202="M",AJ202&gt;3),3, IF(AND(Times!J202="F",AJ202&gt;2),2,AJ202))</f>
        <v>3</v>
      </c>
      <c r="AM202" s="154">
        <f>IF(Times!J202="M",6, IF(Times!J202="F",4,""))</f>
        <v>6</v>
      </c>
      <c r="AN202" s="154" t="str">
        <f t="shared" si="90"/>
        <v/>
      </c>
      <c r="AO202" s="154" t="str">
        <f t="shared" si="91"/>
        <v/>
      </c>
    </row>
    <row r="203" spans="26:41" x14ac:dyDescent="0.25">
      <c r="Z203" s="154" t="str">
        <f>CONCATENATE(AE203,Times!AD203)</f>
        <v>VMSpringfield Striders RC</v>
      </c>
      <c r="AA203" s="154" t="str">
        <f>Times!AD203</f>
        <v>MSpringfield Striders RC</v>
      </c>
      <c r="AB203" s="154" t="str">
        <f>IF(AK203="Y",CONCATENATE(AA203,COUNTIFS($AK$2:AK203,"=Y",$AA$2:AA203,AA203)),"")</f>
        <v>MSpringfield Striders RC1</v>
      </c>
      <c r="AC203" s="154" t="str">
        <f>Times!K203</f>
        <v>Dennis Sherwood</v>
      </c>
      <c r="AD203" s="154">
        <f>Times!G203</f>
        <v>151</v>
      </c>
      <c r="AE203" s="154" t="str">
        <f>IF(Times!D203&lt;&gt;"",IF(ISERR(SEARCH("V",Times!I203,1)),IF(ISERR(SEARCH("S",Times!I203,1)),"S","S"),"V"),"")</f>
        <v>V</v>
      </c>
      <c r="AF203" s="161">
        <f>IF(Times!D203&lt;&gt;"",SUMIFS(Times!$G$2:G203,$AA$2:AA203,AA203,$AK$2:AK203,"Y"),"")</f>
        <v>151</v>
      </c>
      <c r="AG203" s="154" t="str">
        <f>IF(Times!D203&lt;&gt;"",IF(AND(Times!J203="M",AI203+AL203=AM203,AK203="Y"),AF203,""),"")</f>
        <v/>
      </c>
      <c r="AH203" s="154" t="str">
        <f>IF(Times!D203&lt;&gt;"",IF(AND(Times!J203="F",AI203+AL203=AM203,AK203="Y"),AF203,""),"")</f>
        <v/>
      </c>
      <c r="AI203" s="154">
        <f>COUNTIF(Z$2:Z203,CONCATENATE("V",AA203))</f>
        <v>1</v>
      </c>
      <c r="AJ203" s="154">
        <f>COUNTIF(Z$2:Z203,CONCATENATE("S",AA203))</f>
        <v>0</v>
      </c>
      <c r="AK203" s="154" t="str">
        <f t="shared" si="89"/>
        <v>Y</v>
      </c>
      <c r="AL203" s="154">
        <f>IF(AND(Times!J203="M",AJ203&gt;3),3, IF(AND(Times!J203="F",AJ203&gt;2),2,AJ203))</f>
        <v>0</v>
      </c>
      <c r="AM203" s="154">
        <f>IF(Times!J203="M",6, IF(Times!J203="F",4,""))</f>
        <v>6</v>
      </c>
      <c r="AN203" s="154" t="str">
        <f t="shared" si="90"/>
        <v/>
      </c>
      <c r="AO203" s="154" t="str">
        <f t="shared" si="91"/>
        <v/>
      </c>
    </row>
    <row r="204" spans="26:41" x14ac:dyDescent="0.25">
      <c r="Z204" s="154" t="str">
        <f>CONCATENATE(AE204,Times!AD204)</f>
        <v>VFEast London Runners</v>
      </c>
      <c r="AA204" s="154" t="str">
        <f>Times!AD204</f>
        <v>FEast London Runners</v>
      </c>
      <c r="AB204" s="154" t="str">
        <f>IF(AK204="Y",CONCATENATE(AA204,COUNTIFS($AK$2:AK204,"=Y",$AA$2:AA204,AA204)),"")</f>
        <v/>
      </c>
      <c r="AC204" s="154" t="str">
        <f>Times!K204</f>
        <v>Patricia O'Neill</v>
      </c>
      <c r="AD204" s="154">
        <f>Times!G204</f>
        <v>52</v>
      </c>
      <c r="AE204" s="154" t="str">
        <f>IF(Times!D204&lt;&gt;"",IF(ISERR(SEARCH("V",Times!I204,1)),IF(ISERR(SEARCH("S",Times!I204,1)),"S","S"),"V"),"")</f>
        <v>V</v>
      </c>
      <c r="AF204" s="161">
        <f>IF(Times!D204&lt;&gt;"",SUMIFS(Times!$G$2:G204,$AA$2:AA204,AA204,$AK$2:AK204,"Y"),"")</f>
        <v>27</v>
      </c>
      <c r="AG204" s="154" t="str">
        <f>IF(Times!D204&lt;&gt;"",IF(AND(Times!J204="M",AI204+AL204=AM204,AK204="Y"),AF204,""),"")</f>
        <v/>
      </c>
      <c r="AH204" s="154" t="str">
        <f>IF(Times!D204&lt;&gt;"",IF(AND(Times!J204="F",AI204+AL204=AM204,AK204="Y"),AF204,""),"")</f>
        <v/>
      </c>
      <c r="AI204" s="154">
        <f>COUNTIF(Z$2:Z204,CONCATENATE("V",AA204))</f>
        <v>7</v>
      </c>
      <c r="AJ204" s="154">
        <f>COUNTIF(Z$2:Z204,CONCATENATE("S",AA204))</f>
        <v>4</v>
      </c>
      <c r="AK204" s="154" t="str">
        <f t="shared" si="89"/>
        <v>N</v>
      </c>
      <c r="AL204" s="154">
        <f>IF(AND(Times!J204="M",AJ204&gt;3),3, IF(AND(Times!J204="F",AJ204&gt;2),2,AJ204))</f>
        <v>2</v>
      </c>
      <c r="AM204" s="154">
        <f>IF(Times!J204="M",6, IF(Times!J204="F",4,""))</f>
        <v>4</v>
      </c>
      <c r="AN204" s="154" t="str">
        <f t="shared" si="90"/>
        <v/>
      </c>
      <c r="AO204" s="154" t="str">
        <f t="shared" si="91"/>
        <v/>
      </c>
    </row>
    <row r="205" spans="26:41" x14ac:dyDescent="0.25">
      <c r="Z205" s="154" t="str">
        <f>CONCATENATE(AE205,Times!AD205)</f>
        <v>VFHavering 90 Joggers</v>
      </c>
      <c r="AA205" s="154" t="str">
        <f>Times!AD205</f>
        <v>FHavering 90 Joggers</v>
      </c>
      <c r="AB205" s="154" t="str">
        <f>IF(AK205="Y",CONCATENATE(AA205,COUNTIFS($AK$2:AK205,"=Y",$AA$2:AA205,AA205)),"")</f>
        <v>FHavering 90 Joggers3</v>
      </c>
      <c r="AC205" s="154" t="str">
        <f>Times!K205</f>
        <v>Amanda Keasley</v>
      </c>
      <c r="AD205" s="154">
        <f>Times!G205</f>
        <v>53</v>
      </c>
      <c r="AE205" s="154" t="str">
        <f>IF(Times!D205&lt;&gt;"",IF(ISERR(SEARCH("V",Times!I205,1)),IF(ISERR(SEARCH("S",Times!I205,1)),"S","S"),"V"),"")</f>
        <v>V</v>
      </c>
      <c r="AF205" s="161">
        <f>IF(Times!D205&lt;&gt;"",SUMIFS(Times!$G$2:G205,$AA$2:AA205,AA205,$AK$2:AK205,"Y"),"")</f>
        <v>144</v>
      </c>
      <c r="AG205" s="154" t="str">
        <f>IF(Times!D205&lt;&gt;"",IF(AND(Times!J205="M",AI205+AL205=AM205,AK205="Y"),AF205,""),"")</f>
        <v/>
      </c>
      <c r="AH205" s="154" t="str">
        <f>IF(Times!D205&lt;&gt;"",IF(AND(Times!J205="F",AI205+AL205=AM205,AK205="Y"),AF205,""),"")</f>
        <v/>
      </c>
      <c r="AI205" s="154">
        <f>COUNTIF(Z$2:Z205,CONCATENATE("V",AA205))</f>
        <v>3</v>
      </c>
      <c r="AJ205" s="154">
        <f>COUNTIF(Z$2:Z205,CONCATENATE("S",AA205))</f>
        <v>0</v>
      </c>
      <c r="AK205" s="154" t="str">
        <f t="shared" si="89"/>
        <v>Y</v>
      </c>
      <c r="AL205" s="154">
        <f>IF(AND(Times!J205="M",AJ205&gt;3),3, IF(AND(Times!J205="F",AJ205&gt;2),2,AJ205))</f>
        <v>0</v>
      </c>
      <c r="AM205" s="154">
        <f>IF(Times!J205="M",6, IF(Times!J205="F",4,""))</f>
        <v>4</v>
      </c>
      <c r="AN205" s="154" t="str">
        <f t="shared" si="90"/>
        <v/>
      </c>
      <c r="AO205" s="154" t="str">
        <f t="shared" si="91"/>
        <v/>
      </c>
    </row>
    <row r="206" spans="26:41" x14ac:dyDescent="0.25">
      <c r="Z206" s="154" t="str">
        <f>CONCATENATE(AE206,Times!AD206)</f>
        <v>SFEast End Road Runners</v>
      </c>
      <c r="AA206" s="154" t="str">
        <f>Times!AD206</f>
        <v>FEast End Road Runners</v>
      </c>
      <c r="AB206" s="154" t="str">
        <f>IF(AK206="Y",CONCATENATE(AA206,COUNTIFS($AK$2:AK206,"=Y",$AA$2:AA206,AA206)),"")</f>
        <v>FEast End Road Runners4</v>
      </c>
      <c r="AC206" s="154" t="str">
        <f>Times!K206</f>
        <v>Katie Self</v>
      </c>
      <c r="AD206" s="154">
        <f>Times!G206</f>
        <v>54</v>
      </c>
      <c r="AE206" s="154" t="str">
        <f>IF(Times!D206&lt;&gt;"",IF(ISERR(SEARCH("V",Times!I206,1)),IF(ISERR(SEARCH("S",Times!I206,1)),"S","S"),"V"),"")</f>
        <v>S</v>
      </c>
      <c r="AF206" s="161">
        <f>IF(Times!D206&lt;&gt;"",SUMIFS(Times!$G$2:G206,$AA$2:AA206,AA206,$AK$2:AK206,"Y"),"")</f>
        <v>145</v>
      </c>
      <c r="AG206" s="154" t="str">
        <f>IF(Times!D206&lt;&gt;"",IF(AND(Times!J206="M",AI206+AL206=AM206,AK206="Y"),AF206,""),"")</f>
        <v/>
      </c>
      <c r="AH206" s="154">
        <f>IF(Times!D206&lt;&gt;"",IF(AND(Times!J206="F",AI206+AL206=AM206,AK206="Y"),AF206,""),"")</f>
        <v>145</v>
      </c>
      <c r="AI206" s="154">
        <f>COUNTIF(Z$2:Z206,CONCATENATE("V",AA206))</f>
        <v>2</v>
      </c>
      <c r="AJ206" s="154">
        <f>COUNTIF(Z$2:Z206,CONCATENATE("S",AA206))</f>
        <v>2</v>
      </c>
      <c r="AK206" s="154" t="str">
        <f t="shared" si="89"/>
        <v>Y</v>
      </c>
      <c r="AL206" s="154">
        <f>IF(AND(Times!J206="M",AJ206&gt;3),3, IF(AND(Times!J206="F",AJ206&gt;2),2,AJ206))</f>
        <v>2</v>
      </c>
      <c r="AM206" s="154">
        <f>IF(Times!J206="M",6, IF(Times!J206="F",4,""))</f>
        <v>4</v>
      </c>
      <c r="AN206" s="154" t="str">
        <f t="shared" si="90"/>
        <v/>
      </c>
      <c r="AO206" s="154">
        <f t="shared" si="91"/>
        <v>7</v>
      </c>
    </row>
    <row r="207" spans="26:41" x14ac:dyDescent="0.25">
      <c r="Z207" s="154" t="str">
        <f>CONCATENATE(AE207,Times!AD207)</f>
        <v>VFIlford AC</v>
      </c>
      <c r="AA207" s="154" t="str">
        <f>Times!AD207</f>
        <v>FIlford AC</v>
      </c>
      <c r="AB207" s="154" t="str">
        <f>IF(AK207="Y",CONCATENATE(AA207,COUNTIFS($AK$2:AK207,"=Y",$AA$2:AA207,AA207)),"")</f>
        <v/>
      </c>
      <c r="AC207" s="154" t="str">
        <f>Times!K207</f>
        <v>Alison Sale</v>
      </c>
      <c r="AD207" s="154">
        <f>Times!G207</f>
        <v>55</v>
      </c>
      <c r="AE207" s="154" t="str">
        <f>IF(Times!D207&lt;&gt;"",IF(ISERR(SEARCH("V",Times!I207,1)),IF(ISERR(SEARCH("S",Times!I207,1)),"S","S"),"V"),"")</f>
        <v>V</v>
      </c>
      <c r="AF207" s="161">
        <f>IF(Times!D207&lt;&gt;"",SUMIFS(Times!$G$2:G207,$AA$2:AA207,AA207,$AK$2:AK207,"Y"),"")</f>
        <v>58</v>
      </c>
      <c r="AG207" s="154" t="str">
        <f>IF(Times!D207&lt;&gt;"",IF(AND(Times!J207="M",AI207+AL207=AM207,AK207="Y"),AF207,""),"")</f>
        <v/>
      </c>
      <c r="AH207" s="154" t="str">
        <f>IF(Times!D207&lt;&gt;"",IF(AND(Times!J207="F",AI207+AL207=AM207,AK207="Y"),AF207,""),"")</f>
        <v/>
      </c>
      <c r="AI207" s="154">
        <f>COUNTIF(Z$2:Z207,CONCATENATE("V",AA207))</f>
        <v>4</v>
      </c>
      <c r="AJ207" s="154">
        <f>COUNTIF(Z$2:Z207,CONCATENATE("S",AA207))</f>
        <v>4</v>
      </c>
      <c r="AK207" s="154" t="str">
        <f t="shared" si="89"/>
        <v>N</v>
      </c>
      <c r="AL207" s="154">
        <f>IF(AND(Times!J207="M",AJ207&gt;3),3, IF(AND(Times!J207="F",AJ207&gt;2),2,AJ207))</f>
        <v>2</v>
      </c>
      <c r="AM207" s="154">
        <f>IF(Times!J207="M",6, IF(Times!J207="F",4,""))</f>
        <v>4</v>
      </c>
      <c r="AN207" s="154" t="str">
        <f t="shared" si="90"/>
        <v/>
      </c>
      <c r="AO207" s="154" t="str">
        <f t="shared" si="91"/>
        <v/>
      </c>
    </row>
    <row r="208" spans="26:41" x14ac:dyDescent="0.25">
      <c r="Z208" s="154" t="str">
        <f>CONCATENATE(AE208,Times!AD208)</f>
        <v>VFHarold Wood Running Club</v>
      </c>
      <c r="AA208" s="154" t="str">
        <f>Times!AD208</f>
        <v>FHarold Wood Running Club</v>
      </c>
      <c r="AB208" s="154" t="str">
        <f>IF(AK208="Y",CONCATENATE(AA208,COUNTIFS($AK$2:AK208,"=Y",$AA$2:AA208,AA208)),"")</f>
        <v/>
      </c>
      <c r="AC208" s="154" t="str">
        <f>Times!K208</f>
        <v>Lynsey Mann</v>
      </c>
      <c r="AD208" s="154">
        <f>Times!G208</f>
        <v>56</v>
      </c>
      <c r="AE208" s="154" t="str">
        <f>IF(Times!D208&lt;&gt;"",IF(ISERR(SEARCH("V",Times!I208,1)),IF(ISERR(SEARCH("S",Times!I208,1)),"S","S"),"V"),"")</f>
        <v>V</v>
      </c>
      <c r="AF208" s="161">
        <f>IF(Times!D208&lt;&gt;"",SUMIFS(Times!$G$2:G208,$AA$2:AA208,AA208,$AK$2:AK208,"Y"),"")</f>
        <v>97</v>
      </c>
      <c r="AG208" s="154" t="str">
        <f>IF(Times!D208&lt;&gt;"",IF(AND(Times!J208="M",AI208+AL208=AM208,AK208="Y"),AF208,""),"")</f>
        <v/>
      </c>
      <c r="AH208" s="154" t="str">
        <f>IF(Times!D208&lt;&gt;"",IF(AND(Times!J208="F",AI208+AL208=AM208,AK208="Y"),AF208,""),"")</f>
        <v/>
      </c>
      <c r="AI208" s="154">
        <f>COUNTIF(Z$2:Z208,CONCATENATE("V",AA208))</f>
        <v>4</v>
      </c>
      <c r="AJ208" s="154">
        <f>COUNTIF(Z$2:Z208,CONCATENATE("S",AA208))</f>
        <v>1</v>
      </c>
      <c r="AK208" s="154" t="str">
        <f t="shared" si="89"/>
        <v>N</v>
      </c>
      <c r="AL208" s="154">
        <f>IF(AND(Times!J208="M",AJ208&gt;3),3, IF(AND(Times!J208="F",AJ208&gt;2),2,AJ208))</f>
        <v>1</v>
      </c>
      <c r="AM208" s="154">
        <f>IF(Times!J208="M",6, IF(Times!J208="F",4,""))</f>
        <v>4</v>
      </c>
      <c r="AN208" s="154" t="str">
        <f t="shared" si="90"/>
        <v/>
      </c>
      <c r="AO208" s="154" t="str">
        <f t="shared" si="91"/>
        <v/>
      </c>
    </row>
    <row r="209" spans="26:41" x14ac:dyDescent="0.25">
      <c r="Z209" s="154" t="str">
        <f>CONCATENATE(AE209,Times!AD209)</f>
        <v>VFEton Manor AC</v>
      </c>
      <c r="AA209" s="154" t="str">
        <f>Times!AD209</f>
        <v>FEton Manor AC</v>
      </c>
      <c r="AB209" s="154" t="str">
        <f>IF(AK209="Y",CONCATENATE(AA209,COUNTIFS($AK$2:AK209,"=Y",$AA$2:AA209,AA209)),"")</f>
        <v/>
      </c>
      <c r="AC209" s="154" t="str">
        <f>Times!K209</f>
        <v>Fen Coles</v>
      </c>
      <c r="AD209" s="154">
        <f>Times!G209</f>
        <v>57</v>
      </c>
      <c r="AE209" s="154" t="str">
        <f>IF(Times!D209&lt;&gt;"",IF(ISERR(SEARCH("V",Times!I209,1)),IF(ISERR(SEARCH("S",Times!I209,1)),"S","S"),"V"),"")</f>
        <v>V</v>
      </c>
      <c r="AF209" s="161">
        <f>IF(Times!D209&lt;&gt;"",SUMIFS(Times!$G$2:G209,$AA$2:AA209,AA209,$AK$2:AK209,"Y"),"")</f>
        <v>60</v>
      </c>
      <c r="AG209" s="154" t="str">
        <f>IF(Times!D209&lt;&gt;"",IF(AND(Times!J209="M",AI209+AL209=AM209,AK209="Y"),AF209,""),"")</f>
        <v/>
      </c>
      <c r="AH209" s="154" t="str">
        <f>IF(Times!D209&lt;&gt;"",IF(AND(Times!J209="F",AI209+AL209=AM209,AK209="Y"),AF209,""),"")</f>
        <v/>
      </c>
      <c r="AI209" s="154">
        <f>COUNTIF(Z$2:Z209,CONCATENATE("V",AA209))</f>
        <v>8</v>
      </c>
      <c r="AJ209" s="154">
        <f>COUNTIF(Z$2:Z209,CONCATENATE("S",AA209))</f>
        <v>0</v>
      </c>
      <c r="AK209" s="154" t="str">
        <f t="shared" si="89"/>
        <v>N</v>
      </c>
      <c r="AL209" s="154">
        <f>IF(AND(Times!J209="M",AJ209&gt;3),3, IF(AND(Times!J209="F",AJ209&gt;2),2,AJ209))</f>
        <v>0</v>
      </c>
      <c r="AM209" s="154">
        <f>IF(Times!J209="M",6, IF(Times!J209="F",4,""))</f>
        <v>4</v>
      </c>
      <c r="AN209" s="154" t="str">
        <f t="shared" si="90"/>
        <v/>
      </c>
      <c r="AO209" s="154" t="str">
        <f t="shared" si="91"/>
        <v/>
      </c>
    </row>
    <row r="210" spans="26:41" x14ac:dyDescent="0.25">
      <c r="Z210" s="154" t="str">
        <f>CONCATENATE(AE210,Times!AD210)</f>
        <v>VMEast London Runners</v>
      </c>
      <c r="AA210" s="154" t="str">
        <f>Times!AD210</f>
        <v>MEast London Runners</v>
      </c>
      <c r="AB210" s="154" t="str">
        <f>IF(AK210="Y",CONCATENATE(AA210,COUNTIFS($AK$2:AK210,"=Y",$AA$2:AA210,AA210)),"")</f>
        <v/>
      </c>
      <c r="AC210" s="154" t="str">
        <f>Times!K210</f>
        <v>Arthur Diaz</v>
      </c>
      <c r="AD210" s="154">
        <f>Times!G210</f>
        <v>152</v>
      </c>
      <c r="AE210" s="154" t="str">
        <f>IF(Times!D210&lt;&gt;"",IF(ISERR(SEARCH("V",Times!I210,1)),IF(ISERR(SEARCH("S",Times!I210,1)),"S","S"),"V"),"")</f>
        <v>V</v>
      </c>
      <c r="AF210" s="161">
        <f>IF(Times!D210&lt;&gt;"",SUMIFS(Times!$G$2:G210,$AA$2:AA210,AA210,$AK$2:AK210,"Y"),"")</f>
        <v>84</v>
      </c>
      <c r="AG210" s="154" t="str">
        <f>IF(Times!D210&lt;&gt;"",IF(AND(Times!J210="M",AI210+AL210=AM210,AK210="Y"),AF210,""),"")</f>
        <v/>
      </c>
      <c r="AH210" s="154" t="str">
        <f>IF(Times!D210&lt;&gt;"",IF(AND(Times!J210="F",AI210+AL210=AM210,AK210="Y"),AF210,""),"")</f>
        <v/>
      </c>
      <c r="AI210" s="154">
        <f>COUNTIF(Z$2:Z210,CONCATENATE("V",AA210))</f>
        <v>28</v>
      </c>
      <c r="AJ210" s="154">
        <f>COUNTIF(Z$2:Z210,CONCATENATE("S",AA210))</f>
        <v>19</v>
      </c>
      <c r="AK210" s="154" t="str">
        <f t="shared" si="89"/>
        <v>N</v>
      </c>
      <c r="AL210" s="154">
        <f>IF(AND(Times!J210="M",AJ210&gt;3),3, IF(AND(Times!J210="F",AJ210&gt;2),2,AJ210))</f>
        <v>3</v>
      </c>
      <c r="AM210" s="154">
        <f>IF(Times!J210="M",6, IF(Times!J210="F",4,""))</f>
        <v>6</v>
      </c>
      <c r="AN210" s="154" t="str">
        <f t="shared" si="90"/>
        <v/>
      </c>
      <c r="AO210" s="154" t="str">
        <f t="shared" si="91"/>
        <v/>
      </c>
    </row>
    <row r="211" spans="26:41" x14ac:dyDescent="0.25">
      <c r="Z211" s="154" t="str">
        <f>CONCATENATE(AE211,Times!AD211)</f>
        <v>VFEast London Runners</v>
      </c>
      <c r="AA211" s="154" t="str">
        <f>Times!AD211</f>
        <v>FEast London Runners</v>
      </c>
      <c r="AB211" s="154" t="str">
        <f>IF(AK211="Y",CONCATENATE(AA211,COUNTIFS($AK$2:AK211,"=Y",$AA$2:AA211,AA211)),"")</f>
        <v/>
      </c>
      <c r="AC211" s="154" t="str">
        <f>Times!K211</f>
        <v>Mary O'Brien</v>
      </c>
      <c r="AD211" s="154">
        <f>Times!G211</f>
        <v>58</v>
      </c>
      <c r="AE211" s="154" t="str">
        <f>IF(Times!D211&lt;&gt;"",IF(ISERR(SEARCH("V",Times!I211,1)),IF(ISERR(SEARCH("S",Times!I211,1)),"S","S"),"V"),"")</f>
        <v>V</v>
      </c>
      <c r="AF211" s="161">
        <f>IF(Times!D211&lt;&gt;"",SUMIFS(Times!$G$2:G211,$AA$2:AA211,AA211,$AK$2:AK211,"Y"),"")</f>
        <v>27</v>
      </c>
      <c r="AG211" s="154" t="str">
        <f>IF(Times!D211&lt;&gt;"",IF(AND(Times!J211="M",AI211+AL211=AM211,AK211="Y"),AF211,""),"")</f>
        <v/>
      </c>
      <c r="AH211" s="154" t="str">
        <f>IF(Times!D211&lt;&gt;"",IF(AND(Times!J211="F",AI211+AL211=AM211,AK211="Y"),AF211,""),"")</f>
        <v/>
      </c>
      <c r="AI211" s="154">
        <f>COUNTIF(Z$2:Z211,CONCATENATE("V",AA211))</f>
        <v>8</v>
      </c>
      <c r="AJ211" s="154">
        <f>COUNTIF(Z$2:Z211,CONCATENATE("S",AA211))</f>
        <v>4</v>
      </c>
      <c r="AK211" s="154" t="str">
        <f t="shared" si="89"/>
        <v>N</v>
      </c>
      <c r="AL211" s="154">
        <f>IF(AND(Times!J211="M",AJ211&gt;3),3, IF(AND(Times!J211="F",AJ211&gt;2),2,AJ211))</f>
        <v>2</v>
      </c>
      <c r="AM211" s="154">
        <f>IF(Times!J211="M",6, IF(Times!J211="F",4,""))</f>
        <v>4</v>
      </c>
      <c r="AN211" s="154" t="str">
        <f t="shared" si="90"/>
        <v/>
      </c>
      <c r="AO211" s="154" t="str">
        <f t="shared" si="91"/>
        <v/>
      </c>
    </row>
    <row r="212" spans="26:41" x14ac:dyDescent="0.25">
      <c r="Z212" s="154" t="str">
        <f>CONCATENATE(AE212,Times!AD212)</f>
        <v>VMBarking Road Runners</v>
      </c>
      <c r="AA212" s="154" t="str">
        <f>Times!AD212</f>
        <v>MBarking Road Runners</v>
      </c>
      <c r="AB212" s="154" t="str">
        <f>IF(AK212="Y",CONCATENATE(AA212,COUNTIFS($AK$2:AK212,"=Y",$AA$2:AA212,AA212)),"")</f>
        <v/>
      </c>
      <c r="AC212" s="154" t="str">
        <f>Times!K212</f>
        <v>Martin Mason</v>
      </c>
      <c r="AD212" s="154">
        <f>Times!G212</f>
        <v>153</v>
      </c>
      <c r="AE212" s="154" t="str">
        <f>IF(Times!D212&lt;&gt;"",IF(ISERR(SEARCH("V",Times!I212,1)),IF(ISERR(SEARCH("S",Times!I212,1)),"S","S"),"V"),"")</f>
        <v>V</v>
      </c>
      <c r="AF212" s="161">
        <f>IF(Times!D212&lt;&gt;"",SUMIFS(Times!$G$2:G212,$AA$2:AA212,AA212,$AK$2:AK212,"Y"),"")</f>
        <v>220</v>
      </c>
      <c r="AG212" s="154" t="str">
        <f>IF(Times!D212&lt;&gt;"",IF(AND(Times!J212="M",AI212+AL212=AM212,AK212="Y"),AF212,""),"")</f>
        <v/>
      </c>
      <c r="AH212" s="154" t="str">
        <f>IF(Times!D212&lt;&gt;"",IF(AND(Times!J212="F",AI212+AL212=AM212,AK212="Y"),AF212,""),"")</f>
        <v/>
      </c>
      <c r="AI212" s="154">
        <f>COUNTIF(Z$2:Z212,CONCATENATE("V",AA212))</f>
        <v>6</v>
      </c>
      <c r="AJ212" s="154">
        <f>COUNTIF(Z$2:Z212,CONCATENATE("S",AA212))</f>
        <v>5</v>
      </c>
      <c r="AK212" s="154" t="str">
        <f t="shared" si="89"/>
        <v>N</v>
      </c>
      <c r="AL212" s="154">
        <f>IF(AND(Times!J212="M",AJ212&gt;3),3, IF(AND(Times!J212="F",AJ212&gt;2),2,AJ212))</f>
        <v>3</v>
      </c>
      <c r="AM212" s="154">
        <f>IF(Times!J212="M",6, IF(Times!J212="F",4,""))</f>
        <v>6</v>
      </c>
      <c r="AN212" s="154" t="str">
        <f t="shared" si="90"/>
        <v/>
      </c>
      <c r="AO212" s="154" t="str">
        <f t="shared" si="91"/>
        <v/>
      </c>
    </row>
    <row r="213" spans="26:41" x14ac:dyDescent="0.25">
      <c r="Z213" s="154" t="str">
        <f>CONCATENATE(AE213,Times!AD213)</f>
        <v>VFHavering 90 Joggers</v>
      </c>
      <c r="AA213" s="154" t="str">
        <f>Times!AD213</f>
        <v>FHavering 90 Joggers</v>
      </c>
      <c r="AB213" s="154" t="str">
        <f>IF(AK213="Y",CONCATENATE(AA213,COUNTIFS($AK$2:AK213,"=Y",$AA$2:AA213,AA213)),"")</f>
        <v>FHavering 90 Joggers4</v>
      </c>
      <c r="AC213" s="154" t="str">
        <f>Times!K213</f>
        <v>Michele Sullivan</v>
      </c>
      <c r="AD213" s="154">
        <f>Times!G213</f>
        <v>59</v>
      </c>
      <c r="AE213" s="154" t="str">
        <f>IF(Times!D213&lt;&gt;"",IF(ISERR(SEARCH("V",Times!I213,1)),IF(ISERR(SEARCH("S",Times!I213,1)),"S","S"),"V"),"")</f>
        <v>V</v>
      </c>
      <c r="AF213" s="161">
        <f>IF(Times!D213&lt;&gt;"",SUMIFS(Times!$G$2:G213,$AA$2:AA213,AA213,$AK$2:AK213,"Y"),"")</f>
        <v>203</v>
      </c>
      <c r="AG213" s="154" t="str">
        <f>IF(Times!D213&lt;&gt;"",IF(AND(Times!J213="M",AI213+AL213=AM213,AK213="Y"),AF213,""),"")</f>
        <v/>
      </c>
      <c r="AH213" s="154">
        <f>IF(Times!D213&lt;&gt;"",IF(AND(Times!J213="F",AI213+AL213=AM213,AK213="Y"),AF213,""),"")</f>
        <v>203</v>
      </c>
      <c r="AI213" s="154">
        <f>COUNTIF(Z$2:Z213,CONCATENATE("V",AA213))</f>
        <v>4</v>
      </c>
      <c r="AJ213" s="154">
        <f>COUNTIF(Z$2:Z213,CONCATENATE("S",AA213))</f>
        <v>0</v>
      </c>
      <c r="AK213" s="154" t="str">
        <f t="shared" si="89"/>
        <v>Y</v>
      </c>
      <c r="AL213" s="154">
        <f>IF(AND(Times!J213="M",AJ213&gt;3),3, IF(AND(Times!J213="F",AJ213&gt;2),2,AJ213))</f>
        <v>0</v>
      </c>
      <c r="AM213" s="154">
        <f>IF(Times!J213="M",6, IF(Times!J213="F",4,""))</f>
        <v>4</v>
      </c>
      <c r="AN213" s="154" t="str">
        <f t="shared" si="90"/>
        <v/>
      </c>
      <c r="AO213" s="154">
        <f t="shared" si="91"/>
        <v>8</v>
      </c>
    </row>
    <row r="214" spans="26:41" x14ac:dyDescent="0.25">
      <c r="Z214" s="154" t="str">
        <f>CONCATENATE(AE214,Times!AD214)</f>
        <v>VMWare Joggers</v>
      </c>
      <c r="AA214" s="154" t="str">
        <f>Times!AD214</f>
        <v>MWare Joggers</v>
      </c>
      <c r="AB214" s="154" t="str">
        <f>IF(AK214="Y",CONCATENATE(AA214,COUNTIFS($AK$2:AK214,"=Y",$AA$2:AA214,AA214)),"")</f>
        <v>MWare Joggers1</v>
      </c>
      <c r="AC214" s="154" t="str">
        <f>Times!K214</f>
        <v>Phil Hudson</v>
      </c>
      <c r="AD214" s="154">
        <f>Times!G214</f>
        <v>154</v>
      </c>
      <c r="AE214" s="154" t="str">
        <f>IF(Times!D214&lt;&gt;"",IF(ISERR(SEARCH("V",Times!I214,1)),IF(ISERR(SEARCH("S",Times!I214,1)),"S","S"),"V"),"")</f>
        <v>V</v>
      </c>
      <c r="AF214" s="161">
        <f>IF(Times!D214&lt;&gt;"",SUMIFS(Times!$G$2:G214,$AA$2:AA214,AA214,$AK$2:AK214,"Y"),"")</f>
        <v>154</v>
      </c>
      <c r="AG214" s="154" t="str">
        <f>IF(Times!D214&lt;&gt;"",IF(AND(Times!J214="M",AI214+AL214=AM214,AK214="Y"),AF214,""),"")</f>
        <v/>
      </c>
      <c r="AH214" s="154" t="str">
        <f>IF(Times!D214&lt;&gt;"",IF(AND(Times!J214="F",AI214+AL214=AM214,AK214="Y"),AF214,""),"")</f>
        <v/>
      </c>
      <c r="AI214" s="154">
        <f>COUNTIF(Z$2:Z214,CONCATENATE("V",AA214))</f>
        <v>1</v>
      </c>
      <c r="AJ214" s="154">
        <f>COUNTIF(Z$2:Z214,CONCATENATE("S",AA214))</f>
        <v>0</v>
      </c>
      <c r="AK214" s="154" t="str">
        <f t="shared" si="89"/>
        <v>Y</v>
      </c>
      <c r="AL214" s="154">
        <f>IF(AND(Times!J214="M",AJ214&gt;3),3, IF(AND(Times!J214="F",AJ214&gt;2),2,AJ214))</f>
        <v>0</v>
      </c>
      <c r="AM214" s="154">
        <f>IF(Times!J214="M",6, IF(Times!J214="F",4,""))</f>
        <v>6</v>
      </c>
      <c r="AN214" s="154" t="str">
        <f t="shared" si="90"/>
        <v/>
      </c>
      <c r="AO214" s="154" t="str">
        <f t="shared" si="91"/>
        <v/>
      </c>
    </row>
    <row r="215" spans="26:41" x14ac:dyDescent="0.25">
      <c r="Z215" s="154" t="str">
        <f>CONCATENATE(AE215,Times!AD215)</f>
        <v>VForion harriers</v>
      </c>
      <c r="AA215" s="154" t="str">
        <f>Times!AD215</f>
        <v>Forion harriers</v>
      </c>
      <c r="AB215" s="154" t="str">
        <f>IF(AK215="Y",CONCATENATE(AA215,COUNTIFS($AK$2:AK215,"=Y",$AA$2:AA215,AA215)),"")</f>
        <v/>
      </c>
      <c r="AC215" s="154" t="str">
        <f>Times!K215</f>
        <v>Lisa Smith</v>
      </c>
      <c r="AD215" s="154">
        <f>Times!G215</f>
        <v>60</v>
      </c>
      <c r="AE215" s="154" t="str">
        <f>IF(Times!D215&lt;&gt;"",IF(ISERR(SEARCH("V",Times!I215,1)),IF(ISERR(SEARCH("S",Times!I215,1)),"S","S"),"V"),"")</f>
        <v>V</v>
      </c>
      <c r="AF215" s="161">
        <f>IF(Times!D215&lt;&gt;"",SUMIFS(Times!$G$2:G215,$AA$2:AA215,AA215,$AK$2:AK215,"Y"),"")</f>
        <v>59</v>
      </c>
      <c r="AG215" s="154" t="str">
        <f>IF(Times!D215&lt;&gt;"",IF(AND(Times!J215="M",AI215+AL215=AM215,AK215="Y"),AF215,""),"")</f>
        <v/>
      </c>
      <c r="AH215" s="154" t="str">
        <f>IF(Times!D215&lt;&gt;"",IF(AND(Times!J215="F",AI215+AL215=AM215,AK215="Y"),AF215,""),"")</f>
        <v/>
      </c>
      <c r="AI215" s="154">
        <f>COUNTIF(Z$2:Z215,CONCATENATE("V",AA215))</f>
        <v>8</v>
      </c>
      <c r="AJ215" s="154">
        <f>COUNTIF(Z$2:Z215,CONCATENATE("S",AA215))</f>
        <v>0</v>
      </c>
      <c r="AK215" s="154" t="str">
        <f t="shared" si="89"/>
        <v>N</v>
      </c>
      <c r="AL215" s="154">
        <f>IF(AND(Times!J215="M",AJ215&gt;3),3, IF(AND(Times!J215="F",AJ215&gt;2),2,AJ215))</f>
        <v>0</v>
      </c>
      <c r="AM215" s="154">
        <f>IF(Times!J215="M",6, IF(Times!J215="F",4,""))</f>
        <v>4</v>
      </c>
      <c r="AN215" s="154" t="str">
        <f t="shared" si="90"/>
        <v/>
      </c>
      <c r="AO215" s="154" t="str">
        <f t="shared" si="91"/>
        <v/>
      </c>
    </row>
    <row r="216" spans="26:41" x14ac:dyDescent="0.25">
      <c r="Z216" s="154" t="str">
        <f>CONCATENATE(AE216,Times!AD216)</f>
        <v>VFEast London Runners</v>
      </c>
      <c r="AA216" s="154" t="str">
        <f>Times!AD216</f>
        <v>FEast London Runners</v>
      </c>
      <c r="AB216" s="154" t="str">
        <f>IF(AK216="Y",CONCATENATE(AA216,COUNTIFS($AK$2:AK216,"=Y",$AA$2:AA216,AA216)),"")</f>
        <v/>
      </c>
      <c r="AC216" s="154" t="str">
        <f>Times!K216</f>
        <v>Alexandra Rutishauser-Perera</v>
      </c>
      <c r="AD216" s="154">
        <f>Times!G216</f>
        <v>61</v>
      </c>
      <c r="AE216" s="154" t="str">
        <f>IF(Times!D216&lt;&gt;"",IF(ISERR(SEARCH("V",Times!I216,1)),IF(ISERR(SEARCH("S",Times!I216,1)),"S","S"),"V"),"")</f>
        <v>V</v>
      </c>
      <c r="AF216" s="161">
        <f>IF(Times!D216&lt;&gt;"",SUMIFS(Times!$G$2:G216,$AA$2:AA216,AA216,$AK$2:AK216,"Y"),"")</f>
        <v>27</v>
      </c>
      <c r="AG216" s="154" t="str">
        <f>IF(Times!D216&lt;&gt;"",IF(AND(Times!J216="M",AI216+AL216=AM216,AK216="Y"),AF216,""),"")</f>
        <v/>
      </c>
      <c r="AH216" s="154" t="str">
        <f>IF(Times!D216&lt;&gt;"",IF(AND(Times!J216="F",AI216+AL216=AM216,AK216="Y"),AF216,""),"")</f>
        <v/>
      </c>
      <c r="AI216" s="154">
        <f>COUNTIF(Z$2:Z216,CONCATENATE("V",AA216))</f>
        <v>9</v>
      </c>
      <c r="AJ216" s="154">
        <f>COUNTIF(Z$2:Z216,CONCATENATE("S",AA216))</f>
        <v>4</v>
      </c>
      <c r="AK216" s="154" t="str">
        <f t="shared" si="89"/>
        <v>N</v>
      </c>
      <c r="AL216" s="154">
        <f>IF(AND(Times!J216="M",AJ216&gt;3),3, IF(AND(Times!J216="F",AJ216&gt;2),2,AJ216))</f>
        <v>2</v>
      </c>
      <c r="AM216" s="154">
        <f>IF(Times!J216="M",6, IF(Times!J216="F",4,""))</f>
        <v>4</v>
      </c>
      <c r="AN216" s="154" t="str">
        <f t="shared" si="90"/>
        <v/>
      </c>
      <c r="AO216" s="154" t="str">
        <f t="shared" si="91"/>
        <v/>
      </c>
    </row>
    <row r="217" spans="26:41" x14ac:dyDescent="0.25">
      <c r="Z217" s="154" t="str">
        <f>CONCATENATE(AE217,Times!AD217)</f>
        <v>VMHarold Wood Running Club</v>
      </c>
      <c r="AA217" s="154" t="str">
        <f>Times!AD217</f>
        <v>MHarold Wood Running Club</v>
      </c>
      <c r="AB217" s="154" t="str">
        <f>IF(AK217="Y",CONCATENATE(AA217,COUNTIFS($AK$2:AK217,"=Y",$AA$2:AA217,AA217)),"")</f>
        <v>MHarold Wood Running Club6</v>
      </c>
      <c r="AC217" s="154" t="str">
        <f>Times!K217</f>
        <v>Richard Rockliffe</v>
      </c>
      <c r="AD217" s="154">
        <f>Times!G217</f>
        <v>155</v>
      </c>
      <c r="AE217" s="154" t="str">
        <f>IF(Times!D217&lt;&gt;"",IF(ISERR(SEARCH("V",Times!I217,1)),IF(ISERR(SEARCH("S",Times!I217,1)),"S","S"),"V"),"")</f>
        <v>V</v>
      </c>
      <c r="AF217" s="161">
        <f>IF(Times!D217&lt;&gt;"",SUMIFS(Times!$G$2:G217,$AA$2:AA217,AA217,$AK$2:AK217,"Y"),"")</f>
        <v>506</v>
      </c>
      <c r="AG217" s="154">
        <f>IF(Times!D217&lt;&gt;"",IF(AND(Times!J217="M",AI217+AL217=AM217,AK217="Y"),AF217,""),"")</f>
        <v>506</v>
      </c>
      <c r="AH217" s="154" t="str">
        <f>IF(Times!D217&lt;&gt;"",IF(AND(Times!J217="F",AI217+AL217=AM217,AK217="Y"),AF217,""),"")</f>
        <v/>
      </c>
      <c r="AI217" s="154">
        <f>COUNTIF(Z$2:Z217,CONCATENATE("V",AA217))</f>
        <v>3</v>
      </c>
      <c r="AJ217" s="154">
        <f>COUNTIF(Z$2:Z217,CONCATENATE("S",AA217))</f>
        <v>6</v>
      </c>
      <c r="AK217" s="154" t="str">
        <f t="shared" si="89"/>
        <v>Y</v>
      </c>
      <c r="AL217" s="154">
        <f>IF(AND(Times!J217="M",AJ217&gt;3),3, IF(AND(Times!J217="F",AJ217&gt;2),2,AJ217))</f>
        <v>3</v>
      </c>
      <c r="AM217" s="154">
        <f>IF(Times!J217="M",6, IF(Times!J217="F",4,""))</f>
        <v>6</v>
      </c>
      <c r="AN217" s="154">
        <f t="shared" si="90"/>
        <v>7</v>
      </c>
      <c r="AO217" s="154" t="str">
        <f t="shared" si="91"/>
        <v/>
      </c>
    </row>
    <row r="218" spans="26:41" x14ac:dyDescent="0.25">
      <c r="Z218" s="154" t="str">
        <f>CONCATENATE(AE218,Times!AD218)</f>
        <v>SMDagenham 88 Runners</v>
      </c>
      <c r="AA218" s="154" t="str">
        <f>Times!AD218</f>
        <v>MDagenham 88 Runners</v>
      </c>
      <c r="AB218" s="154" t="str">
        <f>IF(AK218="Y",CONCATENATE(AA218,COUNTIFS($AK$2:AK218,"=Y",$AA$2:AA218,AA218)),"")</f>
        <v/>
      </c>
      <c r="AC218" s="154" t="str">
        <f>Times!K218</f>
        <v>Luke Summers</v>
      </c>
      <c r="AD218" s="154">
        <f>Times!G218</f>
        <v>156</v>
      </c>
      <c r="AE218" s="154" t="str">
        <f>IF(Times!D218&lt;&gt;"",IF(ISERR(SEARCH("V",Times!I218,1)),IF(ISERR(SEARCH("S",Times!I218,1)),"S","S"),"V"),"")</f>
        <v>S</v>
      </c>
      <c r="AF218" s="161">
        <f>IF(Times!D218&lt;&gt;"",SUMIFS(Times!$G$2:G218,$AA$2:AA218,AA218,$AK$2:AK218,"Y"),"")</f>
        <v>529</v>
      </c>
      <c r="AG218" s="154" t="str">
        <f>IF(Times!D218&lt;&gt;"",IF(AND(Times!J218="M",AI218+AL218=AM218,AK218="Y"),AF218,""),"")</f>
        <v/>
      </c>
      <c r="AH218" s="154" t="str">
        <f>IF(Times!D218&lt;&gt;"",IF(AND(Times!J218="F",AI218+AL218=AM218,AK218="Y"),AF218,""),"")</f>
        <v/>
      </c>
      <c r="AI218" s="154">
        <f>COUNTIF(Z$2:Z218,CONCATENATE("V",AA218))</f>
        <v>6</v>
      </c>
      <c r="AJ218" s="154">
        <f>COUNTIF(Z$2:Z218,CONCATENATE("S",AA218))</f>
        <v>4</v>
      </c>
      <c r="AK218" s="154" t="str">
        <f t="shared" si="89"/>
        <v>N</v>
      </c>
      <c r="AL218" s="154">
        <f>IF(AND(Times!J218="M",AJ218&gt;3),3, IF(AND(Times!J218="F",AJ218&gt;2),2,AJ218))</f>
        <v>3</v>
      </c>
      <c r="AM218" s="154">
        <f>IF(Times!J218="M",6, IF(Times!J218="F",4,""))</f>
        <v>6</v>
      </c>
      <c r="AN218" s="154" t="str">
        <f t="shared" si="90"/>
        <v/>
      </c>
      <c r="AO218" s="154" t="str">
        <f t="shared" si="91"/>
        <v/>
      </c>
    </row>
    <row r="219" spans="26:41" x14ac:dyDescent="0.25">
      <c r="Z219" s="154" t="str">
        <f>CONCATENATE(AE219,Times!AD219)</f>
        <v>VFEast London Runners</v>
      </c>
      <c r="AA219" s="154" t="str">
        <f>Times!AD219</f>
        <v>FEast London Runners</v>
      </c>
      <c r="AB219" s="154" t="str">
        <f>IF(AK219="Y",CONCATENATE(AA219,COUNTIFS($AK$2:AK219,"=Y",$AA$2:AA219,AA219)),"")</f>
        <v/>
      </c>
      <c r="AC219" s="154" t="str">
        <f>Times!K219</f>
        <v>Fiona Day</v>
      </c>
      <c r="AD219" s="154">
        <f>Times!G219</f>
        <v>62</v>
      </c>
      <c r="AE219" s="154" t="str">
        <f>IF(Times!D219&lt;&gt;"",IF(ISERR(SEARCH("V",Times!I219,1)),IF(ISERR(SEARCH("S",Times!I219,1)),"S","S"),"V"),"")</f>
        <v>V</v>
      </c>
      <c r="AF219" s="161">
        <f>IF(Times!D219&lt;&gt;"",SUMIFS(Times!$G$2:G219,$AA$2:AA219,AA219,$AK$2:AK219,"Y"),"")</f>
        <v>27</v>
      </c>
      <c r="AG219" s="154" t="str">
        <f>IF(Times!D219&lt;&gt;"",IF(AND(Times!J219="M",AI219+AL219=AM219,AK219="Y"),AF219,""),"")</f>
        <v/>
      </c>
      <c r="AH219" s="154" t="str">
        <f>IF(Times!D219&lt;&gt;"",IF(AND(Times!J219="F",AI219+AL219=AM219,AK219="Y"),AF219,""),"")</f>
        <v/>
      </c>
      <c r="AI219" s="154">
        <f>COUNTIF(Z$2:Z219,CONCATENATE("V",AA219))</f>
        <v>10</v>
      </c>
      <c r="AJ219" s="154">
        <f>COUNTIF(Z$2:Z219,CONCATENATE("S",AA219))</f>
        <v>4</v>
      </c>
      <c r="AK219" s="154" t="str">
        <f t="shared" si="89"/>
        <v>N</v>
      </c>
      <c r="AL219" s="154">
        <f>IF(AND(Times!J219="M",AJ219&gt;3),3, IF(AND(Times!J219="F",AJ219&gt;2),2,AJ219))</f>
        <v>2</v>
      </c>
      <c r="AM219" s="154">
        <f>IF(Times!J219="M",6, IF(Times!J219="F",4,""))</f>
        <v>4</v>
      </c>
      <c r="AN219" s="154" t="str">
        <f t="shared" si="90"/>
        <v/>
      </c>
      <c r="AO219" s="154" t="str">
        <f t="shared" si="91"/>
        <v/>
      </c>
    </row>
    <row r="220" spans="26:41" x14ac:dyDescent="0.25">
      <c r="Z220" s="154" t="str">
        <f>CONCATENATE(AE220,Times!AD220)</f>
        <v>VMDagenham 88 Runners</v>
      </c>
      <c r="AA220" s="154" t="str">
        <f>Times!AD220</f>
        <v>MDagenham 88 Runners</v>
      </c>
      <c r="AB220" s="154" t="str">
        <f>IF(AK220="Y",CONCATENATE(AA220,COUNTIFS($AK$2:AK220,"=Y",$AA$2:AA220,AA220)),"")</f>
        <v/>
      </c>
      <c r="AC220" s="154" t="str">
        <f>Times!K220</f>
        <v>Emdad Rahman</v>
      </c>
      <c r="AD220" s="154">
        <f>Times!G220</f>
        <v>157</v>
      </c>
      <c r="AE220" s="154" t="str">
        <f>IF(Times!D220&lt;&gt;"",IF(ISERR(SEARCH("V",Times!I220,1)),IF(ISERR(SEARCH("S",Times!I220,1)),"S","S"),"V"),"")</f>
        <v>V</v>
      </c>
      <c r="AF220" s="161">
        <f>IF(Times!D220&lt;&gt;"",SUMIFS(Times!$G$2:G220,$AA$2:AA220,AA220,$AK$2:AK220,"Y"),"")</f>
        <v>529</v>
      </c>
      <c r="AG220" s="154" t="str">
        <f>IF(Times!D220&lt;&gt;"",IF(AND(Times!J220="M",AI220+AL220=AM220,AK220="Y"),AF220,""),"")</f>
        <v/>
      </c>
      <c r="AH220" s="154" t="str">
        <f>IF(Times!D220&lt;&gt;"",IF(AND(Times!J220="F",AI220+AL220=AM220,AK220="Y"),AF220,""),"")</f>
        <v/>
      </c>
      <c r="AI220" s="154">
        <f>COUNTIF(Z$2:Z220,CONCATENATE("V",AA220))</f>
        <v>7</v>
      </c>
      <c r="AJ220" s="154">
        <f>COUNTIF(Z$2:Z220,CONCATENATE("S",AA220))</f>
        <v>4</v>
      </c>
      <c r="AK220" s="154" t="str">
        <f t="shared" si="89"/>
        <v>N</v>
      </c>
      <c r="AL220" s="154">
        <f>IF(AND(Times!J220="M",AJ220&gt;3),3, IF(AND(Times!J220="F",AJ220&gt;2),2,AJ220))</f>
        <v>3</v>
      </c>
      <c r="AM220" s="154">
        <f>IF(Times!J220="M",6, IF(Times!J220="F",4,""))</f>
        <v>6</v>
      </c>
      <c r="AN220" s="154" t="str">
        <f t="shared" si="90"/>
        <v/>
      </c>
      <c r="AO220" s="154" t="str">
        <f t="shared" si="91"/>
        <v/>
      </c>
    </row>
    <row r="221" spans="26:41" x14ac:dyDescent="0.25">
      <c r="Z221" s="154" t="str">
        <f>CONCATENATE(AE221,Times!AD221)</f>
        <v>VFEast London Runners</v>
      </c>
      <c r="AA221" s="154" t="str">
        <f>Times!AD221</f>
        <v>FEast London Runners</v>
      </c>
      <c r="AB221" s="154" t="str">
        <f>IF(AK221="Y",CONCATENATE(AA221,COUNTIFS($AK$2:AK221,"=Y",$AA$2:AA221,AA221)),"")</f>
        <v/>
      </c>
      <c r="AC221" s="154" t="str">
        <f>Times!K221</f>
        <v>Caroline Moore</v>
      </c>
      <c r="AD221" s="154">
        <f>Times!G221</f>
        <v>63</v>
      </c>
      <c r="AE221" s="154" t="str">
        <f>IF(Times!D221&lt;&gt;"",IF(ISERR(SEARCH("V",Times!I221,1)),IF(ISERR(SEARCH("S",Times!I221,1)),"S","S"),"V"),"")</f>
        <v>V</v>
      </c>
      <c r="AF221" s="161">
        <f>IF(Times!D221&lt;&gt;"",SUMIFS(Times!$G$2:G221,$AA$2:AA221,AA221,$AK$2:AK221,"Y"),"")</f>
        <v>27</v>
      </c>
      <c r="AG221" s="154" t="str">
        <f>IF(Times!D221&lt;&gt;"",IF(AND(Times!J221="M",AI221+AL221=AM221,AK221="Y"),AF221,""),"")</f>
        <v/>
      </c>
      <c r="AH221" s="154" t="str">
        <f>IF(Times!D221&lt;&gt;"",IF(AND(Times!J221="F",AI221+AL221=AM221,AK221="Y"),AF221,""),"")</f>
        <v/>
      </c>
      <c r="AI221" s="154">
        <f>COUNTIF(Z$2:Z221,CONCATENATE("V",AA221))</f>
        <v>11</v>
      </c>
      <c r="AJ221" s="154">
        <f>COUNTIF(Z$2:Z221,CONCATENATE("S",AA221))</f>
        <v>4</v>
      </c>
      <c r="AK221" s="154" t="str">
        <f t="shared" si="89"/>
        <v>N</v>
      </c>
      <c r="AL221" s="154">
        <f>IF(AND(Times!J221="M",AJ221&gt;3),3, IF(AND(Times!J221="F",AJ221&gt;2),2,AJ221))</f>
        <v>2</v>
      </c>
      <c r="AM221" s="154">
        <f>IF(Times!J221="M",6, IF(Times!J221="F",4,""))</f>
        <v>4</v>
      </c>
      <c r="AN221" s="154" t="str">
        <f t="shared" si="90"/>
        <v/>
      </c>
      <c r="AO221" s="154" t="str">
        <f t="shared" si="91"/>
        <v/>
      </c>
    </row>
    <row r="222" spans="26:41" x14ac:dyDescent="0.25">
      <c r="Z222" s="154" t="str">
        <f>CONCATENATE(AE222,Times!AD222)</f>
        <v>VFHavering 90 Joggers</v>
      </c>
      <c r="AA222" s="154" t="str">
        <f>Times!AD222</f>
        <v>FHavering 90 Joggers</v>
      </c>
      <c r="AB222" s="154" t="str">
        <f>IF(AK222="Y",CONCATENATE(AA222,COUNTIFS($AK$2:AK222,"=Y",$AA$2:AA222,AA222)),"")</f>
        <v/>
      </c>
      <c r="AC222" s="154" t="str">
        <f>Times!K222</f>
        <v>Melanie Green</v>
      </c>
      <c r="AD222" s="154">
        <f>Times!G222</f>
        <v>64</v>
      </c>
      <c r="AE222" s="154" t="str">
        <f>IF(Times!D222&lt;&gt;"",IF(ISERR(SEARCH("V",Times!I222,1)),IF(ISERR(SEARCH("S",Times!I222,1)),"S","S"),"V"),"")</f>
        <v>V</v>
      </c>
      <c r="AF222" s="161">
        <f>IF(Times!D222&lt;&gt;"",SUMIFS(Times!$G$2:G222,$AA$2:AA222,AA222,$AK$2:AK222,"Y"),"")</f>
        <v>203</v>
      </c>
      <c r="AG222" s="154" t="str">
        <f>IF(Times!D222&lt;&gt;"",IF(AND(Times!J222="M",AI222+AL222=AM222,AK222="Y"),AF222,""),"")</f>
        <v/>
      </c>
      <c r="AH222" s="154" t="str">
        <f>IF(Times!D222&lt;&gt;"",IF(AND(Times!J222="F",AI222+AL222=AM222,AK222="Y"),AF222,""),"")</f>
        <v/>
      </c>
      <c r="AI222" s="154">
        <f>COUNTIF(Z$2:Z222,CONCATENATE("V",AA222))</f>
        <v>5</v>
      </c>
      <c r="AJ222" s="154">
        <f>COUNTIF(Z$2:Z222,CONCATENATE("S",AA222))</f>
        <v>0</v>
      </c>
      <c r="AK222" s="154" t="str">
        <f t="shared" si="89"/>
        <v>N</v>
      </c>
      <c r="AL222" s="154">
        <f>IF(AND(Times!J222="M",AJ222&gt;3),3, IF(AND(Times!J222="F",AJ222&gt;2),2,AJ222))</f>
        <v>0</v>
      </c>
      <c r="AM222" s="154">
        <f>IF(Times!J222="M",6, IF(Times!J222="F",4,""))</f>
        <v>4</v>
      </c>
      <c r="AN222" s="154" t="str">
        <f t="shared" si="90"/>
        <v/>
      </c>
      <c r="AO222" s="154" t="str">
        <f t="shared" si="91"/>
        <v/>
      </c>
    </row>
    <row r="223" spans="26:41" x14ac:dyDescent="0.25">
      <c r="Z223" s="154" t="str">
        <f>CONCATENATE(AE223,Times!AD223)</f>
        <v>VFIlford AC</v>
      </c>
      <c r="AA223" s="154" t="str">
        <f>Times!AD223</f>
        <v>FIlford AC</v>
      </c>
      <c r="AB223" s="154" t="str">
        <f>IF(AK223="Y",CONCATENATE(AA223,COUNTIFS($AK$2:AK223,"=Y",$AA$2:AA223,AA223)),"")</f>
        <v/>
      </c>
      <c r="AC223" s="154" t="str">
        <f>Times!K223</f>
        <v>julia galea</v>
      </c>
      <c r="AD223" s="154">
        <f>Times!G223</f>
        <v>65</v>
      </c>
      <c r="AE223" s="154" t="str">
        <f>IF(Times!D223&lt;&gt;"",IF(ISERR(SEARCH("V",Times!I223,1)),IF(ISERR(SEARCH("S",Times!I223,1)),"S","S"),"V"),"")</f>
        <v>V</v>
      </c>
      <c r="AF223" s="161">
        <f>IF(Times!D223&lt;&gt;"",SUMIFS(Times!$G$2:G223,$AA$2:AA223,AA223,$AK$2:AK223,"Y"),"")</f>
        <v>58</v>
      </c>
      <c r="AG223" s="154" t="str">
        <f>IF(Times!D223&lt;&gt;"",IF(AND(Times!J223="M",AI223+AL223=AM223,AK223="Y"),AF223,""),"")</f>
        <v/>
      </c>
      <c r="AH223" s="154" t="str">
        <f>IF(Times!D223&lt;&gt;"",IF(AND(Times!J223="F",AI223+AL223=AM223,AK223="Y"),AF223,""),"")</f>
        <v/>
      </c>
      <c r="AI223" s="154">
        <f>COUNTIF(Z$2:Z223,CONCATENATE("V",AA223))</f>
        <v>5</v>
      </c>
      <c r="AJ223" s="154">
        <f>COUNTIF(Z$2:Z223,CONCATENATE("S",AA223))</f>
        <v>4</v>
      </c>
      <c r="AK223" s="154" t="str">
        <f t="shared" si="89"/>
        <v>N</v>
      </c>
      <c r="AL223" s="154">
        <f>IF(AND(Times!J223="M",AJ223&gt;3),3, IF(AND(Times!J223="F",AJ223&gt;2),2,AJ223))</f>
        <v>2</v>
      </c>
      <c r="AM223" s="154">
        <f>IF(Times!J223="M",6, IF(Times!J223="F",4,""))</f>
        <v>4</v>
      </c>
      <c r="AN223" s="154" t="str">
        <f t="shared" si="90"/>
        <v/>
      </c>
      <c r="AO223" s="154" t="str">
        <f t="shared" si="91"/>
        <v/>
      </c>
    </row>
    <row r="224" spans="26:41" x14ac:dyDescent="0.25">
      <c r="Z224" s="154" t="str">
        <f>CONCATENATE(AE224,Times!AD224)</f>
        <v>VMHavering 90 Joggers</v>
      </c>
      <c r="AA224" s="154" t="str">
        <f>Times!AD224</f>
        <v>MHavering 90 Joggers</v>
      </c>
      <c r="AB224" s="154" t="str">
        <f>IF(AK224="Y",CONCATENATE(AA224,COUNTIFS($AK$2:AK224,"=Y",$AA$2:AA224,AA224)),"")</f>
        <v/>
      </c>
      <c r="AC224" s="154" t="str">
        <f>Times!K224</f>
        <v>Chris Thomas</v>
      </c>
      <c r="AD224" s="154">
        <f>Times!G224</f>
        <v>158</v>
      </c>
      <c r="AE224" s="154" t="str">
        <f>IF(Times!D224&lt;&gt;"",IF(ISERR(SEARCH("V",Times!I224,1)),IF(ISERR(SEARCH("S",Times!I224,1)),"S","S"),"V"),"")</f>
        <v>V</v>
      </c>
      <c r="AF224" s="161">
        <f>IF(Times!D224&lt;&gt;"",SUMIFS(Times!$G$2:G224,$AA$2:AA224,AA224,$AK$2:AK224,"Y"),"")</f>
        <v>506</v>
      </c>
      <c r="AG224" s="154" t="str">
        <f>IF(Times!D224&lt;&gt;"",IF(AND(Times!J224="M",AI224+AL224=AM224,AK224="Y"),AF224,""),"")</f>
        <v/>
      </c>
      <c r="AH224" s="154" t="str">
        <f>IF(Times!D224&lt;&gt;"",IF(AND(Times!J224="F",AI224+AL224=AM224,AK224="Y"),AF224,""),"")</f>
        <v/>
      </c>
      <c r="AI224" s="154">
        <f>COUNTIF(Z$2:Z224,CONCATENATE("V",AA224))</f>
        <v>8</v>
      </c>
      <c r="AJ224" s="154">
        <f>COUNTIF(Z$2:Z224,CONCATENATE("S",AA224))</f>
        <v>2</v>
      </c>
      <c r="AK224" s="154" t="str">
        <f t="shared" si="89"/>
        <v>N</v>
      </c>
      <c r="AL224" s="154">
        <f>IF(AND(Times!J224="M",AJ224&gt;3),3, IF(AND(Times!J224="F",AJ224&gt;2),2,AJ224))</f>
        <v>2</v>
      </c>
      <c r="AM224" s="154">
        <f>IF(Times!J224="M",6, IF(Times!J224="F",4,""))</f>
        <v>6</v>
      </c>
      <c r="AN224" s="154" t="str">
        <f t="shared" si="90"/>
        <v/>
      </c>
      <c r="AO224" s="154" t="str">
        <f t="shared" si="91"/>
        <v/>
      </c>
    </row>
    <row r="225" spans="26:41" x14ac:dyDescent="0.25">
      <c r="Z225" s="154" t="str">
        <f>CONCATENATE(AE225,Times!AD225)</f>
        <v>VFHavering 90 Joggers</v>
      </c>
      <c r="AA225" s="154" t="str">
        <f>Times!AD225</f>
        <v>FHavering 90 Joggers</v>
      </c>
      <c r="AB225" s="154" t="str">
        <f>IF(AK225="Y",CONCATENATE(AA225,COUNTIFS($AK$2:AK225,"=Y",$AA$2:AA225,AA225)),"")</f>
        <v/>
      </c>
      <c r="AC225" s="154" t="str">
        <f>Times!K225</f>
        <v>Lara Harradine</v>
      </c>
      <c r="AD225" s="154">
        <f>Times!G225</f>
        <v>66</v>
      </c>
      <c r="AE225" s="154" t="str">
        <f>IF(Times!D225&lt;&gt;"",IF(ISERR(SEARCH("V",Times!I225,1)),IF(ISERR(SEARCH("S",Times!I225,1)),"S","S"),"V"),"")</f>
        <v>V</v>
      </c>
      <c r="AF225" s="161">
        <f>IF(Times!D225&lt;&gt;"",SUMIFS(Times!$G$2:G225,$AA$2:AA225,AA225,$AK$2:AK225,"Y"),"")</f>
        <v>203</v>
      </c>
      <c r="AG225" s="154" t="str">
        <f>IF(Times!D225&lt;&gt;"",IF(AND(Times!J225="M",AI225+AL225=AM225,AK225="Y"),AF225,""),"")</f>
        <v/>
      </c>
      <c r="AH225" s="154" t="str">
        <f>IF(Times!D225&lt;&gt;"",IF(AND(Times!J225="F",AI225+AL225=AM225,AK225="Y"),AF225,""),"")</f>
        <v/>
      </c>
      <c r="AI225" s="154">
        <f>COUNTIF(Z$2:Z225,CONCATENATE("V",AA225))</f>
        <v>6</v>
      </c>
      <c r="AJ225" s="154">
        <f>COUNTIF(Z$2:Z225,CONCATENATE("S",AA225))</f>
        <v>0</v>
      </c>
      <c r="AK225" s="154" t="str">
        <f t="shared" si="89"/>
        <v>N</v>
      </c>
      <c r="AL225" s="154">
        <f>IF(AND(Times!J225="M",AJ225&gt;3),3, IF(AND(Times!J225="F",AJ225&gt;2),2,AJ225))</f>
        <v>0</v>
      </c>
      <c r="AM225" s="154">
        <f>IF(Times!J225="M",6, IF(Times!J225="F",4,""))</f>
        <v>4</v>
      </c>
      <c r="AN225" s="154" t="str">
        <f t="shared" si="90"/>
        <v/>
      </c>
      <c r="AO225" s="154" t="str">
        <f t="shared" si="91"/>
        <v/>
      </c>
    </row>
    <row r="226" spans="26:41" x14ac:dyDescent="0.25">
      <c r="Z226" s="154" t="str">
        <f>CONCATENATE(AE226,Times!AD226)</f>
        <v>VFDagenham 88 Runners</v>
      </c>
      <c r="AA226" s="154" t="str">
        <f>Times!AD226</f>
        <v>FDagenham 88 Runners</v>
      </c>
      <c r="AB226" s="154" t="str">
        <f>IF(AK226="Y",CONCATENATE(AA226,COUNTIFS($AK$2:AK226,"=Y",$AA$2:AA226,AA226)),"")</f>
        <v>FDagenham 88 Runners3</v>
      </c>
      <c r="AC226" s="154" t="str">
        <f>Times!K226</f>
        <v>Rosina Salmon</v>
      </c>
      <c r="AD226" s="154">
        <f>Times!G226</f>
        <v>67</v>
      </c>
      <c r="AE226" s="154" t="str">
        <f>IF(Times!D226&lt;&gt;"",IF(ISERR(SEARCH("V",Times!I226,1)),IF(ISERR(SEARCH("S",Times!I226,1)),"S","S"),"V"),"")</f>
        <v>V</v>
      </c>
      <c r="AF226" s="161">
        <f>IF(Times!D226&lt;&gt;"",SUMIFS(Times!$G$2:G226,$AA$2:AA226,AA226,$AK$2:AK226,"Y"),"")</f>
        <v>137</v>
      </c>
      <c r="AG226" s="154" t="str">
        <f>IF(Times!D226&lt;&gt;"",IF(AND(Times!J226="M",AI226+AL226=AM226,AK226="Y"),AF226,""),"")</f>
        <v/>
      </c>
      <c r="AH226" s="154" t="str">
        <f>IF(Times!D226&lt;&gt;"",IF(AND(Times!J226="F",AI226+AL226=AM226,AK226="Y"),AF226,""),"")</f>
        <v/>
      </c>
      <c r="AI226" s="154">
        <f>COUNTIF(Z$2:Z226,CONCATENATE("V",AA226))</f>
        <v>3</v>
      </c>
      <c r="AJ226" s="154">
        <f>COUNTIF(Z$2:Z226,CONCATENATE("S",AA226))</f>
        <v>0</v>
      </c>
      <c r="AK226" s="154" t="str">
        <f t="shared" si="89"/>
        <v>Y</v>
      </c>
      <c r="AL226" s="154">
        <f>IF(AND(Times!J226="M",AJ226&gt;3),3, IF(AND(Times!J226="F",AJ226&gt;2),2,AJ226))</f>
        <v>0</v>
      </c>
      <c r="AM226" s="154">
        <f>IF(Times!J226="M",6, IF(Times!J226="F",4,""))</f>
        <v>4</v>
      </c>
      <c r="AN226" s="154" t="str">
        <f t="shared" si="90"/>
        <v/>
      </c>
      <c r="AO226" s="154" t="str">
        <f t="shared" si="91"/>
        <v/>
      </c>
    </row>
    <row r="227" spans="26:41" x14ac:dyDescent="0.25">
      <c r="Z227" s="154" t="str">
        <f>CONCATENATE(AE227,Times!AD227)</f>
        <v>VFIlford AC</v>
      </c>
      <c r="AA227" s="154" t="str">
        <f>Times!AD227</f>
        <v>FIlford AC</v>
      </c>
      <c r="AB227" s="154" t="str">
        <f>IF(AK227="Y",CONCATENATE(AA227,COUNTIFS($AK$2:AK227,"=Y",$AA$2:AA227,AA227)),"")</f>
        <v/>
      </c>
      <c r="AC227" s="154" t="str">
        <f>Times!K227</f>
        <v>Doris Gaga</v>
      </c>
      <c r="AD227" s="154">
        <f>Times!G227</f>
        <v>68</v>
      </c>
      <c r="AE227" s="154" t="str">
        <f>IF(Times!D227&lt;&gt;"",IF(ISERR(SEARCH("V",Times!I227,1)),IF(ISERR(SEARCH("S",Times!I227,1)),"S","S"),"V"),"")</f>
        <v>V</v>
      </c>
      <c r="AF227" s="161">
        <f>IF(Times!D227&lt;&gt;"",SUMIFS(Times!$G$2:G227,$AA$2:AA227,AA227,$AK$2:AK227,"Y"),"")</f>
        <v>58</v>
      </c>
      <c r="AG227" s="154" t="str">
        <f>IF(Times!D227&lt;&gt;"",IF(AND(Times!J227="M",AI227+AL227=AM227,AK227="Y"),AF227,""),"")</f>
        <v/>
      </c>
      <c r="AH227" s="154" t="str">
        <f>IF(Times!D227&lt;&gt;"",IF(AND(Times!J227="F",AI227+AL227=AM227,AK227="Y"),AF227,""),"")</f>
        <v/>
      </c>
      <c r="AI227" s="154">
        <f>COUNTIF(Z$2:Z227,CONCATENATE("V",AA227))</f>
        <v>6</v>
      </c>
      <c r="AJ227" s="154">
        <f>COUNTIF(Z$2:Z227,CONCATENATE("S",AA227))</f>
        <v>4</v>
      </c>
      <c r="AK227" s="154" t="str">
        <f t="shared" si="89"/>
        <v>N</v>
      </c>
      <c r="AL227" s="154">
        <f>IF(AND(Times!J227="M",AJ227&gt;3),3, IF(AND(Times!J227="F",AJ227&gt;2),2,AJ227))</f>
        <v>2</v>
      </c>
      <c r="AM227" s="154">
        <f>IF(Times!J227="M",6, IF(Times!J227="F",4,""))</f>
        <v>4</v>
      </c>
      <c r="AN227" s="154" t="str">
        <f t="shared" si="90"/>
        <v/>
      </c>
      <c r="AO227" s="154" t="str">
        <f t="shared" si="91"/>
        <v/>
      </c>
    </row>
    <row r="228" spans="26:41" x14ac:dyDescent="0.25">
      <c r="Z228" s="154" t="str">
        <f>CONCATENATE(AE228,Times!AD228)</f>
        <v>VFEast London runners</v>
      </c>
      <c r="AA228" s="154" t="str">
        <f>Times!AD228</f>
        <v>FEast London runners</v>
      </c>
      <c r="AB228" s="154" t="str">
        <f>IF(AK228="Y",CONCATENATE(AA228,COUNTIFS($AK$2:AK228,"=Y",$AA$2:AA228,AA228)),"")</f>
        <v/>
      </c>
      <c r="AC228" s="154" t="str">
        <f>Times!K228</f>
        <v>Jayne Browne</v>
      </c>
      <c r="AD228" s="154">
        <f>Times!G228</f>
        <v>69</v>
      </c>
      <c r="AE228" s="154" t="str">
        <f>IF(Times!D228&lt;&gt;"",IF(ISERR(SEARCH("V",Times!I228,1)),IF(ISERR(SEARCH("S",Times!I228,1)),"S","S"),"V"),"")</f>
        <v>V</v>
      </c>
      <c r="AF228" s="161">
        <f>IF(Times!D228&lt;&gt;"",SUMIFS(Times!$G$2:G228,$AA$2:AA228,AA228,$AK$2:AK228,"Y"),"")</f>
        <v>27</v>
      </c>
      <c r="AG228" s="154" t="str">
        <f>IF(Times!D228&lt;&gt;"",IF(AND(Times!J228="M",AI228+AL228=AM228,AK228="Y"),AF228,""),"")</f>
        <v/>
      </c>
      <c r="AH228" s="154" t="str">
        <f>IF(Times!D228&lt;&gt;"",IF(AND(Times!J228="F",AI228+AL228=AM228,AK228="Y"),AF228,""),"")</f>
        <v/>
      </c>
      <c r="AI228" s="154">
        <f>COUNTIF(Z$2:Z228,CONCATENATE("V",AA228))</f>
        <v>12</v>
      </c>
      <c r="AJ228" s="154">
        <f>COUNTIF(Z$2:Z228,CONCATENATE("S",AA228))</f>
        <v>4</v>
      </c>
      <c r="AK228" s="154" t="str">
        <f t="shared" si="89"/>
        <v>N</v>
      </c>
      <c r="AL228" s="154">
        <f>IF(AND(Times!J228="M",AJ228&gt;3),3, IF(AND(Times!J228="F",AJ228&gt;2),2,AJ228))</f>
        <v>2</v>
      </c>
      <c r="AM228" s="154">
        <f>IF(Times!J228="M",6, IF(Times!J228="F",4,""))</f>
        <v>4</v>
      </c>
      <c r="AN228" s="154" t="str">
        <f t="shared" si="90"/>
        <v/>
      </c>
      <c r="AO228" s="154" t="str">
        <f t="shared" si="91"/>
        <v/>
      </c>
    </row>
    <row r="229" spans="26:41" x14ac:dyDescent="0.25">
      <c r="Z229" s="154" t="str">
        <f>CONCATENATE(AE229,Times!AD229)</f>
        <v>VFEton Manor AC</v>
      </c>
      <c r="AA229" s="154" t="str">
        <f>Times!AD229</f>
        <v>FEton Manor AC</v>
      </c>
      <c r="AB229" s="154" t="str">
        <f>IF(AK229="Y",CONCATENATE(AA229,COUNTIFS($AK$2:AK229,"=Y",$AA$2:AA229,AA229)),"")</f>
        <v/>
      </c>
      <c r="AC229" s="154" t="str">
        <f>Times!K229</f>
        <v>Hayley Dalton</v>
      </c>
      <c r="AD229" s="154">
        <f>Times!G229</f>
        <v>70</v>
      </c>
      <c r="AE229" s="154" t="str">
        <f>IF(Times!D229&lt;&gt;"",IF(ISERR(SEARCH("V",Times!I229,1)),IF(ISERR(SEARCH("S",Times!I229,1)),"S","S"),"V"),"")</f>
        <v>V</v>
      </c>
      <c r="AF229" s="161">
        <f>IF(Times!D229&lt;&gt;"",SUMIFS(Times!$G$2:G229,$AA$2:AA229,AA229,$AK$2:AK229,"Y"),"")</f>
        <v>60</v>
      </c>
      <c r="AG229" s="154" t="str">
        <f>IF(Times!D229&lt;&gt;"",IF(AND(Times!J229="M",AI229+AL229=AM229,AK229="Y"),AF229,""),"")</f>
        <v/>
      </c>
      <c r="AH229" s="154" t="str">
        <f>IF(Times!D229&lt;&gt;"",IF(AND(Times!J229="F",AI229+AL229=AM229,AK229="Y"),AF229,""),"")</f>
        <v/>
      </c>
      <c r="AI229" s="154">
        <f>COUNTIF(Z$2:Z229,CONCATENATE("V",AA229))</f>
        <v>9</v>
      </c>
      <c r="AJ229" s="154">
        <f>COUNTIF(Z$2:Z229,CONCATENATE("S",AA229))</f>
        <v>0</v>
      </c>
      <c r="AK229" s="154" t="str">
        <f t="shared" si="89"/>
        <v>N</v>
      </c>
      <c r="AL229" s="154">
        <f>IF(AND(Times!J229="M",AJ229&gt;3),3, IF(AND(Times!J229="F",AJ229&gt;2),2,AJ229))</f>
        <v>0</v>
      </c>
      <c r="AM229" s="154">
        <f>IF(Times!J229="M",6, IF(Times!J229="F",4,""))</f>
        <v>4</v>
      </c>
      <c r="AN229" s="154" t="str">
        <f t="shared" si="90"/>
        <v/>
      </c>
      <c r="AO229" s="154" t="str">
        <f t="shared" si="91"/>
        <v/>
      </c>
    </row>
    <row r="230" spans="26:41" x14ac:dyDescent="0.25">
      <c r="Z230" s="154" t="str">
        <f>CONCATENATE(AE230,Times!AD230)</f>
        <v>VFEast London Runners</v>
      </c>
      <c r="AA230" s="154" t="str">
        <f>Times!AD230</f>
        <v>FEast London Runners</v>
      </c>
      <c r="AB230" s="154" t="str">
        <f>IF(AK230="Y",CONCATENATE(AA230,COUNTIFS($AK$2:AK230,"=Y",$AA$2:AA230,AA230)),"")</f>
        <v/>
      </c>
      <c r="AC230" s="154" t="str">
        <f>Times!K230</f>
        <v>Mary Connolly</v>
      </c>
      <c r="AD230" s="154">
        <f>Times!G230</f>
        <v>71</v>
      </c>
      <c r="AE230" s="154" t="str">
        <f>IF(Times!D230&lt;&gt;"",IF(ISERR(SEARCH("V",Times!I230,1)),IF(ISERR(SEARCH("S",Times!I230,1)),"S","S"),"V"),"")</f>
        <v>V</v>
      </c>
      <c r="AF230" s="161">
        <f>IF(Times!D230&lt;&gt;"",SUMIFS(Times!$G$2:G230,$AA$2:AA230,AA230,$AK$2:AK230,"Y"),"")</f>
        <v>27</v>
      </c>
      <c r="AG230" s="154" t="str">
        <f>IF(Times!D230&lt;&gt;"",IF(AND(Times!J230="M",AI230+AL230=AM230,AK230="Y"),AF230,""),"")</f>
        <v/>
      </c>
      <c r="AH230" s="154" t="str">
        <f>IF(Times!D230&lt;&gt;"",IF(AND(Times!J230="F",AI230+AL230=AM230,AK230="Y"),AF230,""),"")</f>
        <v/>
      </c>
      <c r="AI230" s="154">
        <f>COUNTIF(Z$2:Z230,CONCATENATE("V",AA230))</f>
        <v>13</v>
      </c>
      <c r="AJ230" s="154">
        <f>COUNTIF(Z$2:Z230,CONCATENATE("S",AA230))</f>
        <v>4</v>
      </c>
      <c r="AK230" s="154" t="str">
        <f t="shared" si="89"/>
        <v>N</v>
      </c>
      <c r="AL230" s="154">
        <f>IF(AND(Times!J230="M",AJ230&gt;3),3, IF(AND(Times!J230="F",AJ230&gt;2),2,AJ230))</f>
        <v>2</v>
      </c>
      <c r="AM230" s="154">
        <f>IF(Times!J230="M",6, IF(Times!J230="F",4,""))</f>
        <v>4</v>
      </c>
      <c r="AN230" s="154" t="str">
        <f t="shared" si="90"/>
        <v/>
      </c>
      <c r="AO230" s="154" t="str">
        <f t="shared" si="91"/>
        <v/>
      </c>
    </row>
    <row r="231" spans="26:41" x14ac:dyDescent="0.25">
      <c r="Z231" s="154" t="str">
        <f>CONCATENATE(AE231,Times!AD231)</f>
        <v>SFChorlton Runners</v>
      </c>
      <c r="AA231" s="154" t="str">
        <f>Times!AD231</f>
        <v>FChorlton Runners</v>
      </c>
      <c r="AB231" s="154" t="str">
        <f>IF(AK231="Y",CONCATENATE(AA231,COUNTIFS($AK$2:AK231,"=Y",$AA$2:AA231,AA231)),"")</f>
        <v>FChorlton Runners1</v>
      </c>
      <c r="AC231" s="154" t="str">
        <f>Times!K231</f>
        <v>Katie McInnes</v>
      </c>
      <c r="AD231" s="154">
        <f>Times!G231</f>
        <v>72</v>
      </c>
      <c r="AE231" s="154" t="str">
        <f>IF(Times!D231&lt;&gt;"",IF(ISERR(SEARCH("V",Times!I231,1)),IF(ISERR(SEARCH("S",Times!I231,1)),"S","S"),"V"),"")</f>
        <v>S</v>
      </c>
      <c r="AF231" s="161">
        <f>IF(Times!D231&lt;&gt;"",SUMIFS(Times!$G$2:G231,$AA$2:AA231,AA231,$AK$2:AK231,"Y"),"")</f>
        <v>72</v>
      </c>
      <c r="AG231" s="154" t="str">
        <f>IF(Times!D231&lt;&gt;"",IF(AND(Times!J231="M",AI231+AL231=AM231,AK231="Y"),AF231,""),"")</f>
        <v/>
      </c>
      <c r="AH231" s="154" t="str">
        <f>IF(Times!D231&lt;&gt;"",IF(AND(Times!J231="F",AI231+AL231=AM231,AK231="Y"),AF231,""),"")</f>
        <v/>
      </c>
      <c r="AI231" s="154">
        <f>COUNTIF(Z$2:Z231,CONCATENATE("V",AA231))</f>
        <v>0</v>
      </c>
      <c r="AJ231" s="154">
        <f>COUNTIF(Z$2:Z231,CONCATENATE("S",AA231))</f>
        <v>1</v>
      </c>
      <c r="AK231" s="154" t="str">
        <f t="shared" si="89"/>
        <v>Y</v>
      </c>
      <c r="AL231" s="154">
        <f>IF(AND(Times!J231="M",AJ231&gt;3),3, IF(AND(Times!J231="F",AJ231&gt;2),2,AJ231))</f>
        <v>1</v>
      </c>
      <c r="AM231" s="154">
        <f>IF(Times!J231="M",6, IF(Times!J231="F",4,""))</f>
        <v>4</v>
      </c>
      <c r="AN231" s="154" t="str">
        <f t="shared" si="90"/>
        <v/>
      </c>
      <c r="AO231" s="154" t="str">
        <f t="shared" si="91"/>
        <v/>
      </c>
    </row>
    <row r="232" spans="26:41" x14ac:dyDescent="0.25">
      <c r="Z232" s="154" t="str">
        <f>CONCATENATE(AE232,Times!AD232)</f>
        <v>VFEton Manor AC</v>
      </c>
      <c r="AA232" s="154" t="str">
        <f>Times!AD232</f>
        <v>FEton Manor AC</v>
      </c>
      <c r="AB232" s="154" t="str">
        <f>IF(AK232="Y",CONCATENATE(AA232,COUNTIFS($AK$2:AK232,"=Y",$AA$2:AA232,AA232)),"")</f>
        <v/>
      </c>
      <c r="AC232" s="154" t="str">
        <f>Times!K232</f>
        <v>Sacha Ackland</v>
      </c>
      <c r="AD232" s="154">
        <f>Times!G232</f>
        <v>73</v>
      </c>
      <c r="AE232" s="154" t="str">
        <f>IF(Times!D232&lt;&gt;"",IF(ISERR(SEARCH("V",Times!I232,1)),IF(ISERR(SEARCH("S",Times!I232,1)),"S","S"),"V"),"")</f>
        <v>V</v>
      </c>
      <c r="AF232" s="161">
        <f>IF(Times!D232&lt;&gt;"",SUMIFS(Times!$G$2:G232,$AA$2:AA232,AA232,$AK$2:AK232,"Y"),"")</f>
        <v>60</v>
      </c>
      <c r="AG232" s="154" t="str">
        <f>IF(Times!D232&lt;&gt;"",IF(AND(Times!J232="M",AI232+AL232=AM232,AK232="Y"),AF232,""),"")</f>
        <v/>
      </c>
      <c r="AH232" s="154" t="str">
        <f>IF(Times!D232&lt;&gt;"",IF(AND(Times!J232="F",AI232+AL232=AM232,AK232="Y"),AF232,""),"")</f>
        <v/>
      </c>
      <c r="AI232" s="154">
        <f>COUNTIF(Z$2:Z232,CONCATENATE("V",AA232))</f>
        <v>10</v>
      </c>
      <c r="AJ232" s="154">
        <f>COUNTIF(Z$2:Z232,CONCATENATE("S",AA232))</f>
        <v>0</v>
      </c>
      <c r="AK232" s="154" t="str">
        <f t="shared" si="89"/>
        <v>N</v>
      </c>
      <c r="AL232" s="154">
        <f>IF(AND(Times!J232="M",AJ232&gt;3),3, IF(AND(Times!J232="F",AJ232&gt;2),2,AJ232))</f>
        <v>0</v>
      </c>
      <c r="AM232" s="154">
        <f>IF(Times!J232="M",6, IF(Times!J232="F",4,""))</f>
        <v>4</v>
      </c>
      <c r="AN232" s="154" t="str">
        <f t="shared" si="90"/>
        <v/>
      </c>
      <c r="AO232" s="154" t="str">
        <f t="shared" si="91"/>
        <v/>
      </c>
    </row>
    <row r="233" spans="26:41" x14ac:dyDescent="0.25">
      <c r="Z233" s="154" t="str">
        <f>CONCATENATE(AE233,Times!AD233)</f>
        <v>VMU/A</v>
      </c>
      <c r="AA233" s="154" t="str">
        <f>Times!AD233</f>
        <v>MU/A</v>
      </c>
      <c r="AB233" s="154" t="str">
        <f>IF(AK233="Y",CONCATENATE(AA233,COUNTIFS($AK$2:AK233,"=Y",$AA$2:AA233,AA233)),"")</f>
        <v>MU/A3</v>
      </c>
      <c r="AC233" s="154" t="str">
        <f>Times!K233</f>
        <v>Mark Pearce</v>
      </c>
      <c r="AD233" s="154">
        <f>Times!G233</f>
        <v>159</v>
      </c>
      <c r="AE233" s="154" t="str">
        <f>IF(Times!D233&lt;&gt;"",IF(ISERR(SEARCH("V",Times!I233,1)),IF(ISERR(SEARCH("S",Times!I233,1)),"S","S"),"V"),"")</f>
        <v>V</v>
      </c>
      <c r="AF233" s="161">
        <f>IF(Times!D233&lt;&gt;"",SUMIFS(Times!$G$2:G233,$AA$2:AA233,AA233,$AK$2:AK233,"Y"),"")</f>
        <v>311</v>
      </c>
      <c r="AG233" s="154" t="str">
        <f>IF(Times!D233&lt;&gt;"",IF(AND(Times!J233="M",AI233+AL233=AM233,AK233="Y"),AF233,""),"")</f>
        <v/>
      </c>
      <c r="AH233" s="154" t="str">
        <f>IF(Times!D233&lt;&gt;"",IF(AND(Times!J233="F",AI233+AL233=AM233,AK233="Y"),AF233,""),"")</f>
        <v/>
      </c>
      <c r="AI233" s="154">
        <f>COUNTIF(Z$2:Z233,CONCATENATE("V",AA233))</f>
        <v>3</v>
      </c>
      <c r="AJ233" s="154">
        <f>COUNTIF(Z$2:Z233,CONCATENATE("S",AA233))</f>
        <v>0</v>
      </c>
      <c r="AK233" s="154" t="str">
        <f t="shared" si="89"/>
        <v>Y</v>
      </c>
      <c r="AL233" s="154">
        <f>IF(AND(Times!J233="M",AJ233&gt;3),3, IF(AND(Times!J233="F",AJ233&gt;2),2,AJ233))</f>
        <v>0</v>
      </c>
      <c r="AM233" s="154">
        <f>IF(Times!J233="M",6, IF(Times!J233="F",4,""))</f>
        <v>6</v>
      </c>
      <c r="AN233" s="154" t="str">
        <f t="shared" si="90"/>
        <v/>
      </c>
      <c r="AO233" s="154" t="str">
        <f t="shared" si="91"/>
        <v/>
      </c>
    </row>
    <row r="234" spans="26:41" x14ac:dyDescent="0.25">
      <c r="Z234" s="154" t="str">
        <f>CONCATENATE(AE234,Times!AD234)</f>
        <v>SFHarold Wood Running Club</v>
      </c>
      <c r="AA234" s="154" t="str">
        <f>Times!AD234</f>
        <v>FHarold Wood Running Club</v>
      </c>
      <c r="AB234" s="154" t="str">
        <f>IF(AK234="Y",CONCATENATE(AA234,COUNTIFS($AK$2:AK234,"=Y",$AA$2:AA234,AA234)),"")</f>
        <v/>
      </c>
      <c r="AC234" s="154" t="str">
        <f>Times!K234</f>
        <v>Parisa Skeldon</v>
      </c>
      <c r="AD234" s="154">
        <f>Times!G234</f>
        <v>74</v>
      </c>
      <c r="AE234" s="154" t="str">
        <f>IF(Times!D234&lt;&gt;"",IF(ISERR(SEARCH("V",Times!I234,1)),IF(ISERR(SEARCH("S",Times!I234,1)),"S","S"),"V"),"")</f>
        <v>S</v>
      </c>
      <c r="AF234" s="161">
        <f>IF(Times!D234&lt;&gt;"",SUMIFS(Times!$G$2:G234,$AA$2:AA234,AA234,$AK$2:AK234,"Y"),"")</f>
        <v>97</v>
      </c>
      <c r="AG234" s="154" t="str">
        <f>IF(Times!D234&lt;&gt;"",IF(AND(Times!J234="M",AI234+AL234=AM234,AK234="Y"),AF234,""),"")</f>
        <v/>
      </c>
      <c r="AH234" s="154" t="str">
        <f>IF(Times!D234&lt;&gt;"",IF(AND(Times!J234="F",AI234+AL234=AM234,AK234="Y"),AF234,""),"")</f>
        <v/>
      </c>
      <c r="AI234" s="154">
        <f>COUNTIF(Z$2:Z234,CONCATENATE("V",AA234))</f>
        <v>4</v>
      </c>
      <c r="AJ234" s="154">
        <f>COUNTIF(Z$2:Z234,CONCATENATE("S",AA234))</f>
        <v>2</v>
      </c>
      <c r="AK234" s="154" t="str">
        <f t="shared" si="89"/>
        <v>N</v>
      </c>
      <c r="AL234" s="154">
        <f>IF(AND(Times!J234="M",AJ234&gt;3),3, IF(AND(Times!J234="F",AJ234&gt;2),2,AJ234))</f>
        <v>2</v>
      </c>
      <c r="AM234" s="154">
        <f>IF(Times!J234="M",6, IF(Times!J234="F",4,""))</f>
        <v>4</v>
      </c>
      <c r="AN234" s="154" t="str">
        <f t="shared" si="90"/>
        <v/>
      </c>
      <c r="AO234" s="154" t="str">
        <f t="shared" si="91"/>
        <v/>
      </c>
    </row>
    <row r="235" spans="26:41" x14ac:dyDescent="0.25">
      <c r="Z235" s="154" t="str">
        <f>CONCATENATE(AE235,Times!AD235)</f>
        <v>VFEast End Road Runners</v>
      </c>
      <c r="AA235" s="154" t="str">
        <f>Times!AD235</f>
        <v>FEast End Road Runners</v>
      </c>
      <c r="AB235" s="154" t="str">
        <f>IF(AK235="Y",CONCATENATE(AA235,COUNTIFS($AK$2:AK235,"=Y",$AA$2:AA235,AA235)),"")</f>
        <v/>
      </c>
      <c r="AC235" s="154" t="str">
        <f>Times!K235</f>
        <v>Vanessa Lawrence</v>
      </c>
      <c r="AD235" s="154">
        <f>Times!G235</f>
        <v>75</v>
      </c>
      <c r="AE235" s="154" t="str">
        <f>IF(Times!D235&lt;&gt;"",IF(ISERR(SEARCH("V",Times!I235,1)),IF(ISERR(SEARCH("S",Times!I235,1)),"S","S"),"V"),"")</f>
        <v>V</v>
      </c>
      <c r="AF235" s="161">
        <f>IF(Times!D235&lt;&gt;"",SUMIFS(Times!$G$2:G235,$AA$2:AA235,AA235,$AK$2:AK235,"Y"),"")</f>
        <v>145</v>
      </c>
      <c r="AG235" s="154" t="str">
        <f>IF(Times!D235&lt;&gt;"",IF(AND(Times!J235="M",AI235+AL235=AM235,AK235="Y"),AF235,""),"")</f>
        <v/>
      </c>
      <c r="AH235" s="154" t="str">
        <f>IF(Times!D235&lt;&gt;"",IF(AND(Times!J235="F",AI235+AL235=AM235,AK235="Y"),AF235,""),"")</f>
        <v/>
      </c>
      <c r="AI235" s="154">
        <f>COUNTIF(Z$2:Z235,CONCATENATE("V",AA235))</f>
        <v>3</v>
      </c>
      <c r="AJ235" s="154">
        <f>COUNTIF(Z$2:Z235,CONCATENATE("S",AA235))</f>
        <v>2</v>
      </c>
      <c r="AK235" s="154" t="str">
        <f t="shared" si="89"/>
        <v>N</v>
      </c>
      <c r="AL235" s="154">
        <f>IF(AND(Times!J235="M",AJ235&gt;3),3, IF(AND(Times!J235="F",AJ235&gt;2),2,AJ235))</f>
        <v>2</v>
      </c>
      <c r="AM235" s="154">
        <f>IF(Times!J235="M",6, IF(Times!J235="F",4,""))</f>
        <v>4</v>
      </c>
      <c r="AN235" s="154" t="str">
        <f t="shared" si="90"/>
        <v/>
      </c>
      <c r="AO235" s="154" t="str">
        <f t="shared" si="91"/>
        <v/>
      </c>
    </row>
    <row r="236" spans="26:41" x14ac:dyDescent="0.25">
      <c r="Z236" s="154" t="str">
        <f>CONCATENATE(AE236,Times!AD236)</f>
        <v>VMDagenham 88 Runners</v>
      </c>
      <c r="AA236" s="154" t="str">
        <f>Times!AD236</f>
        <v>MDagenham 88 Runners</v>
      </c>
      <c r="AB236" s="154" t="str">
        <f>IF(AK236="Y",CONCATENATE(AA236,COUNTIFS($AK$2:AK236,"=Y",$AA$2:AA236,AA236)),"")</f>
        <v/>
      </c>
      <c r="AC236" s="154" t="str">
        <f>Times!K236</f>
        <v>Leigh Moring</v>
      </c>
      <c r="AD236" s="154">
        <f>Times!G236</f>
        <v>160</v>
      </c>
      <c r="AE236" s="154" t="str">
        <f>IF(Times!D236&lt;&gt;"",IF(ISERR(SEARCH("V",Times!I236,1)),IF(ISERR(SEARCH("S",Times!I236,1)),"S","S"),"V"),"")</f>
        <v>V</v>
      </c>
      <c r="AF236" s="161">
        <f>IF(Times!D236&lt;&gt;"",SUMIFS(Times!$G$2:G236,$AA$2:AA236,AA236,$AK$2:AK236,"Y"),"")</f>
        <v>529</v>
      </c>
      <c r="AG236" s="154" t="str">
        <f>IF(Times!D236&lt;&gt;"",IF(AND(Times!J236="M",AI236+AL236=AM236,AK236="Y"),AF236,""),"")</f>
        <v/>
      </c>
      <c r="AH236" s="154" t="str">
        <f>IF(Times!D236&lt;&gt;"",IF(AND(Times!J236="F",AI236+AL236=AM236,AK236="Y"),AF236,""),"")</f>
        <v/>
      </c>
      <c r="AI236" s="154">
        <f>COUNTIF(Z$2:Z236,CONCATENATE("V",AA236))</f>
        <v>8</v>
      </c>
      <c r="AJ236" s="154">
        <f>COUNTIF(Z$2:Z236,CONCATENATE("S",AA236))</f>
        <v>4</v>
      </c>
      <c r="AK236" s="154" t="str">
        <f t="shared" si="89"/>
        <v>N</v>
      </c>
      <c r="AL236" s="154">
        <f>IF(AND(Times!J236="M",AJ236&gt;3),3, IF(AND(Times!J236="F",AJ236&gt;2),2,AJ236))</f>
        <v>3</v>
      </c>
      <c r="AM236" s="154">
        <f>IF(Times!J236="M",6, IF(Times!J236="F",4,""))</f>
        <v>6</v>
      </c>
      <c r="AN236" s="154" t="str">
        <f t="shared" si="90"/>
        <v/>
      </c>
      <c r="AO236" s="154" t="str">
        <f t="shared" si="91"/>
        <v/>
      </c>
    </row>
    <row r="237" spans="26:41" x14ac:dyDescent="0.25">
      <c r="Z237" s="154" t="str">
        <f>CONCATENATE(AE237,Times!AD237)</f>
        <v>SFEast End Road Runners</v>
      </c>
      <c r="AA237" s="154" t="str">
        <f>Times!AD237</f>
        <v>FEast End Road Runners</v>
      </c>
      <c r="AB237" s="154" t="str">
        <f>IF(AK237="Y",CONCATENATE(AA237,COUNTIFS($AK$2:AK237,"=Y",$AA$2:AA237,AA237)),"")</f>
        <v/>
      </c>
      <c r="AC237" s="154" t="str">
        <f>Times!K237</f>
        <v>Sarah Pepper</v>
      </c>
      <c r="AD237" s="154">
        <f>Times!G237</f>
        <v>76</v>
      </c>
      <c r="AE237" s="154" t="str">
        <f>IF(Times!D237&lt;&gt;"",IF(ISERR(SEARCH("V",Times!I237,1)),IF(ISERR(SEARCH("S",Times!I237,1)),"S","S"),"V"),"")</f>
        <v>S</v>
      </c>
      <c r="AF237" s="161">
        <f>IF(Times!D237&lt;&gt;"",SUMIFS(Times!$G$2:G237,$AA$2:AA237,AA237,$AK$2:AK237,"Y"),"")</f>
        <v>145</v>
      </c>
      <c r="AG237" s="154" t="str">
        <f>IF(Times!D237&lt;&gt;"",IF(AND(Times!J237="M",AI237+AL237=AM237,AK237="Y"),AF237,""),"")</f>
        <v/>
      </c>
      <c r="AH237" s="154" t="str">
        <f>IF(Times!D237&lt;&gt;"",IF(AND(Times!J237="F",AI237+AL237=AM237,AK237="Y"),AF237,""),"")</f>
        <v/>
      </c>
      <c r="AI237" s="154">
        <f>COUNTIF(Z$2:Z237,CONCATENATE("V",AA237))</f>
        <v>3</v>
      </c>
      <c r="AJ237" s="154">
        <f>COUNTIF(Z$2:Z237,CONCATENATE("S",AA237))</f>
        <v>3</v>
      </c>
      <c r="AK237" s="154" t="str">
        <f t="shared" si="89"/>
        <v>N</v>
      </c>
      <c r="AL237" s="154">
        <f>IF(AND(Times!J237="M",AJ237&gt;3),3, IF(AND(Times!J237="F",AJ237&gt;2),2,AJ237))</f>
        <v>2</v>
      </c>
      <c r="AM237" s="154">
        <f>IF(Times!J237="M",6, IF(Times!J237="F",4,""))</f>
        <v>4</v>
      </c>
      <c r="AN237" s="154" t="str">
        <f t="shared" si="90"/>
        <v/>
      </c>
      <c r="AO237" s="154" t="str">
        <f t="shared" si="91"/>
        <v/>
      </c>
    </row>
    <row r="238" spans="26:41" x14ac:dyDescent="0.25">
      <c r="Z238" s="154" t="str">
        <f>CONCATENATE(AE238,Times!AD238)</f>
        <v>VMUnattached</v>
      </c>
      <c r="AA238" s="154" t="str">
        <f>Times!AD238</f>
        <v>MUnattached</v>
      </c>
      <c r="AB238" s="154" t="str">
        <f>IF(AK238="Y",CONCATENATE(AA238,COUNTIFS($AK$2:AK238,"=Y",$AA$2:AA238,AA238)),"")</f>
        <v>MUnattached4</v>
      </c>
      <c r="AC238" s="154" t="str">
        <f>Times!K238</f>
        <v>Alan Woodroof</v>
      </c>
      <c r="AD238" s="154">
        <f>Times!G238</f>
        <v>161</v>
      </c>
      <c r="AE238" s="154" t="str">
        <f>IF(Times!D238&lt;&gt;"",IF(ISERR(SEARCH("V",Times!I238,1)),IF(ISERR(SEARCH("S",Times!I238,1)),"S","S"),"V"),"")</f>
        <v>V</v>
      </c>
      <c r="AF238" s="161">
        <f>IF(Times!D238&lt;&gt;"",SUMIFS(Times!$G$2:G238,$AA$2:AA238,AA238,$AK$2:AK238,"Y"),"")</f>
        <v>350</v>
      </c>
      <c r="AG238" s="154" t="str">
        <f>IF(Times!D238&lt;&gt;"",IF(AND(Times!J238="M",AI238+AL238=AM238,AK238="Y"),AF238,""),"")</f>
        <v/>
      </c>
      <c r="AH238" s="154" t="str">
        <f>IF(Times!D238&lt;&gt;"",IF(AND(Times!J238="F",AI238+AL238=AM238,AK238="Y"),AF238,""),"")</f>
        <v/>
      </c>
      <c r="AI238" s="154">
        <f>COUNTIF(Z$2:Z238,CONCATENATE("V",AA238))</f>
        <v>2</v>
      </c>
      <c r="AJ238" s="154">
        <f>COUNTIF(Z$2:Z238,CONCATENATE("S",AA238))</f>
        <v>2</v>
      </c>
      <c r="AK238" s="154" t="str">
        <f t="shared" si="89"/>
        <v>Y</v>
      </c>
      <c r="AL238" s="154">
        <f>IF(AND(Times!J238="M",AJ238&gt;3),3, IF(AND(Times!J238="F",AJ238&gt;2),2,AJ238))</f>
        <v>2</v>
      </c>
      <c r="AM238" s="154">
        <f>IF(Times!J238="M",6, IF(Times!J238="F",4,""))</f>
        <v>6</v>
      </c>
      <c r="AN238" s="154" t="str">
        <f t="shared" si="90"/>
        <v/>
      </c>
      <c r="AO238" s="154" t="str">
        <f t="shared" si="91"/>
        <v/>
      </c>
    </row>
    <row r="239" spans="26:41" x14ac:dyDescent="0.25">
      <c r="Z239" s="154" t="str">
        <f>CONCATENATE(AE239,Times!AD239)</f>
        <v>VFEast London Runners</v>
      </c>
      <c r="AA239" s="154" t="str">
        <f>Times!AD239</f>
        <v>FEast London Runners</v>
      </c>
      <c r="AB239" s="154" t="str">
        <f>IF(AK239="Y",CONCATENATE(AA239,COUNTIFS($AK$2:AK239,"=Y",$AA$2:AA239,AA239)),"")</f>
        <v/>
      </c>
      <c r="AC239" s="154" t="str">
        <f>Times!K239</f>
        <v>Diana Rexhepaj</v>
      </c>
      <c r="AD239" s="154">
        <f>Times!G239</f>
        <v>77</v>
      </c>
      <c r="AE239" s="154" t="str">
        <f>IF(Times!D239&lt;&gt;"",IF(ISERR(SEARCH("V",Times!I239,1)),IF(ISERR(SEARCH("S",Times!I239,1)),"S","S"),"V"),"")</f>
        <v>V</v>
      </c>
      <c r="AF239" s="161">
        <f>IF(Times!D239&lt;&gt;"",SUMIFS(Times!$G$2:G239,$AA$2:AA239,AA239,$AK$2:AK239,"Y"),"")</f>
        <v>27</v>
      </c>
      <c r="AG239" s="154" t="str">
        <f>IF(Times!D239&lt;&gt;"",IF(AND(Times!J239="M",AI239+AL239=AM239,AK239="Y"),AF239,""),"")</f>
        <v/>
      </c>
      <c r="AH239" s="154" t="str">
        <f>IF(Times!D239&lt;&gt;"",IF(AND(Times!J239="F",AI239+AL239=AM239,AK239="Y"),AF239,""),"")</f>
        <v/>
      </c>
      <c r="AI239" s="154">
        <f>COUNTIF(Z$2:Z239,CONCATENATE("V",AA239))</f>
        <v>14</v>
      </c>
      <c r="AJ239" s="154">
        <f>COUNTIF(Z$2:Z239,CONCATENATE("S",AA239))</f>
        <v>4</v>
      </c>
      <c r="AK239" s="154" t="str">
        <f t="shared" si="89"/>
        <v>N</v>
      </c>
      <c r="AL239" s="154">
        <f>IF(AND(Times!J239="M",AJ239&gt;3),3, IF(AND(Times!J239="F",AJ239&gt;2),2,AJ239))</f>
        <v>2</v>
      </c>
      <c r="AM239" s="154">
        <f>IF(Times!J239="M",6, IF(Times!J239="F",4,""))</f>
        <v>4</v>
      </c>
      <c r="AN239" s="154" t="str">
        <f t="shared" si="90"/>
        <v/>
      </c>
      <c r="AO239" s="154" t="str">
        <f t="shared" si="91"/>
        <v/>
      </c>
    </row>
    <row r="240" spans="26:41" x14ac:dyDescent="0.25">
      <c r="Z240" s="154" t="str">
        <f>CONCATENATE(AE240,Times!AD240)</f>
        <v>VFBarking Road Runners</v>
      </c>
      <c r="AA240" s="154" t="str">
        <f>Times!AD240</f>
        <v>FBarking Road Runners</v>
      </c>
      <c r="AB240" s="154" t="str">
        <f>IF(AK240="Y",CONCATENATE(AA240,COUNTIFS($AK$2:AK240,"=Y",$AA$2:AA240,AA240)),"")</f>
        <v/>
      </c>
      <c r="AC240" s="154" t="str">
        <f>Times!K240</f>
        <v>Kate Withyman</v>
      </c>
      <c r="AD240" s="154">
        <f>Times!G240</f>
        <v>78</v>
      </c>
      <c r="AE240" s="154" t="str">
        <f>IF(Times!D240&lt;&gt;"",IF(ISERR(SEARCH("V",Times!I240,1)),IF(ISERR(SEARCH("S",Times!I240,1)),"S","S"),"V"),"")</f>
        <v>V</v>
      </c>
      <c r="AF240" s="161">
        <f>IF(Times!D240&lt;&gt;"",SUMIFS(Times!$G$2:G240,$AA$2:AA240,AA240,$AK$2:AK240,"Y"),"")</f>
        <v>122</v>
      </c>
      <c r="AG240" s="154" t="str">
        <f>IF(Times!D240&lt;&gt;"",IF(AND(Times!J240="M",AI240+AL240=AM240,AK240="Y"),AF240,""),"")</f>
        <v/>
      </c>
      <c r="AH240" s="154" t="str">
        <f>IF(Times!D240&lt;&gt;"",IF(AND(Times!J240="F",AI240+AL240=AM240,AK240="Y"),AF240,""),"")</f>
        <v/>
      </c>
      <c r="AI240" s="154">
        <f>COUNTIF(Z$2:Z240,CONCATENATE("V",AA240))</f>
        <v>4</v>
      </c>
      <c r="AJ240" s="154">
        <f>COUNTIF(Z$2:Z240,CONCATENATE("S",AA240))</f>
        <v>1</v>
      </c>
      <c r="AK240" s="154" t="str">
        <f t="shared" si="89"/>
        <v>N</v>
      </c>
      <c r="AL240" s="154">
        <f>IF(AND(Times!J240="M",AJ240&gt;3),3, IF(AND(Times!J240="F",AJ240&gt;2),2,AJ240))</f>
        <v>1</v>
      </c>
      <c r="AM240" s="154">
        <f>IF(Times!J240="M",6, IF(Times!J240="F",4,""))</f>
        <v>4</v>
      </c>
      <c r="AN240" s="154" t="str">
        <f t="shared" si="90"/>
        <v/>
      </c>
      <c r="AO240" s="154" t="str">
        <f t="shared" si="91"/>
        <v/>
      </c>
    </row>
    <row r="241" spans="26:41" x14ac:dyDescent="0.25">
      <c r="Z241" s="154" t="str">
        <f>CONCATENATE(AE241,Times!AD241)</f>
        <v>VFEast London Runners</v>
      </c>
      <c r="AA241" s="154" t="str">
        <f>Times!AD241</f>
        <v>FEast London Runners</v>
      </c>
      <c r="AB241" s="154" t="str">
        <f>IF(AK241="Y",CONCATENATE(AA241,COUNTIFS($AK$2:AK241,"=Y",$AA$2:AA241,AA241)),"")</f>
        <v/>
      </c>
      <c r="AC241" s="154" t="str">
        <f>Times!K241</f>
        <v>Susannah McLaren</v>
      </c>
      <c r="AD241" s="154">
        <f>Times!G241</f>
        <v>79</v>
      </c>
      <c r="AE241" s="154" t="str">
        <f>IF(Times!D241&lt;&gt;"",IF(ISERR(SEARCH("V",Times!I241,1)),IF(ISERR(SEARCH("S",Times!I241,1)),"S","S"),"V"),"")</f>
        <v>V</v>
      </c>
      <c r="AF241" s="161">
        <f>IF(Times!D241&lt;&gt;"",SUMIFS(Times!$G$2:G241,$AA$2:AA241,AA241,$AK$2:AK241,"Y"),"")</f>
        <v>27</v>
      </c>
      <c r="AG241" s="154" t="str">
        <f>IF(Times!D241&lt;&gt;"",IF(AND(Times!J241="M",AI241+AL241=AM241,AK241="Y"),AF241,""),"")</f>
        <v/>
      </c>
      <c r="AH241" s="154" t="str">
        <f>IF(Times!D241&lt;&gt;"",IF(AND(Times!J241="F",AI241+AL241=AM241,AK241="Y"),AF241,""),"")</f>
        <v/>
      </c>
      <c r="AI241" s="154">
        <f>COUNTIF(Z$2:Z241,CONCATENATE("V",AA241))</f>
        <v>15</v>
      </c>
      <c r="AJ241" s="154">
        <f>COUNTIF(Z$2:Z241,CONCATENATE("S",AA241))</f>
        <v>4</v>
      </c>
      <c r="AK241" s="154" t="str">
        <f t="shared" si="89"/>
        <v>N</v>
      </c>
      <c r="AL241" s="154">
        <f>IF(AND(Times!J241="M",AJ241&gt;3),3, IF(AND(Times!J241="F",AJ241&gt;2),2,AJ241))</f>
        <v>2</v>
      </c>
      <c r="AM241" s="154">
        <f>IF(Times!J241="M",6, IF(Times!J241="F",4,""))</f>
        <v>4</v>
      </c>
      <c r="AN241" s="154" t="str">
        <f t="shared" si="90"/>
        <v/>
      </c>
      <c r="AO241" s="154" t="str">
        <f t="shared" si="91"/>
        <v/>
      </c>
    </row>
    <row r="242" spans="26:41" x14ac:dyDescent="0.25">
      <c r="Z242" s="154" t="str">
        <f>CONCATENATE(AE242,Times!AD242)</f>
        <v>VFDagenham 88 Runners</v>
      </c>
      <c r="AA242" s="154" t="str">
        <f>Times!AD242</f>
        <v>FDagenham 88 Runners</v>
      </c>
      <c r="AB242" s="154" t="str">
        <f>IF(AK242="Y",CONCATENATE(AA242,COUNTIFS($AK$2:AK242,"=Y",$AA$2:AA242,AA242)),"")</f>
        <v>FDagenham 88 Runners4</v>
      </c>
      <c r="AC242" s="154" t="str">
        <f>Times!K242</f>
        <v>Selon Timi Veerasamy</v>
      </c>
      <c r="AD242" s="154">
        <f>Times!G242</f>
        <v>80</v>
      </c>
      <c r="AE242" s="154" t="str">
        <f>IF(Times!D242&lt;&gt;"",IF(ISERR(SEARCH("V",Times!I242,1)),IF(ISERR(SEARCH("S",Times!I242,1)),"S","S"),"V"),"")</f>
        <v>V</v>
      </c>
      <c r="AF242" s="161">
        <f>IF(Times!D242&lt;&gt;"",SUMIFS(Times!$G$2:G242,$AA$2:AA242,AA242,$AK$2:AK242,"Y"),"")</f>
        <v>217</v>
      </c>
      <c r="AG242" s="154" t="str">
        <f>IF(Times!D242&lt;&gt;"",IF(AND(Times!J242="M",AI242+AL242=AM242,AK242="Y"),AF242,""),"")</f>
        <v/>
      </c>
      <c r="AH242" s="154">
        <f>IF(Times!D242&lt;&gt;"",IF(AND(Times!J242="F",AI242+AL242=AM242,AK242="Y"),AF242,""),"")</f>
        <v>217</v>
      </c>
      <c r="AI242" s="154">
        <f>COUNTIF(Z$2:Z242,CONCATENATE("V",AA242))</f>
        <v>4</v>
      </c>
      <c r="AJ242" s="154">
        <f>COUNTIF(Z$2:Z242,CONCATENATE("S",AA242))</f>
        <v>0</v>
      </c>
      <c r="AK242" s="154" t="str">
        <f t="shared" si="89"/>
        <v>Y</v>
      </c>
      <c r="AL242" s="154">
        <f>IF(AND(Times!J242="M",AJ242&gt;3),3, IF(AND(Times!J242="F",AJ242&gt;2),2,AJ242))</f>
        <v>0</v>
      </c>
      <c r="AM242" s="154">
        <f>IF(Times!J242="M",6, IF(Times!J242="F",4,""))</f>
        <v>4</v>
      </c>
      <c r="AN242" s="154" t="str">
        <f t="shared" si="90"/>
        <v/>
      </c>
      <c r="AO242" s="154">
        <f t="shared" si="91"/>
        <v>9</v>
      </c>
    </row>
    <row r="243" spans="26:41" x14ac:dyDescent="0.25">
      <c r="Z243" s="154" t="str">
        <f>CONCATENATE(AE243,Times!AD243)</f>
        <v>VMIlford AC</v>
      </c>
      <c r="AA243" s="154" t="str">
        <f>Times!AD243</f>
        <v>MIlford AC</v>
      </c>
      <c r="AB243" s="154" t="str">
        <f>IF(AK243="Y",CONCATENATE(AA243,COUNTIFS($AK$2:AK243,"=Y",$AA$2:AA243,AA243)),"")</f>
        <v/>
      </c>
      <c r="AC243" s="154" t="str">
        <f>Times!K243</f>
        <v>James Huddart</v>
      </c>
      <c r="AD243" s="154">
        <f>Times!G243</f>
        <v>162</v>
      </c>
      <c r="AE243" s="154" t="str">
        <f>IF(Times!D243&lt;&gt;"",IF(ISERR(SEARCH("V",Times!I243,1)),IF(ISERR(SEARCH("S",Times!I243,1)),"S","S"),"V"),"")</f>
        <v>V</v>
      </c>
      <c r="AF243" s="161">
        <f>IF(Times!D243&lt;&gt;"",SUMIFS(Times!$G$2:G243,$AA$2:AA243,AA243,$AK$2:AK243,"Y"),"")</f>
        <v>56</v>
      </c>
      <c r="AG243" s="154" t="str">
        <f>IF(Times!D243&lt;&gt;"",IF(AND(Times!J243="M",AI243+AL243=AM243,AK243="Y"),AF243,""),"")</f>
        <v/>
      </c>
      <c r="AH243" s="154" t="str">
        <f>IF(Times!D243&lt;&gt;"",IF(AND(Times!J243="F",AI243+AL243=AM243,AK243="Y"),AF243,""),"")</f>
        <v/>
      </c>
      <c r="AI243" s="154">
        <f>COUNTIF(Z$2:Z243,CONCATENATE("V",AA243))</f>
        <v>12</v>
      </c>
      <c r="AJ243" s="154">
        <f>COUNTIF(Z$2:Z243,CONCATENATE("S",AA243))</f>
        <v>6</v>
      </c>
      <c r="AK243" s="154" t="str">
        <f t="shared" si="89"/>
        <v>N</v>
      </c>
      <c r="AL243" s="154">
        <f>IF(AND(Times!J243="M",AJ243&gt;3),3, IF(AND(Times!J243="F",AJ243&gt;2),2,AJ243))</f>
        <v>3</v>
      </c>
      <c r="AM243" s="154">
        <f>IF(Times!J243="M",6, IF(Times!J243="F",4,""))</f>
        <v>6</v>
      </c>
      <c r="AN243" s="154" t="str">
        <f t="shared" si="90"/>
        <v/>
      </c>
      <c r="AO243" s="154" t="str">
        <f t="shared" si="91"/>
        <v/>
      </c>
    </row>
    <row r="244" spans="26:41" x14ac:dyDescent="0.25">
      <c r="Z244" s="154" t="str">
        <f>CONCATENATE(AE244,Times!AD244)</f>
        <v>VMHavering 90 Joggers</v>
      </c>
      <c r="AA244" s="154" t="str">
        <f>Times!AD244</f>
        <v>MHavering 90 Joggers</v>
      </c>
      <c r="AB244" s="154" t="str">
        <f>IF(AK244="Y",CONCATENATE(AA244,COUNTIFS($AK$2:AK244,"=Y",$AA$2:AA244,AA244)),"")</f>
        <v/>
      </c>
      <c r="AC244" s="154" t="str">
        <f>Times!K244</f>
        <v>Bernard Savage</v>
      </c>
      <c r="AD244" s="154">
        <f>Times!G244</f>
        <v>163</v>
      </c>
      <c r="AE244" s="154" t="str">
        <f>IF(Times!D244&lt;&gt;"",IF(ISERR(SEARCH("V",Times!I244,1)),IF(ISERR(SEARCH("S",Times!I244,1)),"S","S"),"V"),"")</f>
        <v>V</v>
      </c>
      <c r="AF244" s="161">
        <f>IF(Times!D244&lt;&gt;"",SUMIFS(Times!$G$2:G244,$AA$2:AA244,AA244,$AK$2:AK244,"Y"),"")</f>
        <v>506</v>
      </c>
      <c r="AG244" s="154" t="str">
        <f>IF(Times!D244&lt;&gt;"",IF(AND(Times!J244="M",AI244+AL244=AM244,AK244="Y"),AF244,""),"")</f>
        <v/>
      </c>
      <c r="AH244" s="154" t="str">
        <f>IF(Times!D244&lt;&gt;"",IF(AND(Times!J244="F",AI244+AL244=AM244,AK244="Y"),AF244,""),"")</f>
        <v/>
      </c>
      <c r="AI244" s="154">
        <f>COUNTIF(Z$2:Z244,CONCATENATE("V",AA244))</f>
        <v>9</v>
      </c>
      <c r="AJ244" s="154">
        <f>COUNTIF(Z$2:Z244,CONCATENATE("S",AA244))</f>
        <v>2</v>
      </c>
      <c r="AK244" s="154" t="str">
        <f t="shared" si="89"/>
        <v>N</v>
      </c>
      <c r="AL244" s="154">
        <f>IF(AND(Times!J244="M",AJ244&gt;3),3, IF(AND(Times!J244="F",AJ244&gt;2),2,AJ244))</f>
        <v>2</v>
      </c>
      <c r="AM244" s="154">
        <f>IF(Times!J244="M",6, IF(Times!J244="F",4,""))</f>
        <v>6</v>
      </c>
      <c r="AN244" s="154" t="str">
        <f t="shared" si="90"/>
        <v/>
      </c>
      <c r="AO244" s="154" t="str">
        <f t="shared" si="91"/>
        <v/>
      </c>
    </row>
    <row r="245" spans="26:41" x14ac:dyDescent="0.25">
      <c r="Z245" s="154" t="str">
        <f>CONCATENATE(AE245,Times!AD245)</f>
        <v>VFDagenham 88 Runners</v>
      </c>
      <c r="AA245" s="154" t="str">
        <f>Times!AD245</f>
        <v>FDagenham 88 Runners</v>
      </c>
      <c r="AB245" s="154" t="str">
        <f>IF(AK245="Y",CONCATENATE(AA245,COUNTIFS($AK$2:AK245,"=Y",$AA$2:AA245,AA245)),"")</f>
        <v/>
      </c>
      <c r="AC245" s="154" t="str">
        <f>Times!K245</f>
        <v>Emma O'Shea</v>
      </c>
      <c r="AD245" s="154">
        <f>Times!G245</f>
        <v>81</v>
      </c>
      <c r="AE245" s="154" t="str">
        <f>IF(Times!D245&lt;&gt;"",IF(ISERR(SEARCH("V",Times!I245,1)),IF(ISERR(SEARCH("S",Times!I245,1)),"S","S"),"V"),"")</f>
        <v>V</v>
      </c>
      <c r="AF245" s="161">
        <f>IF(Times!D245&lt;&gt;"",SUMIFS(Times!$G$2:G245,$AA$2:AA245,AA245,$AK$2:AK245,"Y"),"")</f>
        <v>217</v>
      </c>
      <c r="AG245" s="154" t="str">
        <f>IF(Times!D245&lt;&gt;"",IF(AND(Times!J245="M",AI245+AL245=AM245,AK245="Y"),AF245,""),"")</f>
        <v/>
      </c>
      <c r="AH245" s="154" t="str">
        <f>IF(Times!D245&lt;&gt;"",IF(AND(Times!J245="F",AI245+AL245=AM245,AK245="Y"),AF245,""),"")</f>
        <v/>
      </c>
      <c r="AI245" s="154">
        <f>COUNTIF(Z$2:Z245,CONCATENATE("V",AA245))</f>
        <v>5</v>
      </c>
      <c r="AJ245" s="154">
        <f>COUNTIF(Z$2:Z245,CONCATENATE("S",AA245))</f>
        <v>0</v>
      </c>
      <c r="AK245" s="154" t="str">
        <f t="shared" si="89"/>
        <v>N</v>
      </c>
      <c r="AL245" s="154">
        <f>IF(AND(Times!J245="M",AJ245&gt;3),3, IF(AND(Times!J245="F",AJ245&gt;2),2,AJ245))</f>
        <v>0</v>
      </c>
      <c r="AM245" s="154">
        <f>IF(Times!J245="M",6, IF(Times!J245="F",4,""))</f>
        <v>4</v>
      </c>
      <c r="AN245" s="154" t="str">
        <f t="shared" si="90"/>
        <v/>
      </c>
      <c r="AO245" s="154" t="str">
        <f t="shared" si="91"/>
        <v/>
      </c>
    </row>
    <row r="246" spans="26:41" x14ac:dyDescent="0.25">
      <c r="Z246" s="154" t="str">
        <f>CONCATENATE(AE246,Times!AD246)</f>
        <v>VFEton Manor AC</v>
      </c>
      <c r="AA246" s="154" t="str">
        <f>Times!AD246</f>
        <v>FEton Manor AC</v>
      </c>
      <c r="AB246" s="154" t="str">
        <f>IF(AK246="Y",CONCATENATE(AA246,COUNTIFS($AK$2:AK246,"=Y",$AA$2:AA246,AA246)),"")</f>
        <v/>
      </c>
      <c r="AC246" s="154" t="str">
        <f>Times!K246</f>
        <v>Christina Watson</v>
      </c>
      <c r="AD246" s="154">
        <f>Times!G246</f>
        <v>82</v>
      </c>
      <c r="AE246" s="154" t="str">
        <f>IF(Times!D246&lt;&gt;"",IF(ISERR(SEARCH("V",Times!I246,1)),IF(ISERR(SEARCH("S",Times!I246,1)),"S","S"),"V"),"")</f>
        <v>V</v>
      </c>
      <c r="AF246" s="161">
        <f>IF(Times!D246&lt;&gt;"",SUMIFS(Times!$G$2:G246,$AA$2:AA246,AA246,$AK$2:AK246,"Y"),"")</f>
        <v>60</v>
      </c>
      <c r="AG246" s="154" t="str">
        <f>IF(Times!D246&lt;&gt;"",IF(AND(Times!J246="M",AI246+AL246=AM246,AK246="Y"),AF246,""),"")</f>
        <v/>
      </c>
      <c r="AH246" s="154" t="str">
        <f>IF(Times!D246&lt;&gt;"",IF(AND(Times!J246="F",AI246+AL246=AM246,AK246="Y"),AF246,""),"")</f>
        <v/>
      </c>
      <c r="AI246" s="154">
        <f>COUNTIF(Z$2:Z246,CONCATENATE("V",AA246))</f>
        <v>11</v>
      </c>
      <c r="AJ246" s="154">
        <f>COUNTIF(Z$2:Z246,CONCATENATE("S",AA246))</f>
        <v>0</v>
      </c>
      <c r="AK246" s="154" t="str">
        <f t="shared" si="89"/>
        <v>N</v>
      </c>
      <c r="AL246" s="154">
        <f>IF(AND(Times!J246="M",AJ246&gt;3),3, IF(AND(Times!J246="F",AJ246&gt;2),2,AJ246))</f>
        <v>0</v>
      </c>
      <c r="AM246" s="154">
        <f>IF(Times!J246="M",6, IF(Times!J246="F",4,""))</f>
        <v>4</v>
      </c>
      <c r="AN246" s="154" t="str">
        <f t="shared" si="90"/>
        <v/>
      </c>
      <c r="AO246" s="154" t="str">
        <f t="shared" si="91"/>
        <v/>
      </c>
    </row>
    <row r="247" spans="26:41" x14ac:dyDescent="0.25">
      <c r="Z247" s="154" t="str">
        <f>CONCATENATE(AE247,Times!AD247)</f>
        <v>VFEast End Road Runners</v>
      </c>
      <c r="AA247" s="154" t="str">
        <f>Times!AD247</f>
        <v>FEast End Road Runners</v>
      </c>
      <c r="AB247" s="154" t="str">
        <f>IF(AK247="Y",CONCATENATE(AA247,COUNTIFS($AK$2:AK247,"=Y",$AA$2:AA247,AA247)),"")</f>
        <v/>
      </c>
      <c r="AC247" s="154" t="str">
        <f>Times!K247</f>
        <v>Joanna Dorling</v>
      </c>
      <c r="AD247" s="154">
        <f>Times!G247</f>
        <v>83</v>
      </c>
      <c r="AE247" s="154" t="str">
        <f>IF(Times!D247&lt;&gt;"",IF(ISERR(SEARCH("V",Times!I247,1)),IF(ISERR(SEARCH("S",Times!I247,1)),"S","S"),"V"),"")</f>
        <v>V</v>
      </c>
      <c r="AF247" s="161">
        <f>IF(Times!D247&lt;&gt;"",SUMIFS(Times!$G$2:G247,$AA$2:AA247,AA247,$AK$2:AK247,"Y"),"")</f>
        <v>145</v>
      </c>
      <c r="AG247" s="154" t="str">
        <f>IF(Times!D247&lt;&gt;"",IF(AND(Times!J247="M",AI247+AL247=AM247,AK247="Y"),AF247,""),"")</f>
        <v/>
      </c>
      <c r="AH247" s="154" t="str">
        <f>IF(Times!D247&lt;&gt;"",IF(AND(Times!J247="F",AI247+AL247=AM247,AK247="Y"),AF247,""),"")</f>
        <v/>
      </c>
      <c r="AI247" s="154">
        <f>COUNTIF(Z$2:Z247,CONCATENATE("V",AA247))</f>
        <v>4</v>
      </c>
      <c r="AJ247" s="154">
        <f>COUNTIF(Z$2:Z247,CONCATENATE("S",AA247))</f>
        <v>3</v>
      </c>
      <c r="AK247" s="154" t="str">
        <f t="shared" si="89"/>
        <v>N</v>
      </c>
      <c r="AL247" s="154">
        <f>IF(AND(Times!J247="M",AJ247&gt;3),3, IF(AND(Times!J247="F",AJ247&gt;2),2,AJ247))</f>
        <v>2</v>
      </c>
      <c r="AM247" s="154">
        <f>IF(Times!J247="M",6, IF(Times!J247="F",4,""))</f>
        <v>4</v>
      </c>
      <c r="AN247" s="154" t="str">
        <f t="shared" si="90"/>
        <v/>
      </c>
      <c r="AO247" s="154" t="str">
        <f t="shared" si="91"/>
        <v/>
      </c>
    </row>
    <row r="248" spans="26:41" x14ac:dyDescent="0.25">
      <c r="Z248" s="154" t="str">
        <f>CONCATENATE(AE248,Times!AD248)</f>
        <v>SMEast End Road Runners</v>
      </c>
      <c r="AA248" s="154" t="str">
        <f>Times!AD248</f>
        <v>MEast End Road Runners</v>
      </c>
      <c r="AB248" s="154" t="str">
        <f>IF(AK248="Y",CONCATENATE(AA248,COUNTIFS($AK$2:AK248,"=Y",$AA$2:AA248,AA248)),"")</f>
        <v/>
      </c>
      <c r="AC248" s="154" t="str">
        <f>Times!K248</f>
        <v>Nicholas Reeve</v>
      </c>
      <c r="AD248" s="154">
        <f>Times!G248</f>
        <v>164</v>
      </c>
      <c r="AE248" s="154" t="str">
        <f>IF(Times!D248&lt;&gt;"",IF(ISERR(SEARCH("V",Times!I248,1)),IF(ISERR(SEARCH("S",Times!I248,1)),"S","S"),"V"),"")</f>
        <v>S</v>
      </c>
      <c r="AF248" s="161">
        <f>IF(Times!D248&lt;&gt;"",SUMIFS(Times!$G$2:G248,$AA$2:AA248,AA248,$AK$2:AK248,"Y"),"")</f>
        <v>343</v>
      </c>
      <c r="AG248" s="154" t="str">
        <f>IF(Times!D248&lt;&gt;"",IF(AND(Times!J248="M",AI248+AL248=AM248,AK248="Y"),AF248,""),"")</f>
        <v/>
      </c>
      <c r="AH248" s="154" t="str">
        <f>IF(Times!D248&lt;&gt;"",IF(AND(Times!J248="F",AI248+AL248=AM248,AK248="Y"),AF248,""),"")</f>
        <v/>
      </c>
      <c r="AI248" s="154">
        <f>COUNTIF(Z$2:Z248,CONCATENATE("V",AA248))</f>
        <v>7</v>
      </c>
      <c r="AJ248" s="154">
        <f>COUNTIF(Z$2:Z248,CONCATENATE("S",AA248))</f>
        <v>8</v>
      </c>
      <c r="AK248" s="154" t="str">
        <f t="shared" si="89"/>
        <v>N</v>
      </c>
      <c r="AL248" s="154">
        <f>IF(AND(Times!J248="M",AJ248&gt;3),3, IF(AND(Times!J248="F",AJ248&gt;2),2,AJ248))</f>
        <v>3</v>
      </c>
      <c r="AM248" s="154">
        <f>IF(Times!J248="M",6, IF(Times!J248="F",4,""))</f>
        <v>6</v>
      </c>
      <c r="AN248" s="154" t="str">
        <f t="shared" si="90"/>
        <v/>
      </c>
      <c r="AO248" s="154" t="str">
        <f t="shared" si="91"/>
        <v/>
      </c>
    </row>
    <row r="249" spans="26:41" x14ac:dyDescent="0.25">
      <c r="Z249" s="154" t="str">
        <f>CONCATENATE(AE249,Times!AD249)</f>
        <v>SMHarold Wood Running Club</v>
      </c>
      <c r="AA249" s="154" t="str">
        <f>Times!AD249</f>
        <v>MHarold Wood Running Club</v>
      </c>
      <c r="AB249" s="154" t="str">
        <f>IF(AK249="Y",CONCATENATE(AA249,COUNTIFS($AK$2:AK249,"=Y",$AA$2:AA249,AA249)),"")</f>
        <v/>
      </c>
      <c r="AC249" s="154" t="str">
        <f>Times!K249</f>
        <v>Abhishek Anand</v>
      </c>
      <c r="AD249" s="154">
        <f>Times!G249</f>
        <v>165</v>
      </c>
      <c r="AE249" s="154" t="str">
        <f>IF(Times!D249&lt;&gt;"",IF(ISERR(SEARCH("V",Times!I249,1)),IF(ISERR(SEARCH("S",Times!I249,1)),"S","S"),"V"),"")</f>
        <v>S</v>
      </c>
      <c r="AF249" s="161">
        <f>IF(Times!D249&lt;&gt;"",SUMIFS(Times!$G$2:G249,$AA$2:AA249,AA249,$AK$2:AK249,"Y"),"")</f>
        <v>506</v>
      </c>
      <c r="AG249" s="154" t="str">
        <f>IF(Times!D249&lt;&gt;"",IF(AND(Times!J249="M",AI249+AL249=AM249,AK249="Y"),AF249,""),"")</f>
        <v/>
      </c>
      <c r="AH249" s="154" t="str">
        <f>IF(Times!D249&lt;&gt;"",IF(AND(Times!J249="F",AI249+AL249=AM249,AK249="Y"),AF249,""),"")</f>
        <v/>
      </c>
      <c r="AI249" s="154">
        <f>COUNTIF(Z$2:Z249,CONCATENATE("V",AA249))</f>
        <v>3</v>
      </c>
      <c r="AJ249" s="154">
        <f>COUNTIF(Z$2:Z249,CONCATENATE("S",AA249))</f>
        <v>7</v>
      </c>
      <c r="AK249" s="154" t="str">
        <f t="shared" si="89"/>
        <v>N</v>
      </c>
      <c r="AL249" s="154">
        <f>IF(AND(Times!J249="M",AJ249&gt;3),3, IF(AND(Times!J249="F",AJ249&gt;2),2,AJ249))</f>
        <v>3</v>
      </c>
      <c r="AM249" s="154">
        <f>IF(Times!J249="M",6, IF(Times!J249="F",4,""))</f>
        <v>6</v>
      </c>
      <c r="AN249" s="154" t="str">
        <f t="shared" si="90"/>
        <v/>
      </c>
      <c r="AO249" s="154" t="str">
        <f t="shared" si="91"/>
        <v/>
      </c>
    </row>
    <row r="250" spans="26:41" x14ac:dyDescent="0.25">
      <c r="Z250" s="154" t="str">
        <f>CONCATENATE(AE250,Times!AD250)</f>
        <v>VFHavering 90 Joggers</v>
      </c>
      <c r="AA250" s="154" t="str">
        <f>Times!AD250</f>
        <v>FHavering 90 Joggers</v>
      </c>
      <c r="AB250" s="154" t="str">
        <f>IF(AK250="Y",CONCATENATE(AA250,COUNTIFS($AK$2:AK250,"=Y",$AA$2:AA250,AA250)),"")</f>
        <v/>
      </c>
      <c r="AC250" s="154" t="str">
        <f>Times!K250</f>
        <v>Hazel Winston</v>
      </c>
      <c r="AD250" s="154">
        <f>Times!G250</f>
        <v>84</v>
      </c>
      <c r="AE250" s="154" t="str">
        <f>IF(Times!D250&lt;&gt;"",IF(ISERR(SEARCH("V",Times!I250,1)),IF(ISERR(SEARCH("S",Times!I250,1)),"S","S"),"V"),"")</f>
        <v>V</v>
      </c>
      <c r="AF250" s="161">
        <f>IF(Times!D250&lt;&gt;"",SUMIFS(Times!$G$2:G250,$AA$2:AA250,AA250,$AK$2:AK250,"Y"),"")</f>
        <v>203</v>
      </c>
      <c r="AG250" s="154" t="str">
        <f>IF(Times!D250&lt;&gt;"",IF(AND(Times!J250="M",AI250+AL250=AM250,AK250="Y"),AF250,""),"")</f>
        <v/>
      </c>
      <c r="AH250" s="154" t="str">
        <f>IF(Times!D250&lt;&gt;"",IF(AND(Times!J250="F",AI250+AL250=AM250,AK250="Y"),AF250,""),"")</f>
        <v/>
      </c>
      <c r="AI250" s="154">
        <f>COUNTIF(Z$2:Z250,CONCATENATE("V",AA250))</f>
        <v>7</v>
      </c>
      <c r="AJ250" s="154">
        <f>COUNTIF(Z$2:Z250,CONCATENATE("S",AA250))</f>
        <v>0</v>
      </c>
      <c r="AK250" s="154" t="str">
        <f t="shared" si="89"/>
        <v>N</v>
      </c>
      <c r="AL250" s="154">
        <f>IF(AND(Times!J250="M",AJ250&gt;3),3, IF(AND(Times!J250="F",AJ250&gt;2),2,AJ250))</f>
        <v>0</v>
      </c>
      <c r="AM250" s="154">
        <f>IF(Times!J250="M",6, IF(Times!J250="F",4,""))</f>
        <v>4</v>
      </c>
      <c r="AN250" s="154" t="str">
        <f t="shared" si="90"/>
        <v/>
      </c>
      <c r="AO250" s="154" t="str">
        <f t="shared" si="91"/>
        <v/>
      </c>
    </row>
    <row r="251" spans="26:41" x14ac:dyDescent="0.25">
      <c r="Z251" s="154" t="str">
        <f>CONCATENATE(AE251,Times!AD251)</f>
        <v>VMEton Manor AC</v>
      </c>
      <c r="AA251" s="154" t="str">
        <f>Times!AD251</f>
        <v>MEton Manor AC</v>
      </c>
      <c r="AB251" s="154" t="str">
        <f>IF(AK251="Y",CONCATENATE(AA251,COUNTIFS($AK$2:AK251,"=Y",$AA$2:AA251,AA251)),"")</f>
        <v/>
      </c>
      <c r="AC251" s="154" t="str">
        <f>Times!K251</f>
        <v>Robert Maggio</v>
      </c>
      <c r="AD251" s="154">
        <f>Times!G251</f>
        <v>166</v>
      </c>
      <c r="AE251" s="154" t="str">
        <f>IF(Times!D251&lt;&gt;"",IF(ISERR(SEARCH("V",Times!I251,1)),IF(ISERR(SEARCH("S",Times!I251,1)),"S","S"),"V"),"")</f>
        <v>V</v>
      </c>
      <c r="AF251" s="161">
        <f>IF(Times!D251&lt;&gt;"",SUMIFS(Times!$G$2:G251,$AA$2:AA251,AA251,$AK$2:AK251,"Y"),"")</f>
        <v>407</v>
      </c>
      <c r="AG251" s="154" t="str">
        <f>IF(Times!D251&lt;&gt;"",IF(AND(Times!J251="M",AI251+AL251=AM251,AK251="Y"),AF251,""),"")</f>
        <v/>
      </c>
      <c r="AH251" s="154" t="str">
        <f>IF(Times!D251&lt;&gt;"",IF(AND(Times!J251="F",AI251+AL251=AM251,AK251="Y"),AF251,""),"")</f>
        <v/>
      </c>
      <c r="AI251" s="154">
        <f>COUNTIF(Z$2:Z251,CONCATENATE("V",AA251))</f>
        <v>4</v>
      </c>
      <c r="AJ251" s="154">
        <f>COUNTIF(Z$2:Z251,CONCATENATE("S",AA251))</f>
        <v>3</v>
      </c>
      <c r="AK251" s="154" t="str">
        <f t="shared" si="89"/>
        <v>N</v>
      </c>
      <c r="AL251" s="154">
        <f>IF(AND(Times!J251="M",AJ251&gt;3),3, IF(AND(Times!J251="F",AJ251&gt;2),2,AJ251))</f>
        <v>3</v>
      </c>
      <c r="AM251" s="154">
        <f>IF(Times!J251="M",6, IF(Times!J251="F",4,""))</f>
        <v>6</v>
      </c>
      <c r="AN251" s="154" t="str">
        <f t="shared" si="90"/>
        <v/>
      </c>
      <c r="AO251" s="154" t="str">
        <f t="shared" si="91"/>
        <v/>
      </c>
    </row>
    <row r="252" spans="26:41" x14ac:dyDescent="0.25">
      <c r="Z252" s="154" t="str">
        <f>CONCATENATE(AE252,Times!AD252)</f>
        <v>SFHarold Wood Running Club</v>
      </c>
      <c r="AA252" s="154" t="str">
        <f>Times!AD252</f>
        <v>FHarold Wood Running Club</v>
      </c>
      <c r="AB252" s="154" t="str">
        <f>IF(AK252="Y",CONCATENATE(AA252,COUNTIFS($AK$2:AK252,"=Y",$AA$2:AA252,AA252)),"")</f>
        <v/>
      </c>
      <c r="AC252" s="154" t="str">
        <f>Times!K252</f>
        <v>Shweta Tiwari</v>
      </c>
      <c r="AD252" s="154">
        <f>Times!G252</f>
        <v>85</v>
      </c>
      <c r="AE252" s="154" t="str">
        <f>IF(Times!D252&lt;&gt;"",IF(ISERR(SEARCH("V",Times!I252,1)),IF(ISERR(SEARCH("S",Times!I252,1)),"S","S"),"V"),"")</f>
        <v>S</v>
      </c>
      <c r="AF252" s="161">
        <f>IF(Times!D252&lt;&gt;"",SUMIFS(Times!$G$2:G252,$AA$2:AA252,AA252,$AK$2:AK252,"Y"),"")</f>
        <v>97</v>
      </c>
      <c r="AG252" s="154" t="str">
        <f>IF(Times!D252&lt;&gt;"",IF(AND(Times!J252="M",AI252+AL252=AM252,AK252="Y"),AF252,""),"")</f>
        <v/>
      </c>
      <c r="AH252" s="154" t="str">
        <f>IF(Times!D252&lt;&gt;"",IF(AND(Times!J252="F",AI252+AL252=AM252,AK252="Y"),AF252,""),"")</f>
        <v/>
      </c>
      <c r="AI252" s="154">
        <f>COUNTIF(Z$2:Z252,CONCATENATE("V",AA252))</f>
        <v>4</v>
      </c>
      <c r="AJ252" s="154">
        <f>COUNTIF(Z$2:Z252,CONCATENATE("S",AA252))</f>
        <v>3</v>
      </c>
      <c r="AK252" s="154" t="str">
        <f t="shared" si="89"/>
        <v>N</v>
      </c>
      <c r="AL252" s="154">
        <f>IF(AND(Times!J252="M",AJ252&gt;3),3, IF(AND(Times!J252="F",AJ252&gt;2),2,AJ252))</f>
        <v>2</v>
      </c>
      <c r="AM252" s="154">
        <f>IF(Times!J252="M",6, IF(Times!J252="F",4,""))</f>
        <v>4</v>
      </c>
      <c r="AN252" s="154" t="str">
        <f t="shared" si="90"/>
        <v/>
      </c>
      <c r="AO252" s="154" t="str">
        <f t="shared" si="91"/>
        <v/>
      </c>
    </row>
    <row r="253" spans="26:41" x14ac:dyDescent="0.25">
      <c r="Z253" s="154" t="str">
        <f>CONCATENATE(AE253,Times!AD253)</f>
        <v>VMIlford AC</v>
      </c>
      <c r="AA253" s="154" t="str">
        <f>Times!AD253</f>
        <v>MIlford AC</v>
      </c>
      <c r="AB253" s="154" t="str">
        <f>IF(AK253="Y",CONCATENATE(AA253,COUNTIFS($AK$2:AK253,"=Y",$AA$2:AA253,AA253)),"")</f>
        <v/>
      </c>
      <c r="AC253" s="154" t="str">
        <f>Times!K253</f>
        <v>Sukhbindar Jandu</v>
      </c>
      <c r="AD253" s="154">
        <f>Times!G253</f>
        <v>167</v>
      </c>
      <c r="AE253" s="154" t="str">
        <f>IF(Times!D253&lt;&gt;"",IF(ISERR(SEARCH("V",Times!I253,1)),IF(ISERR(SEARCH("S",Times!I253,1)),"S","S"),"V"),"")</f>
        <v>V</v>
      </c>
      <c r="AF253" s="161">
        <f>IF(Times!D253&lt;&gt;"",SUMIFS(Times!$G$2:G253,$AA$2:AA253,AA253,$AK$2:AK253,"Y"),"")</f>
        <v>56</v>
      </c>
      <c r="AG253" s="154" t="str">
        <f>IF(Times!D253&lt;&gt;"",IF(AND(Times!J253="M",AI253+AL253=AM253,AK253="Y"),AF253,""),"")</f>
        <v/>
      </c>
      <c r="AH253" s="154" t="str">
        <f>IF(Times!D253&lt;&gt;"",IF(AND(Times!J253="F",AI253+AL253=AM253,AK253="Y"),AF253,""),"")</f>
        <v/>
      </c>
      <c r="AI253" s="154">
        <f>COUNTIF(Z$2:Z253,CONCATENATE("V",AA253))</f>
        <v>13</v>
      </c>
      <c r="AJ253" s="154">
        <f>COUNTIF(Z$2:Z253,CONCATENATE("S",AA253))</f>
        <v>6</v>
      </c>
      <c r="AK253" s="154" t="str">
        <f t="shared" si="89"/>
        <v>N</v>
      </c>
      <c r="AL253" s="154">
        <f>IF(AND(Times!J253="M",AJ253&gt;3),3, IF(AND(Times!J253="F",AJ253&gt;2),2,AJ253))</f>
        <v>3</v>
      </c>
      <c r="AM253" s="154">
        <f>IF(Times!J253="M",6, IF(Times!J253="F",4,""))</f>
        <v>6</v>
      </c>
      <c r="AN253" s="154" t="str">
        <f t="shared" si="90"/>
        <v/>
      </c>
      <c r="AO253" s="154" t="str">
        <f t="shared" si="91"/>
        <v/>
      </c>
    </row>
    <row r="254" spans="26:41" x14ac:dyDescent="0.25">
      <c r="Z254" s="154" t="str">
        <f>CONCATENATE(AE254,Times!AD254)</f>
        <v>VMHavering 90 Joggers</v>
      </c>
      <c r="AA254" s="154" t="str">
        <f>Times!AD254</f>
        <v>MHavering 90 Joggers</v>
      </c>
      <c r="AB254" s="154" t="str">
        <f>IF(AK254="Y",CONCATENATE(AA254,COUNTIFS($AK$2:AK254,"=Y",$AA$2:AA254,AA254)),"")</f>
        <v/>
      </c>
      <c r="AC254" s="154" t="str">
        <f>Times!K254</f>
        <v>Henry Monaghan</v>
      </c>
      <c r="AD254" s="154">
        <f>Times!G254</f>
        <v>168</v>
      </c>
      <c r="AE254" s="154" t="str">
        <f>IF(Times!D254&lt;&gt;"",IF(ISERR(SEARCH("V",Times!I254,1)),IF(ISERR(SEARCH("S",Times!I254,1)),"S","S"),"V"),"")</f>
        <v>V</v>
      </c>
      <c r="AF254" s="161">
        <f>IF(Times!D254&lt;&gt;"",SUMIFS(Times!$G$2:G254,$AA$2:AA254,AA254,$AK$2:AK254,"Y"),"")</f>
        <v>506</v>
      </c>
      <c r="AG254" s="154" t="str">
        <f>IF(Times!D254&lt;&gt;"",IF(AND(Times!J254="M",AI254+AL254=AM254,AK254="Y"),AF254,""),"")</f>
        <v/>
      </c>
      <c r="AH254" s="154" t="str">
        <f>IF(Times!D254&lt;&gt;"",IF(AND(Times!J254="F",AI254+AL254=AM254,AK254="Y"),AF254,""),"")</f>
        <v/>
      </c>
      <c r="AI254" s="154">
        <f>COUNTIF(Z$2:Z254,CONCATENATE("V",AA254))</f>
        <v>10</v>
      </c>
      <c r="AJ254" s="154">
        <f>COUNTIF(Z$2:Z254,CONCATENATE("S",AA254))</f>
        <v>2</v>
      </c>
      <c r="AK254" s="154" t="str">
        <f t="shared" si="89"/>
        <v>N</v>
      </c>
      <c r="AL254" s="154">
        <f>IF(AND(Times!J254="M",AJ254&gt;3),3, IF(AND(Times!J254="F",AJ254&gt;2),2,AJ254))</f>
        <v>2</v>
      </c>
      <c r="AM254" s="154">
        <f>IF(Times!J254="M",6, IF(Times!J254="F",4,""))</f>
        <v>6</v>
      </c>
      <c r="AN254" s="154" t="str">
        <f t="shared" si="90"/>
        <v/>
      </c>
      <c r="AO254" s="154" t="str">
        <f t="shared" si="91"/>
        <v/>
      </c>
    </row>
    <row r="255" spans="26:41" x14ac:dyDescent="0.25">
      <c r="Z255" s="154" t="str">
        <f>CONCATENATE(AE255,Times!AD255)</f>
        <v>VFIlford AC</v>
      </c>
      <c r="AA255" s="154" t="str">
        <f>Times!AD255</f>
        <v>FIlford AC</v>
      </c>
      <c r="AB255" s="154" t="str">
        <f>IF(AK255="Y",CONCATENATE(AA255,COUNTIFS($AK$2:AK255,"=Y",$AA$2:AA255,AA255)),"")</f>
        <v/>
      </c>
      <c r="AC255" s="154" t="str">
        <f>Times!K255</f>
        <v>Carol muir</v>
      </c>
      <c r="AD255" s="154">
        <f>Times!G255</f>
        <v>86</v>
      </c>
      <c r="AE255" s="154" t="str">
        <f>IF(Times!D255&lt;&gt;"",IF(ISERR(SEARCH("V",Times!I255,1)),IF(ISERR(SEARCH("S",Times!I255,1)),"S","S"),"V"),"")</f>
        <v>V</v>
      </c>
      <c r="AF255" s="161">
        <f>IF(Times!D255&lt;&gt;"",SUMIFS(Times!$G$2:G255,$AA$2:AA255,AA255,$AK$2:AK255,"Y"),"")</f>
        <v>58</v>
      </c>
      <c r="AG255" s="154" t="str">
        <f>IF(Times!D255&lt;&gt;"",IF(AND(Times!J255="M",AI255+AL255=AM255,AK255="Y"),AF255,""),"")</f>
        <v/>
      </c>
      <c r="AH255" s="154" t="str">
        <f>IF(Times!D255&lt;&gt;"",IF(AND(Times!J255="F",AI255+AL255=AM255,AK255="Y"),AF255,""),"")</f>
        <v/>
      </c>
      <c r="AI255" s="154">
        <f>COUNTIF(Z$2:Z255,CONCATENATE("V",AA255))</f>
        <v>7</v>
      </c>
      <c r="AJ255" s="154">
        <f>COUNTIF(Z$2:Z255,CONCATENATE("S",AA255))</f>
        <v>4</v>
      </c>
      <c r="AK255" s="154" t="str">
        <f t="shared" si="89"/>
        <v>N</v>
      </c>
      <c r="AL255" s="154">
        <f>IF(AND(Times!J255="M",AJ255&gt;3),3, IF(AND(Times!J255="F",AJ255&gt;2),2,AJ255))</f>
        <v>2</v>
      </c>
      <c r="AM255" s="154">
        <f>IF(Times!J255="M",6, IF(Times!J255="F",4,""))</f>
        <v>4</v>
      </c>
      <c r="AN255" s="154" t="str">
        <f t="shared" si="90"/>
        <v/>
      </c>
      <c r="AO255" s="154" t="str">
        <f t="shared" si="91"/>
        <v/>
      </c>
    </row>
    <row r="256" spans="26:41" x14ac:dyDescent="0.25">
      <c r="Z256" s="154" t="str">
        <f>CONCATENATE(AE256,Times!AD256)</f>
        <v>VFDagenham 88 Runners</v>
      </c>
      <c r="AA256" s="154" t="str">
        <f>Times!AD256</f>
        <v>FDagenham 88 Runners</v>
      </c>
      <c r="AB256" s="154" t="str">
        <f>IF(AK256="Y",CONCATENATE(AA256,COUNTIFS($AK$2:AK256,"=Y",$AA$2:AA256,AA256)),"")</f>
        <v/>
      </c>
      <c r="AC256" s="154" t="str">
        <f>Times!K256</f>
        <v>Lynne Northcott</v>
      </c>
      <c r="AD256" s="154">
        <f>Times!G256</f>
        <v>87</v>
      </c>
      <c r="AE256" s="154" t="str">
        <f>IF(Times!D256&lt;&gt;"",IF(ISERR(SEARCH("V",Times!I256,1)),IF(ISERR(SEARCH("S",Times!I256,1)),"S","S"),"V"),"")</f>
        <v>V</v>
      </c>
      <c r="AF256" s="161">
        <f>IF(Times!D256&lt;&gt;"",SUMIFS(Times!$G$2:G256,$AA$2:AA256,AA256,$AK$2:AK256,"Y"),"")</f>
        <v>217</v>
      </c>
      <c r="AG256" s="154" t="str">
        <f>IF(Times!D256&lt;&gt;"",IF(AND(Times!J256="M",AI256+AL256=AM256,AK256="Y"),AF256,""),"")</f>
        <v/>
      </c>
      <c r="AH256" s="154" t="str">
        <f>IF(Times!D256&lt;&gt;"",IF(AND(Times!J256="F",AI256+AL256=AM256,AK256="Y"),AF256,""),"")</f>
        <v/>
      </c>
      <c r="AI256" s="154">
        <f>COUNTIF(Z$2:Z256,CONCATENATE("V",AA256))</f>
        <v>6</v>
      </c>
      <c r="AJ256" s="154">
        <f>COUNTIF(Z$2:Z256,CONCATENATE("S",AA256))</f>
        <v>0</v>
      </c>
      <c r="AK256" s="154" t="str">
        <f t="shared" si="89"/>
        <v>N</v>
      </c>
      <c r="AL256" s="154">
        <f>IF(AND(Times!J256="M",AJ256&gt;3),3, IF(AND(Times!J256="F",AJ256&gt;2),2,AJ256))</f>
        <v>0</v>
      </c>
      <c r="AM256" s="154">
        <f>IF(Times!J256="M",6, IF(Times!J256="F",4,""))</f>
        <v>4</v>
      </c>
      <c r="AN256" s="154" t="str">
        <f t="shared" si="90"/>
        <v/>
      </c>
      <c r="AO256" s="154" t="str">
        <f t="shared" si="91"/>
        <v/>
      </c>
    </row>
    <row r="257" spans="26:41" x14ac:dyDescent="0.25">
      <c r="Z257" s="154" t="str">
        <f>CONCATENATE(AE257,Times!AD257)</f>
        <v>VFEton Manor AC</v>
      </c>
      <c r="AA257" s="154" t="str">
        <f>Times!AD257</f>
        <v>FEton Manor AC</v>
      </c>
      <c r="AB257" s="154" t="str">
        <f>IF(AK257="Y",CONCATENATE(AA257,COUNTIFS($AK$2:AK257,"=Y",$AA$2:AA257,AA257)),"")</f>
        <v/>
      </c>
      <c r="AC257" s="154" t="str">
        <f>Times!K257</f>
        <v>Jane Stichbury</v>
      </c>
      <c r="AD257" s="154">
        <f>Times!G257</f>
        <v>88</v>
      </c>
      <c r="AE257" s="154" t="str">
        <f>IF(Times!D257&lt;&gt;"",IF(ISERR(SEARCH("V",Times!I257,1)),IF(ISERR(SEARCH("S",Times!I257,1)),"S","S"),"V"),"")</f>
        <v>V</v>
      </c>
      <c r="AF257" s="161">
        <f>IF(Times!D257&lt;&gt;"",SUMIFS(Times!$G$2:G257,$AA$2:AA257,AA257,$AK$2:AK257,"Y"),"")</f>
        <v>60</v>
      </c>
      <c r="AG257" s="154" t="str">
        <f>IF(Times!D257&lt;&gt;"",IF(AND(Times!J257="M",AI257+AL257=AM257,AK257="Y"),AF257,""),"")</f>
        <v/>
      </c>
      <c r="AH257" s="154" t="str">
        <f>IF(Times!D257&lt;&gt;"",IF(AND(Times!J257="F",AI257+AL257=AM257,AK257="Y"),AF257,""),"")</f>
        <v/>
      </c>
      <c r="AI257" s="154">
        <f>COUNTIF(Z$2:Z257,CONCATENATE("V",AA257))</f>
        <v>12</v>
      </c>
      <c r="AJ257" s="154">
        <f>COUNTIF(Z$2:Z257,CONCATENATE("S",AA257))</f>
        <v>0</v>
      </c>
      <c r="AK257" s="154" t="str">
        <f t="shared" si="89"/>
        <v>N</v>
      </c>
      <c r="AL257" s="154">
        <f>IF(AND(Times!J257="M",AJ257&gt;3),3, IF(AND(Times!J257="F",AJ257&gt;2),2,AJ257))</f>
        <v>0</v>
      </c>
      <c r="AM257" s="154">
        <f>IF(Times!J257="M",6, IF(Times!J257="F",4,""))</f>
        <v>4</v>
      </c>
      <c r="AN257" s="154" t="str">
        <f t="shared" si="90"/>
        <v/>
      </c>
      <c r="AO257" s="154" t="str">
        <f t="shared" si="91"/>
        <v/>
      </c>
    </row>
    <row r="258" spans="26:41" x14ac:dyDescent="0.25">
      <c r="Z258" s="154" t="str">
        <f>CONCATENATE(AE258,Times!AD258)</f>
        <v>VMEast London Runners</v>
      </c>
      <c r="AA258" s="154" t="str">
        <f>Times!AD258</f>
        <v>MEast London Runners</v>
      </c>
      <c r="AB258" s="154" t="str">
        <f>IF(AK258="Y",CONCATENATE(AA258,COUNTIFS($AK$2:AK258,"=Y",$AA$2:AA258,AA258)),"")</f>
        <v/>
      </c>
      <c r="AC258" s="154" t="str">
        <f>Times!K258</f>
        <v>kieran brown</v>
      </c>
      <c r="AD258" s="154">
        <f>Times!G258</f>
        <v>169</v>
      </c>
      <c r="AE258" s="154" t="str">
        <f>IF(Times!D258&lt;&gt;"",IF(ISERR(SEARCH("V",Times!I258,1)),IF(ISERR(SEARCH("S",Times!I258,1)),"S","S"),"V"),"")</f>
        <v>V</v>
      </c>
      <c r="AF258" s="161">
        <f>IF(Times!D258&lt;&gt;"",SUMIFS(Times!$G$2:G258,$AA$2:AA258,AA258,$AK$2:AK258,"Y"),"")</f>
        <v>84</v>
      </c>
      <c r="AG258" s="154" t="str">
        <f>IF(Times!D258&lt;&gt;"",IF(AND(Times!J258="M",AI258+AL258=AM258,AK258="Y"),AF258,""),"")</f>
        <v/>
      </c>
      <c r="AH258" s="154" t="str">
        <f>IF(Times!D258&lt;&gt;"",IF(AND(Times!J258="F",AI258+AL258=AM258,AK258="Y"),AF258,""),"")</f>
        <v/>
      </c>
      <c r="AI258" s="154">
        <f>COUNTIF(Z$2:Z258,CONCATENATE("V",AA258))</f>
        <v>29</v>
      </c>
      <c r="AJ258" s="154">
        <f>COUNTIF(Z$2:Z258,CONCATENATE("S",AA258))</f>
        <v>19</v>
      </c>
      <c r="AK258" s="154" t="str">
        <f t="shared" si="89"/>
        <v>N</v>
      </c>
      <c r="AL258" s="154">
        <f>IF(AND(Times!J258="M",AJ258&gt;3),3, IF(AND(Times!J258="F",AJ258&gt;2),2,AJ258))</f>
        <v>3</v>
      </c>
      <c r="AM258" s="154">
        <f>IF(Times!J258="M",6, IF(Times!J258="F",4,""))</f>
        <v>6</v>
      </c>
      <c r="AN258" s="154" t="str">
        <f t="shared" si="90"/>
        <v/>
      </c>
      <c r="AO258" s="154" t="str">
        <f t="shared" si="91"/>
        <v/>
      </c>
    </row>
    <row r="259" spans="26:41" x14ac:dyDescent="0.25">
      <c r="Z259" s="154" t="str">
        <f>CONCATENATE(AE259,Times!AD259)</f>
        <v>VFEast End Road Runners</v>
      </c>
      <c r="AA259" s="154" t="str">
        <f>Times!AD259</f>
        <v>FEast End Road Runners</v>
      </c>
      <c r="AB259" s="154" t="str">
        <f>IF(AK259="Y",CONCATENATE(AA259,COUNTIFS($AK$2:AK259,"=Y",$AA$2:AA259,AA259)),"")</f>
        <v/>
      </c>
      <c r="AC259" s="154" t="str">
        <f>Times!K259</f>
        <v>Claire Adamson</v>
      </c>
      <c r="AD259" s="154">
        <f>Times!G259</f>
        <v>89</v>
      </c>
      <c r="AE259" s="154" t="str">
        <f>IF(Times!D259&lt;&gt;"",IF(ISERR(SEARCH("V",Times!I259,1)),IF(ISERR(SEARCH("S",Times!I259,1)),"S","S"),"V"),"")</f>
        <v>V</v>
      </c>
      <c r="AF259" s="161">
        <f>IF(Times!D259&lt;&gt;"",SUMIFS(Times!$G$2:G259,$AA$2:AA259,AA259,$AK$2:AK259,"Y"),"")</f>
        <v>145</v>
      </c>
      <c r="AG259" s="154" t="str">
        <f>IF(Times!D259&lt;&gt;"",IF(AND(Times!J259="M",AI259+AL259=AM259,AK259="Y"),AF259,""),"")</f>
        <v/>
      </c>
      <c r="AH259" s="154" t="str">
        <f>IF(Times!D259&lt;&gt;"",IF(AND(Times!J259="F",AI259+AL259=AM259,AK259="Y"),AF259,""),"")</f>
        <v/>
      </c>
      <c r="AI259" s="154">
        <f>COUNTIF(Z$2:Z259,CONCATENATE("V",AA259))</f>
        <v>5</v>
      </c>
      <c r="AJ259" s="154">
        <f>COUNTIF(Z$2:Z259,CONCATENATE("S",AA259))</f>
        <v>3</v>
      </c>
      <c r="AK259" s="154" t="str">
        <f t="shared" ref="AK259:AK322" si="92">IF(AND(AE259="V",AI259&lt;=AM259-AL259),"Y",IF(AND(AE259="S",AJ259&lt;=AM259/2,AJ259&lt;=AM259-AI259),"Y","N"))</f>
        <v>N</v>
      </c>
      <c r="AL259" s="154">
        <f>IF(AND(Times!J259="M",AJ259&gt;3),3, IF(AND(Times!J259="F",AJ259&gt;2),2,AJ259))</f>
        <v>2</v>
      </c>
      <c r="AM259" s="154">
        <f>IF(Times!J259="M",6, IF(Times!J259="F",4,""))</f>
        <v>4</v>
      </c>
      <c r="AN259" s="154" t="str">
        <f t="shared" ref="AN259:AN322" si="93">IF(AG259&lt;&gt;"",RANK(AG259,AG$2:AG$501,1),"")</f>
        <v/>
      </c>
      <c r="AO259" s="154" t="str">
        <f t="shared" ref="AO259:AO322" si="94">IF(AH259&lt;&gt;"",RANK(AH259,AH$2:AH$501,1),"")</f>
        <v/>
      </c>
    </row>
    <row r="260" spans="26:41" x14ac:dyDescent="0.25">
      <c r="Z260" s="154" t="str">
        <f>CONCATENATE(AE260,Times!AD260)</f>
        <v>VFHavering 90 Joggers</v>
      </c>
      <c r="AA260" s="154" t="str">
        <f>Times!AD260</f>
        <v>FHavering 90 Joggers</v>
      </c>
      <c r="AB260" s="154" t="str">
        <f>IF(AK260="Y",CONCATENATE(AA260,COUNTIFS($AK$2:AK260,"=Y",$AA$2:AA260,AA260)),"")</f>
        <v/>
      </c>
      <c r="AC260" s="154" t="str">
        <f>Times!K260</f>
        <v>Christina Kelekun</v>
      </c>
      <c r="AD260" s="154">
        <f>Times!G260</f>
        <v>90</v>
      </c>
      <c r="AE260" s="154" t="str">
        <f>IF(Times!D260&lt;&gt;"",IF(ISERR(SEARCH("V",Times!I260,1)),IF(ISERR(SEARCH("S",Times!I260,1)),"S","S"),"V"),"")</f>
        <v>V</v>
      </c>
      <c r="AF260" s="161">
        <f>IF(Times!D260&lt;&gt;"",SUMIFS(Times!$G$2:G260,$AA$2:AA260,AA260,$AK$2:AK260,"Y"),"")</f>
        <v>203</v>
      </c>
      <c r="AG260" s="154" t="str">
        <f>IF(Times!D260&lt;&gt;"",IF(AND(Times!J260="M",AI260+AL260=AM260,AK260="Y"),AF260,""),"")</f>
        <v/>
      </c>
      <c r="AH260" s="154" t="str">
        <f>IF(Times!D260&lt;&gt;"",IF(AND(Times!J260="F",AI260+AL260=AM260,AK260="Y"),AF260,""),"")</f>
        <v/>
      </c>
      <c r="AI260" s="154">
        <f>COUNTIF(Z$2:Z260,CONCATENATE("V",AA260))</f>
        <v>8</v>
      </c>
      <c r="AJ260" s="154">
        <f>COUNTIF(Z$2:Z260,CONCATENATE("S",AA260))</f>
        <v>0</v>
      </c>
      <c r="AK260" s="154" t="str">
        <f t="shared" si="92"/>
        <v>N</v>
      </c>
      <c r="AL260" s="154">
        <f>IF(AND(Times!J260="M",AJ260&gt;3),3, IF(AND(Times!J260="F",AJ260&gt;2),2,AJ260))</f>
        <v>0</v>
      </c>
      <c r="AM260" s="154">
        <f>IF(Times!J260="M",6, IF(Times!J260="F",4,""))</f>
        <v>4</v>
      </c>
      <c r="AN260" s="154" t="str">
        <f t="shared" si="93"/>
        <v/>
      </c>
      <c r="AO260" s="154" t="str">
        <f t="shared" si="94"/>
        <v/>
      </c>
    </row>
    <row r="261" spans="26:41" x14ac:dyDescent="0.25">
      <c r="Z261" s="154" t="str">
        <f>CONCATENATE(AE261,Times!AD261)</f>
        <v>VFEton Manor AC</v>
      </c>
      <c r="AA261" s="154" t="str">
        <f>Times!AD261</f>
        <v>FEton Manor AC</v>
      </c>
      <c r="AB261" s="154" t="str">
        <f>IF(AK261="Y",CONCATENATE(AA261,COUNTIFS($AK$2:AK261,"=Y",$AA$2:AA261,AA261)),"")</f>
        <v/>
      </c>
      <c r="AC261" s="154" t="str">
        <f>Times!K261</f>
        <v>Sue Unsworth</v>
      </c>
      <c r="AD261" s="154">
        <f>Times!G261</f>
        <v>91</v>
      </c>
      <c r="AE261" s="154" t="str">
        <f>IF(Times!D261&lt;&gt;"",IF(ISERR(SEARCH("V",Times!I261,1)),IF(ISERR(SEARCH("S",Times!I261,1)),"S","S"),"V"),"")</f>
        <v>V</v>
      </c>
      <c r="AF261" s="161">
        <f>IF(Times!D261&lt;&gt;"",SUMIFS(Times!$G$2:G261,$AA$2:AA261,AA261,$AK$2:AK261,"Y"),"")</f>
        <v>60</v>
      </c>
      <c r="AG261" s="154" t="str">
        <f>IF(Times!D261&lt;&gt;"",IF(AND(Times!J261="M",AI261+AL261=AM261,AK261="Y"),AF261,""),"")</f>
        <v/>
      </c>
      <c r="AH261" s="154" t="str">
        <f>IF(Times!D261&lt;&gt;"",IF(AND(Times!J261="F",AI261+AL261=AM261,AK261="Y"),AF261,""),"")</f>
        <v/>
      </c>
      <c r="AI261" s="154">
        <f>COUNTIF(Z$2:Z261,CONCATENATE("V",AA261))</f>
        <v>13</v>
      </c>
      <c r="AJ261" s="154">
        <f>COUNTIF(Z$2:Z261,CONCATENATE("S",AA261))</f>
        <v>0</v>
      </c>
      <c r="AK261" s="154" t="str">
        <f t="shared" si="92"/>
        <v>N</v>
      </c>
      <c r="AL261" s="154">
        <f>IF(AND(Times!J261="M",AJ261&gt;3),3, IF(AND(Times!J261="F",AJ261&gt;2),2,AJ261))</f>
        <v>0</v>
      </c>
      <c r="AM261" s="154">
        <f>IF(Times!J261="M",6, IF(Times!J261="F",4,""))</f>
        <v>4</v>
      </c>
      <c r="AN261" s="154" t="str">
        <f t="shared" si="93"/>
        <v/>
      </c>
      <c r="AO261" s="154" t="str">
        <f t="shared" si="94"/>
        <v/>
      </c>
    </row>
    <row r="262" spans="26:41" x14ac:dyDescent="0.25">
      <c r="Z262" s="154" t="str">
        <f>CONCATENATE(AE262,Times!AD262)</f>
        <v>VMUnattached</v>
      </c>
      <c r="AA262" s="154" t="str">
        <f>Times!AD262</f>
        <v>MUnattached</v>
      </c>
      <c r="AB262" s="154" t="str">
        <f>IF(AK262="Y",CONCATENATE(AA262,COUNTIFS($AK$2:AK262,"=Y",$AA$2:AA262,AA262)),"")</f>
        <v>MUnattached5</v>
      </c>
      <c r="AC262" s="154" t="str">
        <f>Times!K262</f>
        <v>Peter Goodwin</v>
      </c>
      <c r="AD262" s="154">
        <f>Times!G262</f>
        <v>170</v>
      </c>
      <c r="AE262" s="154" t="str">
        <f>IF(Times!D262&lt;&gt;"",IF(ISERR(SEARCH("V",Times!I262,1)),IF(ISERR(SEARCH("S",Times!I262,1)),"S","S"),"V"),"")</f>
        <v>V</v>
      </c>
      <c r="AF262" s="161">
        <f>IF(Times!D262&lt;&gt;"",SUMIFS(Times!$G$2:G262,$AA$2:AA262,AA262,$AK$2:AK262,"Y"),"")</f>
        <v>520</v>
      </c>
      <c r="AG262" s="154" t="str">
        <f>IF(Times!D262&lt;&gt;"",IF(AND(Times!J262="M",AI262+AL262=AM262,AK262="Y"),AF262,""),"")</f>
        <v/>
      </c>
      <c r="AH262" s="154" t="str">
        <f>IF(Times!D262&lt;&gt;"",IF(AND(Times!J262="F",AI262+AL262=AM262,AK262="Y"),AF262,""),"")</f>
        <v/>
      </c>
      <c r="AI262" s="154">
        <f>COUNTIF(Z$2:Z262,CONCATENATE("V",AA262))</f>
        <v>3</v>
      </c>
      <c r="AJ262" s="154">
        <f>COUNTIF(Z$2:Z262,CONCATENATE("S",AA262))</f>
        <v>2</v>
      </c>
      <c r="AK262" s="154" t="str">
        <f t="shared" si="92"/>
        <v>Y</v>
      </c>
      <c r="AL262" s="154">
        <f>IF(AND(Times!J262="M",AJ262&gt;3),3, IF(AND(Times!J262="F",AJ262&gt;2),2,AJ262))</f>
        <v>2</v>
      </c>
      <c r="AM262" s="154">
        <f>IF(Times!J262="M",6, IF(Times!J262="F",4,""))</f>
        <v>6</v>
      </c>
      <c r="AN262" s="154" t="str">
        <f t="shared" si="93"/>
        <v/>
      </c>
      <c r="AO262" s="154" t="str">
        <f t="shared" si="94"/>
        <v/>
      </c>
    </row>
    <row r="263" spans="26:41" x14ac:dyDescent="0.25">
      <c r="Z263" s="154" t="str">
        <f>CONCATENATE(AE263,Times!AD263)</f>
        <v>VFIlford AC</v>
      </c>
      <c r="AA263" s="154" t="str">
        <f>Times!AD263</f>
        <v>FIlford AC</v>
      </c>
      <c r="AB263" s="154" t="str">
        <f>IF(AK263="Y",CONCATENATE(AA263,COUNTIFS($AK$2:AK263,"=Y",$AA$2:AA263,AA263)),"")</f>
        <v/>
      </c>
      <c r="AC263" s="154" t="str">
        <f>Times!K263</f>
        <v>Julie Gillender</v>
      </c>
      <c r="AD263" s="154">
        <f>Times!G263</f>
        <v>92</v>
      </c>
      <c r="AE263" s="154" t="str">
        <f>IF(Times!D263&lt;&gt;"",IF(ISERR(SEARCH("V",Times!I263,1)),IF(ISERR(SEARCH("S",Times!I263,1)),"S","S"),"V"),"")</f>
        <v>V</v>
      </c>
      <c r="AF263" s="161">
        <f>IF(Times!D263&lt;&gt;"",SUMIFS(Times!$G$2:G263,$AA$2:AA263,AA263,$AK$2:AK263,"Y"),"")</f>
        <v>58</v>
      </c>
      <c r="AG263" s="154" t="str">
        <f>IF(Times!D263&lt;&gt;"",IF(AND(Times!J263="M",AI263+AL263=AM263,AK263="Y"),AF263,""),"")</f>
        <v/>
      </c>
      <c r="AH263" s="154" t="str">
        <f>IF(Times!D263&lt;&gt;"",IF(AND(Times!J263="F",AI263+AL263=AM263,AK263="Y"),AF263,""),"")</f>
        <v/>
      </c>
      <c r="AI263" s="154">
        <f>COUNTIF(Z$2:Z263,CONCATENATE("V",AA263))</f>
        <v>8</v>
      </c>
      <c r="AJ263" s="154">
        <f>COUNTIF(Z$2:Z263,CONCATENATE("S",AA263))</f>
        <v>4</v>
      </c>
      <c r="AK263" s="154" t="str">
        <f t="shared" si="92"/>
        <v>N</v>
      </c>
      <c r="AL263" s="154">
        <f>IF(AND(Times!J263="M",AJ263&gt;3),3, IF(AND(Times!J263="F",AJ263&gt;2),2,AJ263))</f>
        <v>2</v>
      </c>
      <c r="AM263" s="154">
        <f>IF(Times!J263="M",6, IF(Times!J263="F",4,""))</f>
        <v>4</v>
      </c>
      <c r="AN263" s="154" t="str">
        <f t="shared" si="93"/>
        <v/>
      </c>
      <c r="AO263" s="154" t="str">
        <f t="shared" si="94"/>
        <v/>
      </c>
    </row>
    <row r="264" spans="26:41" x14ac:dyDescent="0.25">
      <c r="Z264" s="154" t="str">
        <f>CONCATENATE(AE264,Times!AD264)</f>
        <v>VFHarold Wood Running Club</v>
      </c>
      <c r="AA264" s="154" t="str">
        <f>Times!AD264</f>
        <v>FHarold Wood Running Club</v>
      </c>
      <c r="AB264" s="154" t="str">
        <f>IF(AK264="Y",CONCATENATE(AA264,COUNTIFS($AK$2:AK264,"=Y",$AA$2:AA264,AA264)),"")</f>
        <v/>
      </c>
      <c r="AC264" s="154" t="str">
        <f>Times!K264</f>
        <v>Taruna Sharma</v>
      </c>
      <c r="AD264" s="154">
        <f>Times!G264</f>
        <v>93</v>
      </c>
      <c r="AE264" s="154" t="str">
        <f>IF(Times!D264&lt;&gt;"",IF(ISERR(SEARCH("V",Times!I264,1)),IF(ISERR(SEARCH("S",Times!I264,1)),"S","S"),"V"),"")</f>
        <v>V</v>
      </c>
      <c r="AF264" s="161">
        <f>IF(Times!D264&lt;&gt;"",SUMIFS(Times!$G$2:G264,$AA$2:AA264,AA264,$AK$2:AK264,"Y"),"")</f>
        <v>97</v>
      </c>
      <c r="AG264" s="154" t="str">
        <f>IF(Times!D264&lt;&gt;"",IF(AND(Times!J264="M",AI264+AL264=AM264,AK264="Y"),AF264,""),"")</f>
        <v/>
      </c>
      <c r="AH264" s="154" t="str">
        <f>IF(Times!D264&lt;&gt;"",IF(AND(Times!J264="F",AI264+AL264=AM264,AK264="Y"),AF264,""),"")</f>
        <v/>
      </c>
      <c r="AI264" s="154">
        <f>COUNTIF(Z$2:Z264,CONCATENATE("V",AA264))</f>
        <v>5</v>
      </c>
      <c r="AJ264" s="154">
        <f>COUNTIF(Z$2:Z264,CONCATENATE("S",AA264))</f>
        <v>3</v>
      </c>
      <c r="AK264" s="154" t="str">
        <f t="shared" si="92"/>
        <v>N</v>
      </c>
      <c r="AL264" s="154">
        <f>IF(AND(Times!J264="M",AJ264&gt;3),3, IF(AND(Times!J264="F",AJ264&gt;2),2,AJ264))</f>
        <v>2</v>
      </c>
      <c r="AM264" s="154">
        <f>IF(Times!J264="M",6, IF(Times!J264="F",4,""))</f>
        <v>4</v>
      </c>
      <c r="AN264" s="154" t="str">
        <f t="shared" si="93"/>
        <v/>
      </c>
      <c r="AO264" s="154" t="str">
        <f t="shared" si="94"/>
        <v/>
      </c>
    </row>
    <row r="265" spans="26:41" x14ac:dyDescent="0.25">
      <c r="Z265" s="154" t="str">
        <f>CONCATENATE(AE265,Times!AD265)</f>
        <v>SFEast End Road Runners</v>
      </c>
      <c r="AA265" s="154" t="str">
        <f>Times!AD265</f>
        <v>FEast End Road Runners</v>
      </c>
      <c r="AB265" s="154" t="str">
        <f>IF(AK265="Y",CONCATENATE(AA265,COUNTIFS($AK$2:AK265,"=Y",$AA$2:AA265,AA265)),"")</f>
        <v/>
      </c>
      <c r="AC265" s="154" t="str">
        <f>Times!K265</f>
        <v>Alice Ridgway</v>
      </c>
      <c r="AD265" s="154">
        <f>Times!G265</f>
        <v>94</v>
      </c>
      <c r="AE265" s="154" t="str">
        <f>IF(Times!D265&lt;&gt;"",IF(ISERR(SEARCH("V",Times!I265,1)),IF(ISERR(SEARCH("S",Times!I265,1)),"S","S"),"V"),"")</f>
        <v>S</v>
      </c>
      <c r="AF265" s="161">
        <f>IF(Times!D265&lt;&gt;"",SUMIFS(Times!$G$2:G265,$AA$2:AA265,AA265,$AK$2:AK265,"Y"),"")</f>
        <v>145</v>
      </c>
      <c r="AG265" s="154" t="str">
        <f>IF(Times!D265&lt;&gt;"",IF(AND(Times!J265="M",AI265+AL265=AM265,AK265="Y"),AF265,""),"")</f>
        <v/>
      </c>
      <c r="AH265" s="154" t="str">
        <f>IF(Times!D265&lt;&gt;"",IF(AND(Times!J265="F",AI265+AL265=AM265,AK265="Y"),AF265,""),"")</f>
        <v/>
      </c>
      <c r="AI265" s="154">
        <f>COUNTIF(Z$2:Z265,CONCATENATE("V",AA265))</f>
        <v>5</v>
      </c>
      <c r="AJ265" s="154">
        <f>COUNTIF(Z$2:Z265,CONCATENATE("S",AA265))</f>
        <v>4</v>
      </c>
      <c r="AK265" s="154" t="str">
        <f t="shared" si="92"/>
        <v>N</v>
      </c>
      <c r="AL265" s="154">
        <f>IF(AND(Times!J265="M",AJ265&gt;3),3, IF(AND(Times!J265="F",AJ265&gt;2),2,AJ265))</f>
        <v>2</v>
      </c>
      <c r="AM265" s="154">
        <f>IF(Times!J265="M",6, IF(Times!J265="F",4,""))</f>
        <v>4</v>
      </c>
      <c r="AN265" s="154" t="str">
        <f t="shared" si="93"/>
        <v/>
      </c>
      <c r="AO265" s="154" t="str">
        <f t="shared" si="94"/>
        <v/>
      </c>
    </row>
    <row r="266" spans="26:41" x14ac:dyDescent="0.25">
      <c r="Z266" s="154" t="str">
        <f>CONCATENATE(AE266,Times!AD266)</f>
        <v>VFHarold Wood Running Club</v>
      </c>
      <c r="AA266" s="154" t="str">
        <f>Times!AD266</f>
        <v>FHarold Wood Running Club</v>
      </c>
      <c r="AB266" s="154" t="str">
        <f>IF(AK266="Y",CONCATENATE(AA266,COUNTIFS($AK$2:AK266,"=Y",$AA$2:AA266,AA266)),"")</f>
        <v/>
      </c>
      <c r="AC266" s="154" t="str">
        <f>Times!K266</f>
        <v>Tracy Giddings</v>
      </c>
      <c r="AD266" s="154">
        <f>Times!G266</f>
        <v>95</v>
      </c>
      <c r="AE266" s="154" t="str">
        <f>IF(Times!D266&lt;&gt;"",IF(ISERR(SEARCH("V",Times!I266,1)),IF(ISERR(SEARCH("S",Times!I266,1)),"S","S"),"V"),"")</f>
        <v>V</v>
      </c>
      <c r="AF266" s="161">
        <f>IF(Times!D266&lt;&gt;"",SUMIFS(Times!$G$2:G266,$AA$2:AA266,AA266,$AK$2:AK266,"Y"),"")</f>
        <v>97</v>
      </c>
      <c r="AG266" s="154" t="str">
        <f>IF(Times!D266&lt;&gt;"",IF(AND(Times!J266="M",AI266+AL266=AM266,AK266="Y"),AF266,""),"")</f>
        <v/>
      </c>
      <c r="AH266" s="154" t="str">
        <f>IF(Times!D266&lt;&gt;"",IF(AND(Times!J266="F",AI266+AL266=AM266,AK266="Y"),AF266,""),"")</f>
        <v/>
      </c>
      <c r="AI266" s="154">
        <f>COUNTIF(Z$2:Z266,CONCATENATE("V",AA266))</f>
        <v>6</v>
      </c>
      <c r="AJ266" s="154">
        <f>COUNTIF(Z$2:Z266,CONCATENATE("S",AA266))</f>
        <v>3</v>
      </c>
      <c r="AK266" s="154" t="str">
        <f t="shared" si="92"/>
        <v>N</v>
      </c>
      <c r="AL266" s="154">
        <f>IF(AND(Times!J266="M",AJ266&gt;3),3, IF(AND(Times!J266="F",AJ266&gt;2),2,AJ266))</f>
        <v>2</v>
      </c>
      <c r="AM266" s="154">
        <f>IF(Times!J266="M",6, IF(Times!J266="F",4,""))</f>
        <v>4</v>
      </c>
      <c r="AN266" s="154" t="str">
        <f t="shared" si="93"/>
        <v/>
      </c>
      <c r="AO266" s="154" t="str">
        <f t="shared" si="94"/>
        <v/>
      </c>
    </row>
    <row r="267" spans="26:41" x14ac:dyDescent="0.25">
      <c r="Z267" s="154" t="str">
        <f>CONCATENATE(AE267,Times!AD267)</f>
        <v>VFHavering 90 Joggers</v>
      </c>
      <c r="AA267" s="154" t="str">
        <f>Times!AD267</f>
        <v>FHavering 90 Joggers</v>
      </c>
      <c r="AB267" s="154" t="str">
        <f>IF(AK267="Y",CONCATENATE(AA267,COUNTIFS($AK$2:AK267,"=Y",$AA$2:AA267,AA267)),"")</f>
        <v/>
      </c>
      <c r="AC267" s="154" t="str">
        <f>Times!K267</f>
        <v>Laura Thomas</v>
      </c>
      <c r="AD267" s="154">
        <f>Times!G267</f>
        <v>96</v>
      </c>
      <c r="AE267" s="154" t="str">
        <f>IF(Times!D267&lt;&gt;"",IF(ISERR(SEARCH("V",Times!I267,1)),IF(ISERR(SEARCH("S",Times!I267,1)),"S","S"),"V"),"")</f>
        <v>V</v>
      </c>
      <c r="AF267" s="161">
        <f>IF(Times!D267&lt;&gt;"",SUMIFS(Times!$G$2:G267,$AA$2:AA267,AA267,$AK$2:AK267,"Y"),"")</f>
        <v>203</v>
      </c>
      <c r="AG267" s="154" t="str">
        <f>IF(Times!D267&lt;&gt;"",IF(AND(Times!J267="M",AI267+AL267=AM267,AK267="Y"),AF267,""),"")</f>
        <v/>
      </c>
      <c r="AH267" s="154" t="str">
        <f>IF(Times!D267&lt;&gt;"",IF(AND(Times!J267="F",AI267+AL267=AM267,AK267="Y"),AF267,""),"")</f>
        <v/>
      </c>
      <c r="AI267" s="154">
        <f>COUNTIF(Z$2:Z267,CONCATENATE("V",AA267))</f>
        <v>9</v>
      </c>
      <c r="AJ267" s="154">
        <f>COUNTIF(Z$2:Z267,CONCATENATE("S",AA267))</f>
        <v>0</v>
      </c>
      <c r="AK267" s="154" t="str">
        <f t="shared" si="92"/>
        <v>N</v>
      </c>
      <c r="AL267" s="154">
        <f>IF(AND(Times!J267="M",AJ267&gt;3),3, IF(AND(Times!J267="F",AJ267&gt;2),2,AJ267))</f>
        <v>0</v>
      </c>
      <c r="AM267" s="154">
        <f>IF(Times!J267="M",6, IF(Times!J267="F",4,""))</f>
        <v>4</v>
      </c>
      <c r="AN267" s="154" t="str">
        <f t="shared" si="93"/>
        <v/>
      </c>
      <c r="AO267" s="154" t="str">
        <f t="shared" si="94"/>
        <v/>
      </c>
    </row>
    <row r="268" spans="26:41" x14ac:dyDescent="0.25">
      <c r="Z268" s="154" t="str">
        <f>CONCATENATE(AE268,Times!AD268)</f>
        <v>VMDagenham 88 Runners</v>
      </c>
      <c r="AA268" s="154" t="str">
        <f>Times!AD268</f>
        <v>MDagenham 88 Runners</v>
      </c>
      <c r="AB268" s="154" t="str">
        <f>IF(AK268="Y",CONCATENATE(AA268,COUNTIFS($AK$2:AK268,"=Y",$AA$2:AA268,AA268)),"")</f>
        <v/>
      </c>
      <c r="AC268" s="154" t="str">
        <f>Times!K268</f>
        <v>Alan Horne</v>
      </c>
      <c r="AD268" s="154">
        <f>Times!G268</f>
        <v>171</v>
      </c>
      <c r="AE268" s="154" t="str">
        <f>IF(Times!D268&lt;&gt;"",IF(ISERR(SEARCH("V",Times!I268,1)),IF(ISERR(SEARCH("S",Times!I268,1)),"S","S"),"V"),"")</f>
        <v>V</v>
      </c>
      <c r="AF268" s="161">
        <f>IF(Times!D268&lt;&gt;"",SUMIFS(Times!$G$2:G268,$AA$2:AA268,AA268,$AK$2:AK268,"Y"),"")</f>
        <v>529</v>
      </c>
      <c r="AG268" s="154" t="str">
        <f>IF(Times!D268&lt;&gt;"",IF(AND(Times!J268="M",AI268+AL268=AM268,AK268="Y"),AF268,""),"")</f>
        <v/>
      </c>
      <c r="AH268" s="154" t="str">
        <f>IF(Times!D268&lt;&gt;"",IF(AND(Times!J268="F",AI268+AL268=AM268,AK268="Y"),AF268,""),"")</f>
        <v/>
      </c>
      <c r="AI268" s="154">
        <f>COUNTIF(Z$2:Z268,CONCATENATE("V",AA268))</f>
        <v>9</v>
      </c>
      <c r="AJ268" s="154">
        <f>COUNTIF(Z$2:Z268,CONCATENATE("S",AA268))</f>
        <v>4</v>
      </c>
      <c r="AK268" s="154" t="str">
        <f t="shared" si="92"/>
        <v>N</v>
      </c>
      <c r="AL268" s="154">
        <f>IF(AND(Times!J268="M",AJ268&gt;3),3, IF(AND(Times!J268="F",AJ268&gt;2),2,AJ268))</f>
        <v>3</v>
      </c>
      <c r="AM268" s="154">
        <f>IF(Times!J268="M",6, IF(Times!J268="F",4,""))</f>
        <v>6</v>
      </c>
      <c r="AN268" s="154" t="str">
        <f t="shared" si="93"/>
        <v/>
      </c>
      <c r="AO268" s="154" t="str">
        <f t="shared" si="94"/>
        <v/>
      </c>
    </row>
    <row r="269" spans="26:41" x14ac:dyDescent="0.25">
      <c r="Z269" s="154" t="str">
        <f>CONCATENATE(AE269,Times!AD269)</f>
        <v>VFHavering 90 Joggers</v>
      </c>
      <c r="AA269" s="154" t="str">
        <f>Times!AD269</f>
        <v>FHavering 90 Joggers</v>
      </c>
      <c r="AB269" s="154" t="str">
        <f>IF(AK269="Y",CONCATENATE(AA269,COUNTIFS($AK$2:AK269,"=Y",$AA$2:AA269,AA269)),"")</f>
        <v/>
      </c>
      <c r="AC269" s="154" t="str">
        <f>Times!K269</f>
        <v>Caroline Cross</v>
      </c>
      <c r="AD269" s="154">
        <f>Times!G269</f>
        <v>97</v>
      </c>
      <c r="AE269" s="154" t="str">
        <f>IF(Times!D269&lt;&gt;"",IF(ISERR(SEARCH("V",Times!I269,1)),IF(ISERR(SEARCH("S",Times!I269,1)),"S","S"),"V"),"")</f>
        <v>V</v>
      </c>
      <c r="AF269" s="161">
        <f>IF(Times!D269&lt;&gt;"",SUMIFS(Times!$G$2:G269,$AA$2:AA269,AA269,$AK$2:AK269,"Y"),"")</f>
        <v>203</v>
      </c>
      <c r="AG269" s="154" t="str">
        <f>IF(Times!D269&lt;&gt;"",IF(AND(Times!J269="M",AI269+AL269=AM269,AK269="Y"),AF269,""),"")</f>
        <v/>
      </c>
      <c r="AH269" s="154" t="str">
        <f>IF(Times!D269&lt;&gt;"",IF(AND(Times!J269="F",AI269+AL269=AM269,AK269="Y"),AF269,""),"")</f>
        <v/>
      </c>
      <c r="AI269" s="154">
        <f>COUNTIF(Z$2:Z269,CONCATENATE("V",AA269))</f>
        <v>10</v>
      </c>
      <c r="AJ269" s="154">
        <f>COUNTIF(Z$2:Z269,CONCATENATE("S",AA269))</f>
        <v>0</v>
      </c>
      <c r="AK269" s="154" t="str">
        <f t="shared" si="92"/>
        <v>N</v>
      </c>
      <c r="AL269" s="154">
        <f>IF(AND(Times!J269="M",AJ269&gt;3),3, IF(AND(Times!J269="F",AJ269&gt;2),2,AJ269))</f>
        <v>0</v>
      </c>
      <c r="AM269" s="154">
        <f>IF(Times!J269="M",6, IF(Times!J269="F",4,""))</f>
        <v>4</v>
      </c>
      <c r="AN269" s="154" t="str">
        <f t="shared" si="93"/>
        <v/>
      </c>
      <c r="AO269" s="154" t="str">
        <f t="shared" si="94"/>
        <v/>
      </c>
    </row>
    <row r="270" spans="26:41" x14ac:dyDescent="0.25">
      <c r="Z270" s="154" t="str">
        <f>CONCATENATE(AE270,Times!AD270)</f>
        <v>VFDagenham 88 Runners</v>
      </c>
      <c r="AA270" s="154" t="str">
        <f>Times!AD270</f>
        <v>FDagenham 88 Runners</v>
      </c>
      <c r="AB270" s="154" t="str">
        <f>IF(AK270="Y",CONCATENATE(AA270,COUNTIFS($AK$2:AK270,"=Y",$AA$2:AA270,AA270)),"")</f>
        <v/>
      </c>
      <c r="AC270" s="154" t="str">
        <f>Times!K270</f>
        <v>Sarah Horne</v>
      </c>
      <c r="AD270" s="154">
        <f>Times!G270</f>
        <v>98</v>
      </c>
      <c r="AE270" s="154" t="str">
        <f>IF(Times!D270&lt;&gt;"",IF(ISERR(SEARCH("V",Times!I270,1)),IF(ISERR(SEARCH("S",Times!I270,1)),"S","S"),"V"),"")</f>
        <v>V</v>
      </c>
      <c r="AF270" s="161">
        <f>IF(Times!D270&lt;&gt;"",SUMIFS(Times!$G$2:G270,$AA$2:AA270,AA270,$AK$2:AK270,"Y"),"")</f>
        <v>217</v>
      </c>
      <c r="AG270" s="154" t="str">
        <f>IF(Times!D270&lt;&gt;"",IF(AND(Times!J270="M",AI270+AL270=AM270,AK270="Y"),AF270,""),"")</f>
        <v/>
      </c>
      <c r="AH270" s="154" t="str">
        <f>IF(Times!D270&lt;&gt;"",IF(AND(Times!J270="F",AI270+AL270=AM270,AK270="Y"),AF270,""),"")</f>
        <v/>
      </c>
      <c r="AI270" s="154">
        <f>COUNTIF(Z$2:Z270,CONCATENATE("V",AA270))</f>
        <v>7</v>
      </c>
      <c r="AJ270" s="154">
        <f>COUNTIF(Z$2:Z270,CONCATENATE("S",AA270))</f>
        <v>0</v>
      </c>
      <c r="AK270" s="154" t="str">
        <f t="shared" si="92"/>
        <v>N</v>
      </c>
      <c r="AL270" s="154">
        <f>IF(AND(Times!J270="M",AJ270&gt;3),3, IF(AND(Times!J270="F",AJ270&gt;2),2,AJ270))</f>
        <v>0</v>
      </c>
      <c r="AM270" s="154">
        <f>IF(Times!J270="M",6, IF(Times!J270="F",4,""))</f>
        <v>4</v>
      </c>
      <c r="AN270" s="154" t="str">
        <f t="shared" si="93"/>
        <v/>
      </c>
      <c r="AO270" s="154" t="str">
        <f t="shared" si="94"/>
        <v/>
      </c>
    </row>
    <row r="271" spans="26:41" x14ac:dyDescent="0.25">
      <c r="Z271" s="154" t="str">
        <f>CONCATENATE(AE271,Times!AD271)</f>
        <v>VFEast London Runners</v>
      </c>
      <c r="AA271" s="154" t="str">
        <f>Times!AD271</f>
        <v>FEast London Runners</v>
      </c>
      <c r="AB271" s="154" t="str">
        <f>IF(AK271="Y",CONCATENATE(AA271,COUNTIFS($AK$2:AK271,"=Y",$AA$2:AA271,AA271)),"")</f>
        <v/>
      </c>
      <c r="AC271" s="154" t="str">
        <f>Times!K271</f>
        <v>Maya Goodwin</v>
      </c>
      <c r="AD271" s="154">
        <f>Times!G271</f>
        <v>99</v>
      </c>
      <c r="AE271" s="154" t="str">
        <f>IF(Times!D271&lt;&gt;"",IF(ISERR(SEARCH("V",Times!I271,1)),IF(ISERR(SEARCH("S",Times!I271,1)),"S","S"),"V"),"")</f>
        <v>V</v>
      </c>
      <c r="AF271" s="161">
        <f>IF(Times!D271&lt;&gt;"",SUMIFS(Times!$G$2:G271,$AA$2:AA271,AA271,$AK$2:AK271,"Y"),"")</f>
        <v>27</v>
      </c>
      <c r="AG271" s="154" t="str">
        <f>IF(Times!D271&lt;&gt;"",IF(AND(Times!J271="M",AI271+AL271=AM271,AK271="Y"),AF271,""),"")</f>
        <v/>
      </c>
      <c r="AH271" s="154" t="str">
        <f>IF(Times!D271&lt;&gt;"",IF(AND(Times!J271="F",AI271+AL271=AM271,AK271="Y"),AF271,""),"")</f>
        <v/>
      </c>
      <c r="AI271" s="154">
        <f>COUNTIF(Z$2:Z271,CONCATENATE("V",AA271))</f>
        <v>16</v>
      </c>
      <c r="AJ271" s="154">
        <f>COUNTIF(Z$2:Z271,CONCATENATE("S",AA271))</f>
        <v>4</v>
      </c>
      <c r="AK271" s="154" t="str">
        <f t="shared" si="92"/>
        <v>N</v>
      </c>
      <c r="AL271" s="154">
        <f>IF(AND(Times!J271="M",AJ271&gt;3),3, IF(AND(Times!J271="F",AJ271&gt;2),2,AJ271))</f>
        <v>2</v>
      </c>
      <c r="AM271" s="154">
        <f>IF(Times!J271="M",6, IF(Times!J271="F",4,""))</f>
        <v>4</v>
      </c>
      <c r="AN271" s="154" t="str">
        <f t="shared" si="93"/>
        <v/>
      </c>
      <c r="AO271" s="154" t="str">
        <f t="shared" si="94"/>
        <v/>
      </c>
    </row>
    <row r="272" spans="26:41" x14ac:dyDescent="0.25">
      <c r="Z272" s="154" t="str">
        <f>CONCATENATE(AE272,Times!AD272)</f>
        <v>VFEast London Runners</v>
      </c>
      <c r="AA272" s="154" t="str">
        <f>Times!AD272</f>
        <v>FEast London Runners</v>
      </c>
      <c r="AB272" s="154" t="str">
        <f>IF(AK272="Y",CONCATENATE(AA272,COUNTIFS($AK$2:AK272,"=Y",$AA$2:AA272,AA272)),"")</f>
        <v/>
      </c>
      <c r="AC272" s="154" t="str">
        <f>Times!K272</f>
        <v>Gowri Sukumar</v>
      </c>
      <c r="AD272" s="154">
        <f>Times!G272</f>
        <v>100</v>
      </c>
      <c r="AE272" s="154" t="str">
        <f>IF(Times!D272&lt;&gt;"",IF(ISERR(SEARCH("V",Times!I272,1)),IF(ISERR(SEARCH("S",Times!I272,1)),"S","S"),"V"),"")</f>
        <v>V</v>
      </c>
      <c r="AF272" s="161">
        <f>IF(Times!D272&lt;&gt;"",SUMIFS(Times!$G$2:G272,$AA$2:AA272,AA272,$AK$2:AK272,"Y"),"")</f>
        <v>27</v>
      </c>
      <c r="AG272" s="154" t="str">
        <f>IF(Times!D272&lt;&gt;"",IF(AND(Times!J272="M",AI272+AL272=AM272,AK272="Y"),AF272,""),"")</f>
        <v/>
      </c>
      <c r="AH272" s="154" t="str">
        <f>IF(Times!D272&lt;&gt;"",IF(AND(Times!J272="F",AI272+AL272=AM272,AK272="Y"),AF272,""),"")</f>
        <v/>
      </c>
      <c r="AI272" s="154">
        <f>COUNTIF(Z$2:Z272,CONCATENATE("V",AA272))</f>
        <v>17</v>
      </c>
      <c r="AJ272" s="154">
        <f>COUNTIF(Z$2:Z272,CONCATENATE("S",AA272))</f>
        <v>4</v>
      </c>
      <c r="AK272" s="154" t="str">
        <f t="shared" si="92"/>
        <v>N</v>
      </c>
      <c r="AL272" s="154">
        <f>IF(AND(Times!J272="M",AJ272&gt;3),3, IF(AND(Times!J272="F",AJ272&gt;2),2,AJ272))</f>
        <v>2</v>
      </c>
      <c r="AM272" s="154">
        <f>IF(Times!J272="M",6, IF(Times!J272="F",4,""))</f>
        <v>4</v>
      </c>
      <c r="AN272" s="154" t="str">
        <f t="shared" si="93"/>
        <v/>
      </c>
      <c r="AO272" s="154" t="str">
        <f t="shared" si="94"/>
        <v/>
      </c>
    </row>
    <row r="273" spans="26:41" x14ac:dyDescent="0.25">
      <c r="Z273" s="154" t="str">
        <f>CONCATENATE(AE273,Times!AD273)</f>
        <v>VFDagenham 88 Runners</v>
      </c>
      <c r="AA273" s="154" t="str">
        <f>Times!AD273</f>
        <v>FDagenham 88 Runners</v>
      </c>
      <c r="AB273" s="154" t="str">
        <f>IF(AK273="Y",CONCATENATE(AA273,COUNTIFS($AK$2:AK273,"=Y",$AA$2:AA273,AA273)),"")</f>
        <v/>
      </c>
      <c r="AC273" s="154" t="str">
        <f>Times!K273</f>
        <v>Carol Moring</v>
      </c>
      <c r="AD273" s="154">
        <f>Times!G273</f>
        <v>101</v>
      </c>
      <c r="AE273" s="154" t="str">
        <f>IF(Times!D273&lt;&gt;"",IF(ISERR(SEARCH("V",Times!I273,1)),IF(ISERR(SEARCH("S",Times!I273,1)),"S","S"),"V"),"")</f>
        <v>V</v>
      </c>
      <c r="AF273" s="161">
        <f>IF(Times!D273&lt;&gt;"",SUMIFS(Times!$G$2:G273,$AA$2:AA273,AA273,$AK$2:AK273,"Y"),"")</f>
        <v>217</v>
      </c>
      <c r="AG273" s="154" t="str">
        <f>IF(Times!D273&lt;&gt;"",IF(AND(Times!J273="M",AI273+AL273=AM273,AK273="Y"),AF273,""),"")</f>
        <v/>
      </c>
      <c r="AH273" s="154" t="str">
        <f>IF(Times!D273&lt;&gt;"",IF(AND(Times!J273="F",AI273+AL273=AM273,AK273="Y"),AF273,""),"")</f>
        <v/>
      </c>
      <c r="AI273" s="154">
        <f>COUNTIF(Z$2:Z273,CONCATENATE("V",AA273))</f>
        <v>8</v>
      </c>
      <c r="AJ273" s="154">
        <f>COUNTIF(Z$2:Z273,CONCATENATE("S",AA273))</f>
        <v>0</v>
      </c>
      <c r="AK273" s="154" t="str">
        <f t="shared" si="92"/>
        <v>N</v>
      </c>
      <c r="AL273" s="154">
        <f>IF(AND(Times!J273="M",AJ273&gt;3),3, IF(AND(Times!J273="F",AJ273&gt;2),2,AJ273))</f>
        <v>0</v>
      </c>
      <c r="AM273" s="154">
        <f>IF(Times!J273="M",6, IF(Times!J273="F",4,""))</f>
        <v>4</v>
      </c>
      <c r="AN273" s="154" t="str">
        <f t="shared" si="93"/>
        <v/>
      </c>
      <c r="AO273" s="154" t="str">
        <f t="shared" si="94"/>
        <v/>
      </c>
    </row>
    <row r="274" spans="26:41" x14ac:dyDescent="0.25">
      <c r="Z274" s="154" t="str">
        <f>CONCATENATE(AE274,Times!AD274)</f>
        <v>VFHavering 90 Joggers</v>
      </c>
      <c r="AA274" s="154" t="str">
        <f>Times!AD274</f>
        <v>FHavering 90 Joggers</v>
      </c>
      <c r="AB274" s="154" t="str">
        <f>IF(AK274="Y",CONCATENATE(AA274,COUNTIFS($AK$2:AK274,"=Y",$AA$2:AA274,AA274)),"")</f>
        <v/>
      </c>
      <c r="AC274" s="154" t="str">
        <f>Times!K274</f>
        <v>Janet Shaw</v>
      </c>
      <c r="AD274" s="154">
        <f>Times!G274</f>
        <v>102</v>
      </c>
      <c r="AE274" s="154" t="str">
        <f>IF(Times!D274&lt;&gt;"",IF(ISERR(SEARCH("V",Times!I274,1)),IF(ISERR(SEARCH("S",Times!I274,1)),"S","S"),"V"),"")</f>
        <v>V</v>
      </c>
      <c r="AF274" s="161">
        <f>IF(Times!D274&lt;&gt;"",SUMIFS(Times!$G$2:G274,$AA$2:AA274,AA274,$AK$2:AK274,"Y"),"")</f>
        <v>203</v>
      </c>
      <c r="AG274" s="154" t="str">
        <f>IF(Times!D274&lt;&gt;"",IF(AND(Times!J274="M",AI274+AL274=AM274,AK274="Y"),AF274,""),"")</f>
        <v/>
      </c>
      <c r="AH274" s="154" t="str">
        <f>IF(Times!D274&lt;&gt;"",IF(AND(Times!J274="F",AI274+AL274=AM274,AK274="Y"),AF274,""),"")</f>
        <v/>
      </c>
      <c r="AI274" s="154">
        <f>COUNTIF(Z$2:Z274,CONCATENATE("V",AA274))</f>
        <v>11</v>
      </c>
      <c r="AJ274" s="154">
        <f>COUNTIF(Z$2:Z274,CONCATENATE("S",AA274))</f>
        <v>0</v>
      </c>
      <c r="AK274" s="154" t="str">
        <f t="shared" si="92"/>
        <v>N</v>
      </c>
      <c r="AL274" s="154">
        <f>IF(AND(Times!J274="M",AJ274&gt;3),3, IF(AND(Times!J274="F",AJ274&gt;2),2,AJ274))</f>
        <v>0</v>
      </c>
      <c r="AM274" s="154">
        <f>IF(Times!J274="M",6, IF(Times!J274="F",4,""))</f>
        <v>4</v>
      </c>
      <c r="AN274" s="154" t="str">
        <f t="shared" si="93"/>
        <v/>
      </c>
      <c r="AO274" s="154" t="str">
        <f t="shared" si="94"/>
        <v/>
      </c>
    </row>
    <row r="275" spans="26:41" x14ac:dyDescent="0.25">
      <c r="Z275" s="154" t="str">
        <f>CONCATENATE(AE275,Times!AD275)</f>
        <v>VMHavering 90 Joggers</v>
      </c>
      <c r="AA275" s="154" t="str">
        <f>Times!AD275</f>
        <v>MHavering 90 Joggers</v>
      </c>
      <c r="AB275" s="154" t="str">
        <f>IF(AK275="Y",CONCATENATE(AA275,COUNTIFS($AK$2:AK275,"=Y",$AA$2:AA275,AA275)),"")</f>
        <v/>
      </c>
      <c r="AC275" s="154" t="str">
        <f>Times!K275</f>
        <v>Keith Penfold</v>
      </c>
      <c r="AD275" s="154">
        <f>Times!G275</f>
        <v>172</v>
      </c>
      <c r="AE275" s="154" t="str">
        <f>IF(Times!D275&lt;&gt;"",IF(ISERR(SEARCH("V",Times!I275,1)),IF(ISERR(SEARCH("S",Times!I275,1)),"S","S"),"V"),"")</f>
        <v>V</v>
      </c>
      <c r="AF275" s="161">
        <f>IF(Times!D275&lt;&gt;"",SUMIFS(Times!$G$2:G275,$AA$2:AA275,AA275,$AK$2:AK275,"Y"),"")</f>
        <v>506</v>
      </c>
      <c r="AG275" s="154" t="str">
        <f>IF(Times!D275&lt;&gt;"",IF(AND(Times!J275="M",AI275+AL275=AM275,AK275="Y"),AF275,""),"")</f>
        <v/>
      </c>
      <c r="AH275" s="154" t="str">
        <f>IF(Times!D275&lt;&gt;"",IF(AND(Times!J275="F",AI275+AL275=AM275,AK275="Y"),AF275,""),"")</f>
        <v/>
      </c>
      <c r="AI275" s="154">
        <f>COUNTIF(Z$2:Z275,CONCATENATE("V",AA275))</f>
        <v>11</v>
      </c>
      <c r="AJ275" s="154">
        <f>COUNTIF(Z$2:Z275,CONCATENATE("S",AA275))</f>
        <v>2</v>
      </c>
      <c r="AK275" s="154" t="str">
        <f t="shared" si="92"/>
        <v>N</v>
      </c>
      <c r="AL275" s="154">
        <f>IF(AND(Times!J275="M",AJ275&gt;3),3, IF(AND(Times!J275="F",AJ275&gt;2),2,AJ275))</f>
        <v>2</v>
      </c>
      <c r="AM275" s="154">
        <f>IF(Times!J275="M",6, IF(Times!J275="F",4,""))</f>
        <v>6</v>
      </c>
      <c r="AN275" s="154" t="str">
        <f t="shared" si="93"/>
        <v/>
      </c>
      <c r="AO275" s="154" t="str">
        <f t="shared" si="94"/>
        <v/>
      </c>
    </row>
    <row r="276" spans="26:41" x14ac:dyDescent="0.25">
      <c r="Z276" s="154" t="str">
        <f>CONCATENATE(AE276,Times!AD276)</f>
        <v>VFEast End Road Runners</v>
      </c>
      <c r="AA276" s="154" t="str">
        <f>Times!AD276</f>
        <v>FEast End Road Runners</v>
      </c>
      <c r="AB276" s="154" t="str">
        <f>IF(AK276="Y",CONCATENATE(AA276,COUNTIFS($AK$2:AK276,"=Y",$AA$2:AA276,AA276)),"")</f>
        <v/>
      </c>
      <c r="AC276" s="154" t="str">
        <f>Times!K276</f>
        <v>Ravindra Luggah</v>
      </c>
      <c r="AD276" s="154">
        <f>Times!G276</f>
        <v>103</v>
      </c>
      <c r="AE276" s="154" t="str">
        <f>IF(Times!D276&lt;&gt;"",IF(ISERR(SEARCH("V",Times!I276,1)),IF(ISERR(SEARCH("S",Times!I276,1)),"S","S"),"V"),"")</f>
        <v>V</v>
      </c>
      <c r="AF276" s="161">
        <f>IF(Times!D276&lt;&gt;"",SUMIFS(Times!$G$2:G276,$AA$2:AA276,AA276,$AK$2:AK276,"Y"),"")</f>
        <v>145</v>
      </c>
      <c r="AG276" s="154" t="str">
        <f>IF(Times!D276&lt;&gt;"",IF(AND(Times!J276="M",AI276+AL276=AM276,AK276="Y"),AF276,""),"")</f>
        <v/>
      </c>
      <c r="AH276" s="154" t="str">
        <f>IF(Times!D276&lt;&gt;"",IF(AND(Times!J276="F",AI276+AL276=AM276,AK276="Y"),AF276,""),"")</f>
        <v/>
      </c>
      <c r="AI276" s="154">
        <f>COUNTIF(Z$2:Z276,CONCATENATE("V",AA276))</f>
        <v>6</v>
      </c>
      <c r="AJ276" s="154">
        <f>COUNTIF(Z$2:Z276,CONCATENATE("S",AA276))</f>
        <v>4</v>
      </c>
      <c r="AK276" s="154" t="str">
        <f t="shared" si="92"/>
        <v>N</v>
      </c>
      <c r="AL276" s="154">
        <f>IF(AND(Times!J276="M",AJ276&gt;3),3, IF(AND(Times!J276="F",AJ276&gt;2),2,AJ276))</f>
        <v>2</v>
      </c>
      <c r="AM276" s="154">
        <f>IF(Times!J276="M",6, IF(Times!J276="F",4,""))</f>
        <v>4</v>
      </c>
      <c r="AN276" s="154" t="str">
        <f t="shared" si="93"/>
        <v/>
      </c>
      <c r="AO276" s="154" t="str">
        <f t="shared" si="94"/>
        <v/>
      </c>
    </row>
    <row r="277" spans="26:41" x14ac:dyDescent="0.25">
      <c r="Z277" s="154" t="str">
        <f>CONCATENATE(AE277,Times!AD277)</f>
        <v>VFUnattached</v>
      </c>
      <c r="AA277" s="154" t="str">
        <f>Times!AD277</f>
        <v>FUnattached</v>
      </c>
      <c r="AB277" s="154" t="str">
        <f>IF(AK277="Y",CONCATENATE(AA277,COUNTIFS($AK$2:AK277,"=Y",$AA$2:AA277,AA277)),"")</f>
        <v>FUnattached2</v>
      </c>
      <c r="AC277" s="154" t="str">
        <f>Times!K277</f>
        <v>Maggie Bavington</v>
      </c>
      <c r="AD277" s="154">
        <f>Times!G277</f>
        <v>104</v>
      </c>
      <c r="AE277" s="154" t="str">
        <f>IF(Times!D277&lt;&gt;"",IF(ISERR(SEARCH("V",Times!I277,1)),IF(ISERR(SEARCH("S",Times!I277,1)),"S","S"),"V"),"")</f>
        <v>V</v>
      </c>
      <c r="AF277" s="161">
        <f>IF(Times!D277&lt;&gt;"",SUMIFS(Times!$G$2:G277,$AA$2:AA277,AA277,$AK$2:AK277,"Y"),"")</f>
        <v>154</v>
      </c>
      <c r="AG277" s="154" t="str">
        <f>IF(Times!D277&lt;&gt;"",IF(AND(Times!J277="M",AI277+AL277=AM277,AK277="Y"),AF277,""),"")</f>
        <v/>
      </c>
      <c r="AH277" s="154" t="str">
        <f>IF(Times!D277&lt;&gt;"",IF(AND(Times!J277="F",AI277+AL277=AM277,AK277="Y"),AF277,""),"")</f>
        <v/>
      </c>
      <c r="AI277" s="154">
        <f>COUNTIF(Z$2:Z277,CONCATENATE("V",AA277))</f>
        <v>2</v>
      </c>
      <c r="AJ277" s="154">
        <f>COUNTIF(Z$2:Z277,CONCATENATE("S",AA277))</f>
        <v>0</v>
      </c>
      <c r="AK277" s="154" t="str">
        <f t="shared" si="92"/>
        <v>Y</v>
      </c>
      <c r="AL277" s="154">
        <f>IF(AND(Times!J277="M",AJ277&gt;3),3, IF(AND(Times!J277="F",AJ277&gt;2),2,AJ277))</f>
        <v>0</v>
      </c>
      <c r="AM277" s="154">
        <f>IF(Times!J277="M",6, IF(Times!J277="F",4,""))</f>
        <v>4</v>
      </c>
      <c r="AN277" s="154" t="str">
        <f t="shared" si="93"/>
        <v/>
      </c>
      <c r="AO277" s="154" t="str">
        <f t="shared" si="94"/>
        <v/>
      </c>
    </row>
    <row r="278" spans="26:41" x14ac:dyDescent="0.25">
      <c r="Z278" s="154" t="str">
        <f>CONCATENATE(AE278,Times!AD278)</f>
        <v>VMHavering 90 Joggers</v>
      </c>
      <c r="AA278" s="154" t="str">
        <f>Times!AD278</f>
        <v>MHavering 90 Joggers</v>
      </c>
      <c r="AB278" s="154" t="str">
        <f>IF(AK278="Y",CONCATENATE(AA278,COUNTIFS($AK$2:AK278,"=Y",$AA$2:AA278,AA278)),"")</f>
        <v/>
      </c>
      <c r="AC278" s="154" t="str">
        <f>Times!K278</f>
        <v>Brian Cross</v>
      </c>
      <c r="AD278" s="154">
        <f>Times!G278</f>
        <v>173</v>
      </c>
      <c r="AE278" s="154" t="str">
        <f>IF(Times!D278&lt;&gt;"",IF(ISERR(SEARCH("V",Times!I278,1)),IF(ISERR(SEARCH("S",Times!I278,1)),"S","S"),"V"),"")</f>
        <v>V</v>
      </c>
      <c r="AF278" s="161">
        <f>IF(Times!D278&lt;&gt;"",SUMIFS(Times!$G$2:G278,$AA$2:AA278,AA278,$AK$2:AK278,"Y"),"")</f>
        <v>506</v>
      </c>
      <c r="AG278" s="154" t="str">
        <f>IF(Times!D278&lt;&gt;"",IF(AND(Times!J278="M",AI278+AL278=AM278,AK278="Y"),AF278,""),"")</f>
        <v/>
      </c>
      <c r="AH278" s="154" t="str">
        <f>IF(Times!D278&lt;&gt;"",IF(AND(Times!J278="F",AI278+AL278=AM278,AK278="Y"),AF278,""),"")</f>
        <v/>
      </c>
      <c r="AI278" s="154">
        <f>COUNTIF(Z$2:Z278,CONCATENATE("V",AA278))</f>
        <v>12</v>
      </c>
      <c r="AJ278" s="154">
        <f>COUNTIF(Z$2:Z278,CONCATENATE("S",AA278))</f>
        <v>2</v>
      </c>
      <c r="AK278" s="154" t="str">
        <f t="shared" si="92"/>
        <v>N</v>
      </c>
      <c r="AL278" s="154">
        <f>IF(AND(Times!J278="M",AJ278&gt;3),3, IF(AND(Times!J278="F",AJ278&gt;2),2,AJ278))</f>
        <v>2</v>
      </c>
      <c r="AM278" s="154">
        <f>IF(Times!J278="M",6, IF(Times!J278="F",4,""))</f>
        <v>6</v>
      </c>
      <c r="AN278" s="154" t="str">
        <f t="shared" si="93"/>
        <v/>
      </c>
      <c r="AO278" s="154" t="str">
        <f t="shared" si="94"/>
        <v/>
      </c>
    </row>
    <row r="279" spans="26:41" x14ac:dyDescent="0.25">
      <c r="Z279" s="154" t="str">
        <f>CONCATENATE(AE279,Times!AD279)</f>
        <v>VFHavering 90 Joggers</v>
      </c>
      <c r="AA279" s="154" t="str">
        <f>Times!AD279</f>
        <v>FHavering 90 Joggers</v>
      </c>
      <c r="AB279" s="154" t="str">
        <f>IF(AK279="Y",CONCATENATE(AA279,COUNTIFS($AK$2:AK279,"=Y",$AA$2:AA279,AA279)),"")</f>
        <v/>
      </c>
      <c r="AC279" s="154" t="str">
        <f>Times!K279</f>
        <v>Maria Brill</v>
      </c>
      <c r="AD279" s="154">
        <f>Times!G279</f>
        <v>105</v>
      </c>
      <c r="AE279" s="154" t="str">
        <f>IF(Times!D279&lt;&gt;"",IF(ISERR(SEARCH("V",Times!I279,1)),IF(ISERR(SEARCH("S",Times!I279,1)),"S","S"),"V"),"")</f>
        <v>V</v>
      </c>
      <c r="AF279" s="161">
        <f>IF(Times!D279&lt;&gt;"",SUMIFS(Times!$G$2:G279,$AA$2:AA279,AA279,$AK$2:AK279,"Y"),"")</f>
        <v>203</v>
      </c>
      <c r="AG279" s="154" t="str">
        <f>IF(Times!D279&lt;&gt;"",IF(AND(Times!J279="M",AI279+AL279=AM279,AK279="Y"),AF279,""),"")</f>
        <v/>
      </c>
      <c r="AH279" s="154" t="str">
        <f>IF(Times!D279&lt;&gt;"",IF(AND(Times!J279="F",AI279+AL279=AM279,AK279="Y"),AF279,""),"")</f>
        <v/>
      </c>
      <c r="AI279" s="154">
        <f>COUNTIF(Z$2:Z279,CONCATENATE("V",AA279))</f>
        <v>12</v>
      </c>
      <c r="AJ279" s="154">
        <f>COUNTIF(Z$2:Z279,CONCATENATE("S",AA279))</f>
        <v>0</v>
      </c>
      <c r="AK279" s="154" t="str">
        <f t="shared" si="92"/>
        <v>N</v>
      </c>
      <c r="AL279" s="154">
        <f>IF(AND(Times!J279="M",AJ279&gt;3),3, IF(AND(Times!J279="F",AJ279&gt;2),2,AJ279))</f>
        <v>0</v>
      </c>
      <c r="AM279" s="154">
        <f>IF(Times!J279="M",6, IF(Times!J279="F",4,""))</f>
        <v>4</v>
      </c>
      <c r="AN279" s="154" t="str">
        <f t="shared" si="93"/>
        <v/>
      </c>
      <c r="AO279" s="154" t="str">
        <f t="shared" si="94"/>
        <v/>
      </c>
    </row>
    <row r="280" spans="26:41" x14ac:dyDescent="0.25">
      <c r="Z280" s="154" t="str">
        <f>CONCATENATE(AE280,Times!AD280)</f>
        <v>VMEast End Road Runners</v>
      </c>
      <c r="AA280" s="154" t="str">
        <f>Times!AD280</f>
        <v>MEast End Road Runners</v>
      </c>
      <c r="AB280" s="154" t="str">
        <f>IF(AK280="Y",CONCATENATE(AA280,COUNTIFS($AK$2:AK280,"=Y",$AA$2:AA280,AA280)),"")</f>
        <v/>
      </c>
      <c r="AC280" s="154" t="str">
        <f>Times!K280</f>
        <v>Patrick Seaman</v>
      </c>
      <c r="AD280" s="154">
        <f>Times!G280</f>
        <v>174</v>
      </c>
      <c r="AE280" s="154" t="str">
        <f>IF(Times!D280&lt;&gt;"",IF(ISERR(SEARCH("V",Times!I280,1)),IF(ISERR(SEARCH("S",Times!I280,1)),"S","S"),"V"),"")</f>
        <v>V</v>
      </c>
      <c r="AF280" s="161">
        <f>IF(Times!D280&lt;&gt;"",SUMIFS(Times!$G$2:G280,$AA$2:AA280,AA280,$AK$2:AK280,"Y"),"")</f>
        <v>343</v>
      </c>
      <c r="AG280" s="154" t="str">
        <f>IF(Times!D280&lt;&gt;"",IF(AND(Times!J280="M",AI280+AL280=AM280,AK280="Y"),AF280,""),"")</f>
        <v/>
      </c>
      <c r="AH280" s="154" t="str">
        <f>IF(Times!D280&lt;&gt;"",IF(AND(Times!J280="F",AI280+AL280=AM280,AK280="Y"),AF280,""),"")</f>
        <v/>
      </c>
      <c r="AI280" s="154">
        <f>COUNTIF(Z$2:Z280,CONCATENATE("V",AA280))</f>
        <v>8</v>
      </c>
      <c r="AJ280" s="154">
        <f>COUNTIF(Z$2:Z280,CONCATENATE("S",AA280))</f>
        <v>8</v>
      </c>
      <c r="AK280" s="154" t="str">
        <f t="shared" si="92"/>
        <v>N</v>
      </c>
      <c r="AL280" s="154">
        <f>IF(AND(Times!J280="M",AJ280&gt;3),3, IF(AND(Times!J280="F",AJ280&gt;2),2,AJ280))</f>
        <v>3</v>
      </c>
      <c r="AM280" s="154">
        <f>IF(Times!J280="M",6, IF(Times!J280="F",4,""))</f>
        <v>6</v>
      </c>
      <c r="AN280" s="154" t="str">
        <f t="shared" si="93"/>
        <v/>
      </c>
      <c r="AO280" s="154" t="str">
        <f t="shared" si="94"/>
        <v/>
      </c>
    </row>
    <row r="281" spans="26:41" x14ac:dyDescent="0.25">
      <c r="Z281" s="154" t="str">
        <f>CONCATENATE(AE281,Times!AD281)</f>
        <v>SFHarold Wood Running Club</v>
      </c>
      <c r="AA281" s="154" t="str">
        <f>Times!AD281</f>
        <v>FHarold Wood Running Club</v>
      </c>
      <c r="AB281" s="154" t="str">
        <f>IF(AK281="Y",CONCATENATE(AA281,COUNTIFS($AK$2:AK281,"=Y",$AA$2:AA281,AA281)),"")</f>
        <v/>
      </c>
      <c r="AC281" s="154" t="str">
        <f>Times!K281</f>
        <v>Ilona Alaburda</v>
      </c>
      <c r="AD281" s="154">
        <f>Times!G281</f>
        <v>106</v>
      </c>
      <c r="AE281" s="154" t="str">
        <f>IF(Times!D281&lt;&gt;"",IF(ISERR(SEARCH("V",Times!I281,1)),IF(ISERR(SEARCH("S",Times!I281,1)),"S","S"),"V"),"")</f>
        <v>S</v>
      </c>
      <c r="AF281" s="161">
        <f>IF(Times!D281&lt;&gt;"",SUMIFS(Times!$G$2:G281,$AA$2:AA281,AA281,$AK$2:AK281,"Y"),"")</f>
        <v>97</v>
      </c>
      <c r="AG281" s="154" t="str">
        <f>IF(Times!D281&lt;&gt;"",IF(AND(Times!J281="M",AI281+AL281=AM281,AK281="Y"),AF281,""),"")</f>
        <v/>
      </c>
      <c r="AH281" s="154" t="str">
        <f>IF(Times!D281&lt;&gt;"",IF(AND(Times!J281="F",AI281+AL281=AM281,AK281="Y"),AF281,""),"")</f>
        <v/>
      </c>
      <c r="AI281" s="154">
        <f>COUNTIF(Z$2:Z281,CONCATENATE("V",AA281))</f>
        <v>6</v>
      </c>
      <c r="AJ281" s="154">
        <f>COUNTIF(Z$2:Z281,CONCATENATE("S",AA281))</f>
        <v>4</v>
      </c>
      <c r="AK281" s="154" t="str">
        <f t="shared" si="92"/>
        <v>N</v>
      </c>
      <c r="AL281" s="154">
        <f>IF(AND(Times!J281="M",AJ281&gt;3),3, IF(AND(Times!J281="F",AJ281&gt;2),2,AJ281))</f>
        <v>2</v>
      </c>
      <c r="AM281" s="154">
        <f>IF(Times!J281="M",6, IF(Times!J281="F",4,""))</f>
        <v>4</v>
      </c>
      <c r="AN281" s="154" t="str">
        <f t="shared" si="93"/>
        <v/>
      </c>
      <c r="AO281" s="154" t="str">
        <f t="shared" si="94"/>
        <v/>
      </c>
    </row>
    <row r="282" spans="26:41" x14ac:dyDescent="0.25">
      <c r="Z282" s="154" t="str">
        <f>CONCATENATE(AE282,Times!AD282)</f>
        <v>VFHavering 90 Joggers</v>
      </c>
      <c r="AA282" s="154" t="str">
        <f>Times!AD282</f>
        <v>FHavering 90 Joggers</v>
      </c>
      <c r="AB282" s="154" t="str">
        <f>IF(AK282="Y",CONCATENATE(AA282,COUNTIFS($AK$2:AK282,"=Y",$AA$2:AA282,AA282)),"")</f>
        <v/>
      </c>
      <c r="AC282" s="154" t="str">
        <f>Times!K282</f>
        <v>jane evans</v>
      </c>
      <c r="AD282" s="154">
        <f>Times!G282</f>
        <v>107</v>
      </c>
      <c r="AE282" s="154" t="str">
        <f>IF(Times!D282&lt;&gt;"",IF(ISERR(SEARCH("V",Times!I282,1)),IF(ISERR(SEARCH("S",Times!I282,1)),"S","S"),"V"),"")</f>
        <v>V</v>
      </c>
      <c r="AF282" s="161">
        <f>IF(Times!D282&lt;&gt;"",SUMIFS(Times!$G$2:G282,$AA$2:AA282,AA282,$AK$2:AK282,"Y"),"")</f>
        <v>203</v>
      </c>
      <c r="AG282" s="154" t="str">
        <f>IF(Times!D282&lt;&gt;"",IF(AND(Times!J282="M",AI282+AL282=AM282,AK282="Y"),AF282,""),"")</f>
        <v/>
      </c>
      <c r="AH282" s="154" t="str">
        <f>IF(Times!D282&lt;&gt;"",IF(AND(Times!J282="F",AI282+AL282=AM282,AK282="Y"),AF282,""),"")</f>
        <v/>
      </c>
      <c r="AI282" s="154">
        <f>COUNTIF(Z$2:Z282,CONCATENATE("V",AA282))</f>
        <v>13</v>
      </c>
      <c r="AJ282" s="154">
        <f>COUNTIF(Z$2:Z282,CONCATENATE("S",AA282))</f>
        <v>0</v>
      </c>
      <c r="AK282" s="154" t="str">
        <f t="shared" si="92"/>
        <v>N</v>
      </c>
      <c r="AL282" s="154">
        <f>IF(AND(Times!J282="M",AJ282&gt;3),3, IF(AND(Times!J282="F",AJ282&gt;2),2,AJ282))</f>
        <v>0</v>
      </c>
      <c r="AM282" s="154">
        <f>IF(Times!J282="M",6, IF(Times!J282="F",4,""))</f>
        <v>4</v>
      </c>
      <c r="AN282" s="154" t="str">
        <f t="shared" si="93"/>
        <v/>
      </c>
      <c r="AO282" s="154" t="str">
        <f t="shared" si="94"/>
        <v/>
      </c>
    </row>
    <row r="283" spans="26:41" x14ac:dyDescent="0.25">
      <c r="Z283" s="154" t="str">
        <f>CONCATENATE(AE283,Times!AD283)</f>
        <v>VFEast London Runners</v>
      </c>
      <c r="AA283" s="154" t="str">
        <f>Times!AD283</f>
        <v>FEast London Runners</v>
      </c>
      <c r="AB283" s="154" t="str">
        <f>IF(AK283="Y",CONCATENATE(AA283,COUNTIFS($AK$2:AK283,"=Y",$AA$2:AA283,AA283)),"")</f>
        <v/>
      </c>
      <c r="AC283" s="154" t="str">
        <f>Times!K283</f>
        <v>Susan Bushnell</v>
      </c>
      <c r="AD283" s="154">
        <f>Times!G283</f>
        <v>108</v>
      </c>
      <c r="AE283" s="154" t="str">
        <f>IF(Times!D283&lt;&gt;"",IF(ISERR(SEARCH("V",Times!I283,1)),IF(ISERR(SEARCH("S",Times!I283,1)),"S","S"),"V"),"")</f>
        <v>V</v>
      </c>
      <c r="AF283" s="161">
        <f>IF(Times!D283&lt;&gt;"",SUMIFS(Times!$G$2:G283,$AA$2:AA283,AA283,$AK$2:AK283,"Y"),"")</f>
        <v>27</v>
      </c>
      <c r="AG283" s="154" t="str">
        <f>IF(Times!D283&lt;&gt;"",IF(AND(Times!J283="M",AI283+AL283=AM283,AK283="Y"),AF283,""),"")</f>
        <v/>
      </c>
      <c r="AH283" s="154" t="str">
        <f>IF(Times!D283&lt;&gt;"",IF(AND(Times!J283="F",AI283+AL283=AM283,AK283="Y"),AF283,""),"")</f>
        <v/>
      </c>
      <c r="AI283" s="154">
        <f>COUNTIF(Z$2:Z283,CONCATENATE("V",AA283))</f>
        <v>18</v>
      </c>
      <c r="AJ283" s="154">
        <f>COUNTIF(Z$2:Z283,CONCATENATE("S",AA283))</f>
        <v>4</v>
      </c>
      <c r="AK283" s="154" t="str">
        <f t="shared" si="92"/>
        <v>N</v>
      </c>
      <c r="AL283" s="154">
        <f>IF(AND(Times!J283="M",AJ283&gt;3),3, IF(AND(Times!J283="F",AJ283&gt;2),2,AJ283))</f>
        <v>2</v>
      </c>
      <c r="AM283" s="154">
        <f>IF(Times!J283="M",6, IF(Times!J283="F",4,""))</f>
        <v>4</v>
      </c>
      <c r="AN283" s="154" t="str">
        <f t="shared" si="93"/>
        <v/>
      </c>
      <c r="AO283" s="154" t="str">
        <f t="shared" si="94"/>
        <v/>
      </c>
    </row>
    <row r="284" spans="26:41" x14ac:dyDescent="0.25">
      <c r="Z284" s="154" t="str">
        <f>CONCATENATE(AE284,Times!AD284)</f>
        <v>VMEast London Runners</v>
      </c>
      <c r="AA284" s="154" t="str">
        <f>Times!AD284</f>
        <v>MEast London Runners</v>
      </c>
      <c r="AB284" s="154" t="str">
        <f>IF(AK284="Y",CONCATENATE(AA284,COUNTIFS($AK$2:AK284,"=Y",$AA$2:AA284,AA284)),"")</f>
        <v/>
      </c>
      <c r="AC284" s="154" t="str">
        <f>Times!K284</f>
        <v>Prabhakaran Sukumar</v>
      </c>
      <c r="AD284" s="154">
        <f>Times!G284</f>
        <v>175</v>
      </c>
      <c r="AE284" s="154" t="str">
        <f>IF(Times!D284&lt;&gt;"",IF(ISERR(SEARCH("V",Times!I284,1)),IF(ISERR(SEARCH("S",Times!I284,1)),"S","S"),"V"),"")</f>
        <v>V</v>
      </c>
      <c r="AF284" s="161">
        <f>IF(Times!D284&lt;&gt;"",SUMIFS(Times!$G$2:G284,$AA$2:AA284,AA284,$AK$2:AK284,"Y"),"")</f>
        <v>84</v>
      </c>
      <c r="AG284" s="154" t="str">
        <f>IF(Times!D284&lt;&gt;"",IF(AND(Times!J284="M",AI284+AL284=AM284,AK284="Y"),AF284,""),"")</f>
        <v/>
      </c>
      <c r="AH284" s="154" t="str">
        <f>IF(Times!D284&lt;&gt;"",IF(AND(Times!J284="F",AI284+AL284=AM284,AK284="Y"),AF284,""),"")</f>
        <v/>
      </c>
      <c r="AI284" s="154">
        <f>COUNTIF(Z$2:Z284,CONCATENATE("V",AA284))</f>
        <v>30</v>
      </c>
      <c r="AJ284" s="154">
        <f>COUNTIF(Z$2:Z284,CONCATENATE("S",AA284))</f>
        <v>19</v>
      </c>
      <c r="AK284" s="154" t="str">
        <f t="shared" si="92"/>
        <v>N</v>
      </c>
      <c r="AL284" s="154">
        <f>IF(AND(Times!J284="M",AJ284&gt;3),3, IF(AND(Times!J284="F",AJ284&gt;2),2,AJ284))</f>
        <v>3</v>
      </c>
      <c r="AM284" s="154">
        <f>IF(Times!J284="M",6, IF(Times!J284="F",4,""))</f>
        <v>6</v>
      </c>
      <c r="AN284" s="154" t="str">
        <f t="shared" si="93"/>
        <v/>
      </c>
      <c r="AO284" s="154" t="str">
        <f t="shared" si="94"/>
        <v/>
      </c>
    </row>
    <row r="285" spans="26:41" x14ac:dyDescent="0.25">
      <c r="Z285" s="154" t="str">
        <f>CONCATENATE(AE285,Times!AD285)</f>
        <v>VMEast End Road Runners</v>
      </c>
      <c r="AA285" s="154" t="str">
        <f>Times!AD285</f>
        <v>MEast End Road Runners</v>
      </c>
      <c r="AB285" s="154" t="str">
        <f>IF(AK285="Y",CONCATENATE(AA285,COUNTIFS($AK$2:AK285,"=Y",$AA$2:AA285,AA285)),"")</f>
        <v/>
      </c>
      <c r="AC285" s="154" t="str">
        <f>Times!K285</f>
        <v>David Thurtle</v>
      </c>
      <c r="AD285" s="154">
        <f>Times!G285</f>
        <v>176</v>
      </c>
      <c r="AE285" s="154" t="str">
        <f>IF(Times!D285&lt;&gt;"",IF(ISERR(SEARCH("V",Times!I285,1)),IF(ISERR(SEARCH("S",Times!I285,1)),"S","S"),"V"),"")</f>
        <v>V</v>
      </c>
      <c r="AF285" s="161">
        <f>IF(Times!D285&lt;&gt;"",SUMIFS(Times!$G$2:G285,$AA$2:AA285,AA285,$AK$2:AK285,"Y"),"")</f>
        <v>343</v>
      </c>
      <c r="AG285" s="154" t="str">
        <f>IF(Times!D285&lt;&gt;"",IF(AND(Times!J285="M",AI285+AL285=AM285,AK285="Y"),AF285,""),"")</f>
        <v/>
      </c>
      <c r="AH285" s="154" t="str">
        <f>IF(Times!D285&lt;&gt;"",IF(AND(Times!J285="F",AI285+AL285=AM285,AK285="Y"),AF285,""),"")</f>
        <v/>
      </c>
      <c r="AI285" s="154">
        <f>COUNTIF(Z$2:Z285,CONCATENATE("V",AA285))</f>
        <v>9</v>
      </c>
      <c r="AJ285" s="154">
        <f>COUNTIF(Z$2:Z285,CONCATENATE("S",AA285))</f>
        <v>8</v>
      </c>
      <c r="AK285" s="154" t="str">
        <f t="shared" si="92"/>
        <v>N</v>
      </c>
      <c r="AL285" s="154">
        <f>IF(AND(Times!J285="M",AJ285&gt;3),3, IF(AND(Times!J285="F",AJ285&gt;2),2,AJ285))</f>
        <v>3</v>
      </c>
      <c r="AM285" s="154">
        <f>IF(Times!J285="M",6, IF(Times!J285="F",4,""))</f>
        <v>6</v>
      </c>
      <c r="AN285" s="154" t="str">
        <f t="shared" si="93"/>
        <v/>
      </c>
      <c r="AO285" s="154" t="str">
        <f t="shared" si="94"/>
        <v/>
      </c>
    </row>
    <row r="286" spans="26:41" x14ac:dyDescent="0.25">
      <c r="Z286" s="154" t="str">
        <f>CONCATENATE(AE286,Times!AD286)</f>
        <v>VMEast London Runners</v>
      </c>
      <c r="AA286" s="154" t="str">
        <f>Times!AD286</f>
        <v>MEast London Runners</v>
      </c>
      <c r="AB286" s="154" t="str">
        <f>IF(AK286="Y",CONCATENATE(AA286,COUNTIFS($AK$2:AK286,"=Y",$AA$2:AA286,AA286)),"")</f>
        <v/>
      </c>
      <c r="AC286" s="154" t="str">
        <f>Times!K286</f>
        <v>Don Bennett</v>
      </c>
      <c r="AD286" s="154">
        <f>Times!G286</f>
        <v>177</v>
      </c>
      <c r="AE286" s="154" t="str">
        <f>IF(Times!D286&lt;&gt;"",IF(ISERR(SEARCH("V",Times!I286,1)),IF(ISERR(SEARCH("S",Times!I286,1)),"S","S"),"V"),"")</f>
        <v>V</v>
      </c>
      <c r="AF286" s="161">
        <f>IF(Times!D286&lt;&gt;"",SUMIFS(Times!$G$2:G286,$AA$2:AA286,AA286,$AK$2:AK286,"Y"),"")</f>
        <v>84</v>
      </c>
      <c r="AG286" s="154" t="str">
        <f>IF(Times!D286&lt;&gt;"",IF(AND(Times!J286="M",AI286+AL286=AM286,AK286="Y"),AF286,""),"")</f>
        <v/>
      </c>
      <c r="AH286" s="154" t="str">
        <f>IF(Times!D286&lt;&gt;"",IF(AND(Times!J286="F",AI286+AL286=AM286,AK286="Y"),AF286,""),"")</f>
        <v/>
      </c>
      <c r="AI286" s="154">
        <f>COUNTIF(Z$2:Z286,CONCATENATE("V",AA286))</f>
        <v>31</v>
      </c>
      <c r="AJ286" s="154">
        <f>COUNTIF(Z$2:Z286,CONCATENATE("S",AA286))</f>
        <v>19</v>
      </c>
      <c r="AK286" s="154" t="str">
        <f t="shared" si="92"/>
        <v>N</v>
      </c>
      <c r="AL286" s="154">
        <f>IF(AND(Times!J286="M",AJ286&gt;3),3, IF(AND(Times!J286="F",AJ286&gt;2),2,AJ286))</f>
        <v>3</v>
      </c>
      <c r="AM286" s="154">
        <f>IF(Times!J286="M",6, IF(Times!J286="F",4,""))</f>
        <v>6</v>
      </c>
      <c r="AN286" s="154" t="str">
        <f t="shared" si="93"/>
        <v/>
      </c>
      <c r="AO286" s="154" t="str">
        <f t="shared" si="94"/>
        <v/>
      </c>
    </row>
    <row r="287" spans="26:41" x14ac:dyDescent="0.25">
      <c r="Z287" s="154" t="str">
        <f>CONCATENATE(AE287,Times!AD287)</f>
        <v>VMEast End Road Runners</v>
      </c>
      <c r="AA287" s="154" t="str">
        <f>Times!AD287</f>
        <v>MEast End Road Runners</v>
      </c>
      <c r="AB287" s="154" t="str">
        <f>IF(AK287="Y",CONCATENATE(AA287,COUNTIFS($AK$2:AK287,"=Y",$AA$2:AA287,AA287)),"")</f>
        <v/>
      </c>
      <c r="AC287" s="154" t="str">
        <f>Times!K287</f>
        <v>Yogesh Patel</v>
      </c>
      <c r="AD287" s="154">
        <f>Times!G287</f>
        <v>178</v>
      </c>
      <c r="AE287" s="154" t="str">
        <f>IF(Times!D287&lt;&gt;"",IF(ISERR(SEARCH("V",Times!I287,1)),IF(ISERR(SEARCH("S",Times!I287,1)),"S","S"),"V"),"")</f>
        <v>V</v>
      </c>
      <c r="AF287" s="161">
        <f>IF(Times!D287&lt;&gt;"",SUMIFS(Times!$G$2:G287,$AA$2:AA287,AA287,$AK$2:AK287,"Y"),"")</f>
        <v>343</v>
      </c>
      <c r="AG287" s="154" t="str">
        <f>IF(Times!D287&lt;&gt;"",IF(AND(Times!J287="M",AI287+AL287=AM287,AK287="Y"),AF287,""),"")</f>
        <v/>
      </c>
      <c r="AH287" s="154" t="str">
        <f>IF(Times!D287&lt;&gt;"",IF(AND(Times!J287="F",AI287+AL287=AM287,AK287="Y"),AF287,""),"")</f>
        <v/>
      </c>
      <c r="AI287" s="154">
        <f>COUNTIF(Z$2:Z287,CONCATENATE("V",AA287))</f>
        <v>10</v>
      </c>
      <c r="AJ287" s="154">
        <f>COUNTIF(Z$2:Z287,CONCATENATE("S",AA287))</f>
        <v>8</v>
      </c>
      <c r="AK287" s="154" t="str">
        <f t="shared" si="92"/>
        <v>N</v>
      </c>
      <c r="AL287" s="154">
        <f>IF(AND(Times!J287="M",AJ287&gt;3),3, IF(AND(Times!J287="F",AJ287&gt;2),2,AJ287))</f>
        <v>3</v>
      </c>
      <c r="AM287" s="154">
        <f>IF(Times!J287="M",6, IF(Times!J287="F",4,""))</f>
        <v>6</v>
      </c>
      <c r="AN287" s="154" t="str">
        <f t="shared" si="93"/>
        <v/>
      </c>
      <c r="AO287" s="154" t="str">
        <f t="shared" si="94"/>
        <v/>
      </c>
    </row>
    <row r="288" spans="26:41" x14ac:dyDescent="0.25">
      <c r="Z288" s="154" t="str">
        <f>CONCATENATE(AE288,Times!AD288)</f>
        <v>VFEton Manor AC</v>
      </c>
      <c r="AA288" s="154" t="str">
        <f>Times!AD288</f>
        <v>FEton Manor AC</v>
      </c>
      <c r="AB288" s="154" t="str">
        <f>IF(AK288="Y",CONCATENATE(AA288,COUNTIFS($AK$2:AK288,"=Y",$AA$2:AA288,AA288)),"")</f>
        <v/>
      </c>
      <c r="AC288" s="154" t="str">
        <f>Times!K288</f>
        <v>Joy McCormack</v>
      </c>
      <c r="AD288" s="154">
        <f>Times!G288</f>
        <v>109</v>
      </c>
      <c r="AE288" s="154" t="str">
        <f>IF(Times!D288&lt;&gt;"",IF(ISERR(SEARCH("V",Times!I288,1)),IF(ISERR(SEARCH("S",Times!I288,1)),"S","S"),"V"),"")</f>
        <v>V</v>
      </c>
      <c r="AF288" s="161">
        <f>IF(Times!D288&lt;&gt;"",SUMIFS(Times!$G$2:G288,$AA$2:AA288,AA288,$AK$2:AK288,"Y"),"")</f>
        <v>60</v>
      </c>
      <c r="AG288" s="154" t="str">
        <f>IF(Times!D288&lt;&gt;"",IF(AND(Times!J288="M",AI288+AL288=AM288,AK288="Y"),AF288,""),"")</f>
        <v/>
      </c>
      <c r="AH288" s="154" t="str">
        <f>IF(Times!D288&lt;&gt;"",IF(AND(Times!J288="F",AI288+AL288=AM288,AK288="Y"),AF288,""),"")</f>
        <v/>
      </c>
      <c r="AI288" s="154">
        <f>COUNTIF(Z$2:Z288,CONCATENATE("V",AA288))</f>
        <v>14</v>
      </c>
      <c r="AJ288" s="154">
        <f>COUNTIF(Z$2:Z288,CONCATENATE("S",AA288))</f>
        <v>0</v>
      </c>
      <c r="AK288" s="154" t="str">
        <f t="shared" si="92"/>
        <v>N</v>
      </c>
      <c r="AL288" s="154">
        <f>IF(AND(Times!J288="M",AJ288&gt;3),3, IF(AND(Times!J288="F",AJ288&gt;2),2,AJ288))</f>
        <v>0</v>
      </c>
      <c r="AM288" s="154">
        <f>IF(Times!J288="M",6, IF(Times!J288="F",4,""))</f>
        <v>4</v>
      </c>
      <c r="AN288" s="154" t="str">
        <f t="shared" si="93"/>
        <v/>
      </c>
      <c r="AO288" s="154" t="str">
        <f t="shared" si="94"/>
        <v/>
      </c>
    </row>
    <row r="289" spans="26:41" x14ac:dyDescent="0.25">
      <c r="Z289" s="154" t="str">
        <f>CONCATENATE(AE289,Times!AD289)</f>
        <v>VMHavering 90 Joggers</v>
      </c>
      <c r="AA289" s="154" t="str">
        <f>Times!AD289</f>
        <v>MHavering 90 Joggers</v>
      </c>
      <c r="AB289" s="154" t="str">
        <f>IF(AK289="Y",CONCATENATE(AA289,COUNTIFS($AK$2:AK289,"=Y",$AA$2:AA289,AA289)),"")</f>
        <v/>
      </c>
      <c r="AC289" s="154" t="str">
        <f>Times!K289</f>
        <v>ray shaw</v>
      </c>
      <c r="AD289" s="154">
        <f>Times!G289</f>
        <v>179</v>
      </c>
      <c r="AE289" s="154" t="str">
        <f>IF(Times!D289&lt;&gt;"",IF(ISERR(SEARCH("V",Times!I289,1)),IF(ISERR(SEARCH("S",Times!I289,1)),"S","S"),"V"),"")</f>
        <v>V</v>
      </c>
      <c r="AF289" s="161">
        <f>IF(Times!D289&lt;&gt;"",SUMIFS(Times!$G$2:G289,$AA$2:AA289,AA289,$AK$2:AK289,"Y"),"")</f>
        <v>506</v>
      </c>
      <c r="AG289" s="154" t="str">
        <f>IF(Times!D289&lt;&gt;"",IF(AND(Times!J289="M",AI289+AL289=AM289,AK289="Y"),AF289,""),"")</f>
        <v/>
      </c>
      <c r="AH289" s="154" t="str">
        <f>IF(Times!D289&lt;&gt;"",IF(AND(Times!J289="F",AI289+AL289=AM289,AK289="Y"),AF289,""),"")</f>
        <v/>
      </c>
      <c r="AI289" s="154">
        <f>COUNTIF(Z$2:Z289,CONCATENATE("V",AA289))</f>
        <v>13</v>
      </c>
      <c r="AJ289" s="154">
        <f>COUNTIF(Z$2:Z289,CONCATENATE("S",AA289))</f>
        <v>2</v>
      </c>
      <c r="AK289" s="154" t="str">
        <f t="shared" si="92"/>
        <v>N</v>
      </c>
      <c r="AL289" s="154">
        <f>IF(AND(Times!J289="M",AJ289&gt;3),3, IF(AND(Times!J289="F",AJ289&gt;2),2,AJ289))</f>
        <v>2</v>
      </c>
      <c r="AM289" s="154">
        <f>IF(Times!J289="M",6, IF(Times!J289="F",4,""))</f>
        <v>6</v>
      </c>
      <c r="AN289" s="154" t="str">
        <f t="shared" si="93"/>
        <v/>
      </c>
      <c r="AO289" s="154" t="str">
        <f t="shared" si="94"/>
        <v/>
      </c>
    </row>
    <row r="290" spans="26:41" x14ac:dyDescent="0.25">
      <c r="Z290" s="154" t="str">
        <f>CONCATENATE(AE290,Times!AD290)</f>
        <v>VFEast End Road Runners</v>
      </c>
      <c r="AA290" s="154" t="str">
        <f>Times!AD290</f>
        <v>FEast End Road Runners</v>
      </c>
      <c r="AB290" s="154" t="str">
        <f>IF(AK290="Y",CONCATENATE(AA290,COUNTIFS($AK$2:AK290,"=Y",$AA$2:AA290,AA290)),"")</f>
        <v/>
      </c>
      <c r="AC290" s="154" t="str">
        <f>Times!K290</f>
        <v>Vinodini Patel</v>
      </c>
      <c r="AD290" s="154">
        <f>Times!G290</f>
        <v>110</v>
      </c>
      <c r="AE290" s="154" t="str">
        <f>IF(Times!D290&lt;&gt;"",IF(ISERR(SEARCH("V",Times!I290,1)),IF(ISERR(SEARCH("S",Times!I290,1)),"S","S"),"V"),"")</f>
        <v>V</v>
      </c>
      <c r="AF290" s="161">
        <f>IF(Times!D290&lt;&gt;"",SUMIFS(Times!$G$2:G290,$AA$2:AA290,AA290,$AK$2:AK290,"Y"),"")</f>
        <v>145</v>
      </c>
      <c r="AG290" s="154" t="str">
        <f>IF(Times!D290&lt;&gt;"",IF(AND(Times!J290="M",AI290+AL290=AM290,AK290="Y"),AF290,""),"")</f>
        <v/>
      </c>
      <c r="AH290" s="154" t="str">
        <f>IF(Times!D290&lt;&gt;"",IF(AND(Times!J290="F",AI290+AL290=AM290,AK290="Y"),AF290,""),"")</f>
        <v/>
      </c>
      <c r="AI290" s="154">
        <f>COUNTIF(Z$2:Z290,CONCATENATE("V",AA290))</f>
        <v>7</v>
      </c>
      <c r="AJ290" s="154">
        <f>COUNTIF(Z$2:Z290,CONCATENATE("S",AA290))</f>
        <v>4</v>
      </c>
      <c r="AK290" s="154" t="str">
        <f t="shared" si="92"/>
        <v>N</v>
      </c>
      <c r="AL290" s="154">
        <f>IF(AND(Times!J290="M",AJ290&gt;3),3, IF(AND(Times!J290="F",AJ290&gt;2),2,AJ290))</f>
        <v>2</v>
      </c>
      <c r="AM290" s="154">
        <f>IF(Times!J290="M",6, IF(Times!J290="F",4,""))</f>
        <v>4</v>
      </c>
      <c r="AN290" s="154" t="str">
        <f t="shared" si="93"/>
        <v/>
      </c>
      <c r="AO290" s="154" t="str">
        <f t="shared" si="94"/>
        <v/>
      </c>
    </row>
    <row r="291" spans="26:41" x14ac:dyDescent="0.25">
      <c r="Z291" s="154" t="str">
        <f>CONCATENATE(AE291,Times!AD291)</f>
        <v>VFEast London Runners</v>
      </c>
      <c r="AA291" s="154" t="str">
        <f>Times!AD291</f>
        <v>FEast London Runners</v>
      </c>
      <c r="AB291" s="154" t="str">
        <f>IF(AK291="Y",CONCATENATE(AA291,COUNTIFS($AK$2:AK291,"=Y",$AA$2:AA291,AA291)),"")</f>
        <v/>
      </c>
      <c r="AC291" s="154" t="str">
        <f>Times!K291</f>
        <v>Katy Taylor</v>
      </c>
      <c r="AD291" s="154">
        <f>Times!G291</f>
        <v>111</v>
      </c>
      <c r="AE291" s="154" t="str">
        <f>IF(Times!D291&lt;&gt;"",IF(ISERR(SEARCH("V",Times!I291,1)),IF(ISERR(SEARCH("S",Times!I291,1)),"S","S"),"V"),"")</f>
        <v>V</v>
      </c>
      <c r="AF291" s="161">
        <f>IF(Times!D291&lt;&gt;"",SUMIFS(Times!$G$2:G291,$AA$2:AA291,AA291,$AK$2:AK291,"Y"),"")</f>
        <v>27</v>
      </c>
      <c r="AG291" s="154" t="str">
        <f>IF(Times!D291&lt;&gt;"",IF(AND(Times!J291="M",AI291+AL291=AM291,AK291="Y"),AF291,""),"")</f>
        <v/>
      </c>
      <c r="AH291" s="154" t="str">
        <f>IF(Times!D291&lt;&gt;"",IF(AND(Times!J291="F",AI291+AL291=AM291,AK291="Y"),AF291,""),"")</f>
        <v/>
      </c>
      <c r="AI291" s="154">
        <f>COUNTIF(Z$2:Z291,CONCATENATE("V",AA291))</f>
        <v>19</v>
      </c>
      <c r="AJ291" s="154">
        <f>COUNTIF(Z$2:Z291,CONCATENATE("S",AA291))</f>
        <v>4</v>
      </c>
      <c r="AK291" s="154" t="str">
        <f t="shared" si="92"/>
        <v>N</v>
      </c>
      <c r="AL291" s="154">
        <f>IF(AND(Times!J291="M",AJ291&gt;3),3, IF(AND(Times!J291="F",AJ291&gt;2),2,AJ291))</f>
        <v>2</v>
      </c>
      <c r="AM291" s="154">
        <f>IF(Times!J291="M",6, IF(Times!J291="F",4,""))</f>
        <v>4</v>
      </c>
      <c r="AN291" s="154" t="str">
        <f t="shared" si="93"/>
        <v/>
      </c>
      <c r="AO291" s="154" t="str">
        <f t="shared" si="94"/>
        <v/>
      </c>
    </row>
    <row r="292" spans="26:41" x14ac:dyDescent="0.25">
      <c r="Z292" s="154" t="str">
        <f>CONCATENATE(AE292,Times!AD292)</f>
        <v>VMDagenham 88 Runners</v>
      </c>
      <c r="AA292" s="154" t="str">
        <f>Times!AD292</f>
        <v>MDagenham 88 Runners</v>
      </c>
      <c r="AB292" s="154" t="str">
        <f>IF(AK292="Y",CONCATENATE(AA292,COUNTIFS($AK$2:AK292,"=Y",$AA$2:AA292,AA292)),"")</f>
        <v/>
      </c>
      <c r="AC292" s="154" t="str">
        <f>Times!K292</f>
        <v>Lee Davis</v>
      </c>
      <c r="AD292" s="154">
        <f>Times!G292</f>
        <v>180</v>
      </c>
      <c r="AE292" s="154" t="str">
        <f>IF(Times!D292&lt;&gt;"",IF(ISERR(SEARCH("V",Times!I292,1)),IF(ISERR(SEARCH("S",Times!I292,1)),"S","S"),"V"),"")</f>
        <v>V</v>
      </c>
      <c r="AF292" s="161">
        <f>IF(Times!D292&lt;&gt;"",SUMIFS(Times!$G$2:G292,$AA$2:AA292,AA292,$AK$2:AK292,"Y"),"")</f>
        <v>529</v>
      </c>
      <c r="AG292" s="154" t="str">
        <f>IF(Times!D292&lt;&gt;"",IF(AND(Times!J292="M",AI292+AL292=AM292,AK292="Y"),AF292,""),"")</f>
        <v/>
      </c>
      <c r="AH292" s="154" t="str">
        <f>IF(Times!D292&lt;&gt;"",IF(AND(Times!J292="F",AI292+AL292=AM292,AK292="Y"),AF292,""),"")</f>
        <v/>
      </c>
      <c r="AI292" s="154">
        <f>COUNTIF(Z$2:Z292,CONCATENATE("V",AA292))</f>
        <v>10</v>
      </c>
      <c r="AJ292" s="154">
        <f>COUNTIF(Z$2:Z292,CONCATENATE("S",AA292))</f>
        <v>4</v>
      </c>
      <c r="AK292" s="154" t="str">
        <f t="shared" si="92"/>
        <v>N</v>
      </c>
      <c r="AL292" s="154">
        <f>IF(AND(Times!J292="M",AJ292&gt;3),3, IF(AND(Times!J292="F",AJ292&gt;2),2,AJ292))</f>
        <v>3</v>
      </c>
      <c r="AM292" s="154">
        <f>IF(Times!J292="M",6, IF(Times!J292="F",4,""))</f>
        <v>6</v>
      </c>
      <c r="AN292" s="154" t="str">
        <f t="shared" si="93"/>
        <v/>
      </c>
      <c r="AO292" s="154" t="str">
        <f t="shared" si="94"/>
        <v/>
      </c>
    </row>
    <row r="293" spans="26:41" x14ac:dyDescent="0.25">
      <c r="Z293" s="154" t="str">
        <f>CONCATENATE(AE293,Times!AD293)</f>
        <v>VFDagenham 88 Runners</v>
      </c>
      <c r="AA293" s="154" t="str">
        <f>Times!AD293</f>
        <v>FDagenham 88 Runners</v>
      </c>
      <c r="AB293" s="154" t="str">
        <f>IF(AK293="Y",CONCATENATE(AA293,COUNTIFS($AK$2:AK293,"=Y",$AA$2:AA293,AA293)),"")</f>
        <v/>
      </c>
      <c r="AC293" s="154" t="str">
        <f>Times!K293</f>
        <v>Julie Cardnell</v>
      </c>
      <c r="AD293" s="154">
        <f>Times!G293</f>
        <v>112</v>
      </c>
      <c r="AE293" s="154" t="str">
        <f>IF(Times!D293&lt;&gt;"",IF(ISERR(SEARCH("V",Times!I293,1)),IF(ISERR(SEARCH("S",Times!I293,1)),"S","S"),"V"),"")</f>
        <v>V</v>
      </c>
      <c r="AF293" s="161">
        <f>IF(Times!D293&lt;&gt;"",SUMIFS(Times!$G$2:G293,$AA$2:AA293,AA293,$AK$2:AK293,"Y"),"")</f>
        <v>217</v>
      </c>
      <c r="AG293" s="154" t="str">
        <f>IF(Times!D293&lt;&gt;"",IF(AND(Times!J293="M",AI293+AL293=AM293,AK293="Y"),AF293,""),"")</f>
        <v/>
      </c>
      <c r="AH293" s="154" t="str">
        <f>IF(Times!D293&lt;&gt;"",IF(AND(Times!J293="F",AI293+AL293=AM293,AK293="Y"),AF293,""),"")</f>
        <v/>
      </c>
      <c r="AI293" s="154">
        <f>COUNTIF(Z$2:Z293,CONCATENATE("V",AA293))</f>
        <v>9</v>
      </c>
      <c r="AJ293" s="154">
        <f>COUNTIF(Z$2:Z293,CONCATENATE("S",AA293))</f>
        <v>0</v>
      </c>
      <c r="AK293" s="154" t="str">
        <f t="shared" si="92"/>
        <v>N</v>
      </c>
      <c r="AL293" s="154">
        <f>IF(AND(Times!J293="M",AJ293&gt;3),3, IF(AND(Times!J293="F",AJ293&gt;2),2,AJ293))</f>
        <v>0</v>
      </c>
      <c r="AM293" s="154">
        <f>IF(Times!J293="M",6, IF(Times!J293="F",4,""))</f>
        <v>4</v>
      </c>
      <c r="AN293" s="154" t="str">
        <f t="shared" si="93"/>
        <v/>
      </c>
      <c r="AO293" s="154" t="str">
        <f t="shared" si="94"/>
        <v/>
      </c>
    </row>
    <row r="294" spans="26:41" x14ac:dyDescent="0.25">
      <c r="Z294" s="154" t="str">
        <f>CONCATENATE(AE294,Times!AD294)</f>
        <v>VFDagenham 88 Runners</v>
      </c>
      <c r="AA294" s="154" t="str">
        <f>Times!AD294</f>
        <v>FDagenham 88 Runners</v>
      </c>
      <c r="AB294" s="154" t="str">
        <f>IF(AK294="Y",CONCATENATE(AA294,COUNTIFS($AK$2:AK294,"=Y",$AA$2:AA294,AA294)),"")</f>
        <v/>
      </c>
      <c r="AC294" s="154" t="str">
        <f>Times!K294</f>
        <v>Veronica Waller</v>
      </c>
      <c r="AD294" s="154">
        <f>Times!G294</f>
        <v>113</v>
      </c>
      <c r="AE294" s="154" t="str">
        <f>IF(Times!D294&lt;&gt;"",IF(ISERR(SEARCH("V",Times!I294,1)),IF(ISERR(SEARCH("S",Times!I294,1)),"S","S"),"V"),"")</f>
        <v>V</v>
      </c>
      <c r="AF294" s="161">
        <f>IF(Times!D294&lt;&gt;"",SUMIFS(Times!$G$2:G294,$AA$2:AA294,AA294,$AK$2:AK294,"Y"),"")</f>
        <v>217</v>
      </c>
      <c r="AG294" s="154" t="str">
        <f>IF(Times!D294&lt;&gt;"",IF(AND(Times!J294="M",AI294+AL294=AM294,AK294="Y"),AF294,""),"")</f>
        <v/>
      </c>
      <c r="AH294" s="154" t="str">
        <f>IF(Times!D294&lt;&gt;"",IF(AND(Times!J294="F",AI294+AL294=AM294,AK294="Y"),AF294,""),"")</f>
        <v/>
      </c>
      <c r="AI294" s="154">
        <f>COUNTIF(Z$2:Z294,CONCATENATE("V",AA294))</f>
        <v>10</v>
      </c>
      <c r="AJ294" s="154">
        <f>COUNTIF(Z$2:Z294,CONCATENATE("S",AA294))</f>
        <v>0</v>
      </c>
      <c r="AK294" s="154" t="str">
        <f t="shared" si="92"/>
        <v>N</v>
      </c>
      <c r="AL294" s="154">
        <f>IF(AND(Times!J294="M",AJ294&gt;3),3, IF(AND(Times!J294="F",AJ294&gt;2),2,AJ294))</f>
        <v>0</v>
      </c>
      <c r="AM294" s="154">
        <f>IF(Times!J294="M",6, IF(Times!J294="F",4,""))</f>
        <v>4</v>
      </c>
      <c r="AN294" s="154" t="str">
        <f t="shared" si="93"/>
        <v/>
      </c>
      <c r="AO294" s="154" t="str">
        <f t="shared" si="94"/>
        <v/>
      </c>
    </row>
    <row r="295" spans="26:41" x14ac:dyDescent="0.25">
      <c r="Z295" s="154" t="str">
        <f>CONCATENATE(AE295,Times!AD295)</f>
        <v>SFEast London Runners</v>
      </c>
      <c r="AA295" s="154" t="str">
        <f>Times!AD295</f>
        <v>FEast London Runners</v>
      </c>
      <c r="AB295" s="154" t="str">
        <f>IF(AK295="Y",CONCATENATE(AA295,COUNTIFS($AK$2:AK295,"=Y",$AA$2:AA295,AA295)),"")</f>
        <v/>
      </c>
      <c r="AC295" s="154" t="str">
        <f>Times!K295</f>
        <v>Samia Choudhury</v>
      </c>
      <c r="AD295" s="154">
        <f>Times!G295</f>
        <v>114</v>
      </c>
      <c r="AE295" s="154" t="str">
        <f>IF(Times!D295&lt;&gt;"",IF(ISERR(SEARCH("V",Times!I295,1)),IF(ISERR(SEARCH("S",Times!I295,1)),"S","S"),"V"),"")</f>
        <v>S</v>
      </c>
      <c r="AF295" s="161">
        <f>IF(Times!D295&lt;&gt;"",SUMIFS(Times!$G$2:G295,$AA$2:AA295,AA295,$AK$2:AK295,"Y"),"")</f>
        <v>27</v>
      </c>
      <c r="AG295" s="154" t="str">
        <f>IF(Times!D295&lt;&gt;"",IF(AND(Times!J295="M",AI295+AL295=AM295,AK295="Y"),AF295,""),"")</f>
        <v/>
      </c>
      <c r="AH295" s="154" t="str">
        <f>IF(Times!D295&lt;&gt;"",IF(AND(Times!J295="F",AI295+AL295=AM295,AK295="Y"),AF295,""),"")</f>
        <v/>
      </c>
      <c r="AI295" s="154">
        <f>COUNTIF(Z$2:Z295,CONCATENATE("V",AA295))</f>
        <v>19</v>
      </c>
      <c r="AJ295" s="154">
        <f>COUNTIF(Z$2:Z295,CONCATENATE("S",AA295))</f>
        <v>5</v>
      </c>
      <c r="AK295" s="154" t="str">
        <f t="shared" si="92"/>
        <v>N</v>
      </c>
      <c r="AL295" s="154">
        <f>IF(AND(Times!J295="M",AJ295&gt;3),3, IF(AND(Times!J295="F",AJ295&gt;2),2,AJ295))</f>
        <v>2</v>
      </c>
      <c r="AM295" s="154">
        <f>IF(Times!J295="M",6, IF(Times!J295="F",4,""))</f>
        <v>4</v>
      </c>
      <c r="AN295" s="154" t="str">
        <f t="shared" si="93"/>
        <v/>
      </c>
      <c r="AO295" s="154" t="str">
        <f t="shared" si="94"/>
        <v/>
      </c>
    </row>
    <row r="296" spans="26:41" x14ac:dyDescent="0.25">
      <c r="Z296" s="154" t="str">
        <f>CONCATENATE(AE296,Times!AD296)</f>
        <v>VFEton Manor AC</v>
      </c>
      <c r="AA296" s="154" t="str">
        <f>Times!AD296</f>
        <v>FEton Manor AC</v>
      </c>
      <c r="AB296" s="154" t="str">
        <f>IF(AK296="Y",CONCATENATE(AA296,COUNTIFS($AK$2:AK296,"=Y",$AA$2:AA296,AA296)),"")</f>
        <v/>
      </c>
      <c r="AC296" s="154" t="str">
        <f>Times!K296</f>
        <v>Ali Sheppard</v>
      </c>
      <c r="AD296" s="154">
        <f>Times!G296</f>
        <v>115</v>
      </c>
      <c r="AE296" s="154" t="str">
        <f>IF(Times!D296&lt;&gt;"",IF(ISERR(SEARCH("V",Times!I296,1)),IF(ISERR(SEARCH("S",Times!I296,1)),"S","S"),"V"),"")</f>
        <v>V</v>
      </c>
      <c r="AF296" s="161">
        <f>IF(Times!D296&lt;&gt;"",SUMIFS(Times!$G$2:G296,$AA$2:AA296,AA296,$AK$2:AK296,"Y"),"")</f>
        <v>60</v>
      </c>
      <c r="AG296" s="154" t="str">
        <f>IF(Times!D296&lt;&gt;"",IF(AND(Times!J296="M",AI296+AL296=AM296,AK296="Y"),AF296,""),"")</f>
        <v/>
      </c>
      <c r="AH296" s="154" t="str">
        <f>IF(Times!D296&lt;&gt;"",IF(AND(Times!J296="F",AI296+AL296=AM296,AK296="Y"),AF296,""),"")</f>
        <v/>
      </c>
      <c r="AI296" s="154">
        <f>COUNTIF(Z$2:Z296,CONCATENATE("V",AA296))</f>
        <v>15</v>
      </c>
      <c r="AJ296" s="154">
        <f>COUNTIF(Z$2:Z296,CONCATENATE("S",AA296))</f>
        <v>0</v>
      </c>
      <c r="AK296" s="154" t="str">
        <f t="shared" si="92"/>
        <v>N</v>
      </c>
      <c r="AL296" s="154">
        <f>IF(AND(Times!J296="M",AJ296&gt;3),3, IF(AND(Times!J296="F",AJ296&gt;2),2,AJ296))</f>
        <v>0</v>
      </c>
      <c r="AM296" s="154">
        <f>IF(Times!J296="M",6, IF(Times!J296="F",4,""))</f>
        <v>4</v>
      </c>
      <c r="AN296" s="154" t="str">
        <f t="shared" si="93"/>
        <v/>
      </c>
      <c r="AO296" s="154" t="str">
        <f t="shared" si="94"/>
        <v/>
      </c>
    </row>
    <row r="297" spans="26:41" x14ac:dyDescent="0.25">
      <c r="Z297" s="154" t="str">
        <f>CONCATENATE(AE297,Times!AD297)</f>
        <v>VFEast End Road Runners</v>
      </c>
      <c r="AA297" s="154" t="str">
        <f>Times!AD297</f>
        <v>FEast End Road Runners</v>
      </c>
      <c r="AB297" s="154" t="str">
        <f>IF(AK297="Y",CONCATENATE(AA297,COUNTIFS($AK$2:AK297,"=Y",$AA$2:AA297,AA297)),"")</f>
        <v/>
      </c>
      <c r="AC297" s="154" t="str">
        <f>Times!K297</f>
        <v>Nuray Shoukri</v>
      </c>
      <c r="AD297" s="154">
        <f>Times!G297</f>
        <v>116</v>
      </c>
      <c r="AE297" s="154" t="str">
        <f>IF(Times!D297&lt;&gt;"",IF(ISERR(SEARCH("V",Times!I297,1)),IF(ISERR(SEARCH("S",Times!I297,1)),"S","S"),"V"),"")</f>
        <v>V</v>
      </c>
      <c r="AF297" s="161">
        <f>IF(Times!D297&lt;&gt;"",SUMIFS(Times!$G$2:G297,$AA$2:AA297,AA297,$AK$2:AK297,"Y"),"")</f>
        <v>145</v>
      </c>
      <c r="AG297" s="154" t="str">
        <f>IF(Times!D297&lt;&gt;"",IF(AND(Times!J297="M",AI297+AL297=AM297,AK297="Y"),AF297,""),"")</f>
        <v/>
      </c>
      <c r="AH297" s="154" t="str">
        <f>IF(Times!D297&lt;&gt;"",IF(AND(Times!J297="F",AI297+AL297=AM297,AK297="Y"),AF297,""),"")</f>
        <v/>
      </c>
      <c r="AI297" s="154">
        <f>COUNTIF(Z$2:Z297,CONCATENATE("V",AA297))</f>
        <v>8</v>
      </c>
      <c r="AJ297" s="154">
        <f>COUNTIF(Z$2:Z297,CONCATENATE("S",AA297))</f>
        <v>4</v>
      </c>
      <c r="AK297" s="154" t="str">
        <f t="shared" si="92"/>
        <v>N</v>
      </c>
      <c r="AL297" s="154">
        <f>IF(AND(Times!J297="M",AJ297&gt;3),3, IF(AND(Times!J297="F",AJ297&gt;2),2,AJ297))</f>
        <v>2</v>
      </c>
      <c r="AM297" s="154">
        <f>IF(Times!J297="M",6, IF(Times!J297="F",4,""))</f>
        <v>4</v>
      </c>
      <c r="AN297" s="154" t="str">
        <f t="shared" si="93"/>
        <v/>
      </c>
      <c r="AO297" s="154" t="str">
        <f t="shared" si="94"/>
        <v/>
      </c>
    </row>
    <row r="298" spans="26:41" x14ac:dyDescent="0.25">
      <c r="Z298" s="154" t="str">
        <f>CONCATENATE(AE298,Times!AD298)</f>
        <v>VFHarold Wood Running Club</v>
      </c>
      <c r="AA298" s="154" t="str">
        <f>Times!AD298</f>
        <v>FHarold Wood Running Club</v>
      </c>
      <c r="AB298" s="154" t="str">
        <f>IF(AK298="Y",CONCATENATE(AA298,COUNTIFS($AK$2:AK298,"=Y",$AA$2:AA298,AA298)),"")</f>
        <v/>
      </c>
      <c r="AC298" s="154" t="str">
        <f>Times!K298</f>
        <v>Donna Ball</v>
      </c>
      <c r="AD298" s="154">
        <f>Times!G298</f>
        <v>117</v>
      </c>
      <c r="AE298" s="154" t="str">
        <f>IF(Times!D298&lt;&gt;"",IF(ISERR(SEARCH("V",Times!I298,1)),IF(ISERR(SEARCH("S",Times!I298,1)),"S","S"),"V"),"")</f>
        <v>V</v>
      </c>
      <c r="AF298" s="161">
        <f>IF(Times!D298&lt;&gt;"",SUMIFS(Times!$G$2:G298,$AA$2:AA298,AA298,$AK$2:AK298,"Y"),"")</f>
        <v>97</v>
      </c>
      <c r="AG298" s="154" t="str">
        <f>IF(Times!D298&lt;&gt;"",IF(AND(Times!J298="M",AI298+AL298=AM298,AK298="Y"),AF298,""),"")</f>
        <v/>
      </c>
      <c r="AH298" s="154" t="str">
        <f>IF(Times!D298&lt;&gt;"",IF(AND(Times!J298="F",AI298+AL298=AM298,AK298="Y"),AF298,""),"")</f>
        <v/>
      </c>
      <c r="AI298" s="154">
        <f>COUNTIF(Z$2:Z298,CONCATENATE("V",AA298))</f>
        <v>7</v>
      </c>
      <c r="AJ298" s="154">
        <f>COUNTIF(Z$2:Z298,CONCATENATE("S",AA298))</f>
        <v>4</v>
      </c>
      <c r="AK298" s="154" t="str">
        <f t="shared" si="92"/>
        <v>N</v>
      </c>
      <c r="AL298" s="154">
        <f>IF(AND(Times!J298="M",AJ298&gt;3),3, IF(AND(Times!J298="F",AJ298&gt;2),2,AJ298))</f>
        <v>2</v>
      </c>
      <c r="AM298" s="154">
        <f>IF(Times!J298="M",6, IF(Times!J298="F",4,""))</f>
        <v>4</v>
      </c>
      <c r="AN298" s="154" t="str">
        <f t="shared" si="93"/>
        <v/>
      </c>
      <c r="AO298" s="154" t="str">
        <f t="shared" si="94"/>
        <v/>
      </c>
    </row>
    <row r="299" spans="26:41" x14ac:dyDescent="0.25">
      <c r="Z299" s="154" t="str">
        <f>CONCATENATE(AE299,Times!AD299)</f>
        <v>SFEast London Runners</v>
      </c>
      <c r="AA299" s="154" t="str">
        <f>Times!AD299</f>
        <v>FEast London Runners</v>
      </c>
      <c r="AB299" s="154" t="str">
        <f>IF(AK299="Y",CONCATENATE(AA299,COUNTIFS($AK$2:AK299,"=Y",$AA$2:AA299,AA299)),"")</f>
        <v/>
      </c>
      <c r="AC299" s="154" t="str">
        <f>Times!K299</f>
        <v>Brooke Stephenson</v>
      </c>
      <c r="AD299" s="154">
        <f>Times!G299</f>
        <v>118</v>
      </c>
      <c r="AE299" s="154" t="str">
        <f>IF(Times!D299&lt;&gt;"",IF(ISERR(SEARCH("V",Times!I299,1)),IF(ISERR(SEARCH("S",Times!I299,1)),"S","S"),"V"),"")</f>
        <v>S</v>
      </c>
      <c r="AF299" s="161">
        <f>IF(Times!D299&lt;&gt;"",SUMIFS(Times!$G$2:G299,$AA$2:AA299,AA299,$AK$2:AK299,"Y"),"")</f>
        <v>27</v>
      </c>
      <c r="AG299" s="154" t="str">
        <f>IF(Times!D299&lt;&gt;"",IF(AND(Times!J299="M",AI299+AL299=AM299,AK299="Y"),AF299,""),"")</f>
        <v/>
      </c>
      <c r="AH299" s="154" t="str">
        <f>IF(Times!D299&lt;&gt;"",IF(AND(Times!J299="F",AI299+AL299=AM299,AK299="Y"),AF299,""),"")</f>
        <v/>
      </c>
      <c r="AI299" s="154">
        <f>COUNTIF(Z$2:Z299,CONCATENATE("V",AA299))</f>
        <v>19</v>
      </c>
      <c r="AJ299" s="154">
        <f>COUNTIF(Z$2:Z299,CONCATENATE("S",AA299))</f>
        <v>6</v>
      </c>
      <c r="AK299" s="154" t="str">
        <f t="shared" si="92"/>
        <v>N</v>
      </c>
      <c r="AL299" s="154">
        <f>IF(AND(Times!J299="M",AJ299&gt;3),3, IF(AND(Times!J299="F",AJ299&gt;2),2,AJ299))</f>
        <v>2</v>
      </c>
      <c r="AM299" s="154">
        <f>IF(Times!J299="M",6, IF(Times!J299="F",4,""))</f>
        <v>4</v>
      </c>
      <c r="AN299" s="154" t="str">
        <f t="shared" si="93"/>
        <v/>
      </c>
      <c r="AO299" s="154" t="str">
        <f t="shared" si="94"/>
        <v/>
      </c>
    </row>
    <row r="300" spans="26:41" x14ac:dyDescent="0.25">
      <c r="Z300" s="154" t="str">
        <f>CONCATENATE(AE300,Times!AD300)</f>
        <v>VMDagenham 88 Runners</v>
      </c>
      <c r="AA300" s="154" t="str">
        <f>Times!AD300</f>
        <v>MDagenham 88 Runners</v>
      </c>
      <c r="AB300" s="154" t="str">
        <f>IF(AK300="Y",CONCATENATE(AA300,COUNTIFS($AK$2:AK300,"=Y",$AA$2:AA300,AA300)),"")</f>
        <v/>
      </c>
      <c r="AC300" s="154" t="str">
        <f>Times!K300</f>
        <v>Sam Veerasamy</v>
      </c>
      <c r="AD300" s="154">
        <f>Times!G300</f>
        <v>181</v>
      </c>
      <c r="AE300" s="154" t="str">
        <f>IF(Times!D300&lt;&gt;"",IF(ISERR(SEARCH("V",Times!I300,1)),IF(ISERR(SEARCH("S",Times!I300,1)),"S","S"),"V"),"")</f>
        <v>V</v>
      </c>
      <c r="AF300" s="161">
        <f>IF(Times!D300&lt;&gt;"",SUMIFS(Times!$G$2:G300,$AA$2:AA300,AA300,$AK$2:AK300,"Y"),"")</f>
        <v>529</v>
      </c>
      <c r="AG300" s="154" t="str">
        <f>IF(Times!D300&lt;&gt;"",IF(AND(Times!J300="M",AI300+AL300=AM300,AK300="Y"),AF300,""),"")</f>
        <v/>
      </c>
      <c r="AH300" s="154" t="str">
        <f>IF(Times!D300&lt;&gt;"",IF(AND(Times!J300="F",AI300+AL300=AM300,AK300="Y"),AF300,""),"")</f>
        <v/>
      </c>
      <c r="AI300" s="154">
        <f>COUNTIF(Z$2:Z300,CONCATENATE("V",AA300))</f>
        <v>11</v>
      </c>
      <c r="AJ300" s="154">
        <f>COUNTIF(Z$2:Z300,CONCATENATE("S",AA300))</f>
        <v>4</v>
      </c>
      <c r="AK300" s="154" t="str">
        <f t="shared" si="92"/>
        <v>N</v>
      </c>
      <c r="AL300" s="154">
        <f>IF(AND(Times!J300="M",AJ300&gt;3),3, IF(AND(Times!J300="F",AJ300&gt;2),2,AJ300))</f>
        <v>3</v>
      </c>
      <c r="AM300" s="154">
        <f>IF(Times!J300="M",6, IF(Times!J300="F",4,""))</f>
        <v>6</v>
      </c>
      <c r="AN300" s="154" t="str">
        <f t="shared" si="93"/>
        <v/>
      </c>
      <c r="AO300" s="154" t="str">
        <f t="shared" si="94"/>
        <v/>
      </c>
    </row>
    <row r="301" spans="26:41" x14ac:dyDescent="0.25">
      <c r="Z301" s="154" t="str">
        <f>CONCATENATE(AE301,Times!AD301)</f>
        <v>VMHavering 90 Joggers</v>
      </c>
      <c r="AA301" s="154" t="str">
        <f>Times!AD301</f>
        <v>MHavering 90 Joggers</v>
      </c>
      <c r="AB301" s="154" t="str">
        <f>IF(AK301="Y",CONCATENATE(AA301,COUNTIFS($AK$2:AK301,"=Y",$AA$2:AA301,AA301)),"")</f>
        <v/>
      </c>
      <c r="AC301" s="154" t="str">
        <f>Times!K301</f>
        <v>Les Adler</v>
      </c>
      <c r="AD301" s="154">
        <f>Times!G301</f>
        <v>182</v>
      </c>
      <c r="AE301" s="154" t="str">
        <f>IF(Times!D301&lt;&gt;"",IF(ISERR(SEARCH("V",Times!I301,1)),IF(ISERR(SEARCH("S",Times!I301,1)),"S","S"),"V"),"")</f>
        <v>V</v>
      </c>
      <c r="AF301" s="161">
        <f>IF(Times!D301&lt;&gt;"",SUMIFS(Times!$G$2:G301,$AA$2:AA301,AA301,$AK$2:AK301,"Y"),"")</f>
        <v>506</v>
      </c>
      <c r="AG301" s="154" t="str">
        <f>IF(Times!D301&lt;&gt;"",IF(AND(Times!J301="M",AI301+AL301=AM301,AK301="Y"),AF301,""),"")</f>
        <v/>
      </c>
      <c r="AH301" s="154" t="str">
        <f>IF(Times!D301&lt;&gt;"",IF(AND(Times!J301="F",AI301+AL301=AM301,AK301="Y"),AF301,""),"")</f>
        <v/>
      </c>
      <c r="AI301" s="154">
        <f>COUNTIF(Z$2:Z301,CONCATENATE("V",AA301))</f>
        <v>14</v>
      </c>
      <c r="AJ301" s="154">
        <f>COUNTIF(Z$2:Z301,CONCATENATE("S",AA301))</f>
        <v>2</v>
      </c>
      <c r="AK301" s="154" t="str">
        <f t="shared" si="92"/>
        <v>N</v>
      </c>
      <c r="AL301" s="154">
        <f>IF(AND(Times!J301="M",AJ301&gt;3),3, IF(AND(Times!J301="F",AJ301&gt;2),2,AJ301))</f>
        <v>2</v>
      </c>
      <c r="AM301" s="154">
        <f>IF(Times!J301="M",6, IF(Times!J301="F",4,""))</f>
        <v>6</v>
      </c>
      <c r="AN301" s="154" t="str">
        <f t="shared" si="93"/>
        <v/>
      </c>
      <c r="AO301" s="154" t="str">
        <f t="shared" si="94"/>
        <v/>
      </c>
    </row>
    <row r="302" spans="26:41" x14ac:dyDescent="0.25">
      <c r="Z302" s="154" t="str">
        <f>CONCATENATE(AE302,Times!AD302)</f>
        <v>VFEast End Road Runners</v>
      </c>
      <c r="AA302" s="154" t="str">
        <f>Times!AD302</f>
        <v>FEast End Road Runners</v>
      </c>
      <c r="AB302" s="154" t="str">
        <f>IF(AK302="Y",CONCATENATE(AA302,COUNTIFS($AK$2:AK302,"=Y",$AA$2:AA302,AA302)),"")</f>
        <v/>
      </c>
      <c r="AC302" s="154" t="str">
        <f>Times!K302</f>
        <v>Esther Shifra</v>
      </c>
      <c r="AD302" s="154">
        <f>Times!G302</f>
        <v>119</v>
      </c>
      <c r="AE302" s="154" t="str">
        <f>IF(Times!D302&lt;&gt;"",IF(ISERR(SEARCH("V",Times!I302,1)),IF(ISERR(SEARCH("S",Times!I302,1)),"S","S"),"V"),"")</f>
        <v>V</v>
      </c>
      <c r="AF302" s="161">
        <f>IF(Times!D302&lt;&gt;"",SUMIFS(Times!$G$2:G302,$AA$2:AA302,AA302,$AK$2:AK302,"Y"),"")</f>
        <v>145</v>
      </c>
      <c r="AG302" s="154" t="str">
        <f>IF(Times!D302&lt;&gt;"",IF(AND(Times!J302="M",AI302+AL302=AM302,AK302="Y"),AF302,""),"")</f>
        <v/>
      </c>
      <c r="AH302" s="154" t="str">
        <f>IF(Times!D302&lt;&gt;"",IF(AND(Times!J302="F",AI302+AL302=AM302,AK302="Y"),AF302,""),"")</f>
        <v/>
      </c>
      <c r="AI302" s="154">
        <f>COUNTIF(Z$2:Z302,CONCATENATE("V",AA302))</f>
        <v>9</v>
      </c>
      <c r="AJ302" s="154">
        <f>COUNTIF(Z$2:Z302,CONCATENATE("S",AA302))</f>
        <v>4</v>
      </c>
      <c r="AK302" s="154" t="str">
        <f t="shared" si="92"/>
        <v>N</v>
      </c>
      <c r="AL302" s="154">
        <f>IF(AND(Times!J302="M",AJ302&gt;3),3, IF(AND(Times!J302="F",AJ302&gt;2),2,AJ302))</f>
        <v>2</v>
      </c>
      <c r="AM302" s="154">
        <f>IF(Times!J302="M",6, IF(Times!J302="F",4,""))</f>
        <v>4</v>
      </c>
      <c r="AN302" s="154" t="str">
        <f t="shared" si="93"/>
        <v/>
      </c>
      <c r="AO302" s="154" t="str">
        <f t="shared" si="94"/>
        <v/>
      </c>
    </row>
    <row r="303" spans="26:41" x14ac:dyDescent="0.25">
      <c r="Z303" s="154" t="str">
        <f>CONCATENATE(AE303,Times!AD303)</f>
        <v>VFEast End Road Runners</v>
      </c>
      <c r="AA303" s="154" t="str">
        <f>Times!AD303</f>
        <v>FEast End Road Runners</v>
      </c>
      <c r="AB303" s="154" t="str">
        <f>IF(AK303="Y",CONCATENATE(AA303,COUNTIFS($AK$2:AK303,"=Y",$AA$2:AA303,AA303)),"")</f>
        <v/>
      </c>
      <c r="AC303" s="154" t="str">
        <f>Times!K303</f>
        <v>Bisi Imafidon</v>
      </c>
      <c r="AD303" s="154">
        <f>Times!G303</f>
        <v>120</v>
      </c>
      <c r="AE303" s="154" t="str">
        <f>IF(Times!D303&lt;&gt;"",IF(ISERR(SEARCH("V",Times!I303,1)),IF(ISERR(SEARCH("S",Times!I303,1)),"S","S"),"V"),"")</f>
        <v>V</v>
      </c>
      <c r="AF303" s="161">
        <f>IF(Times!D303&lt;&gt;"",SUMIFS(Times!$G$2:G303,$AA$2:AA303,AA303,$AK$2:AK303,"Y"),"")</f>
        <v>145</v>
      </c>
      <c r="AG303" s="154" t="str">
        <f>IF(Times!D303&lt;&gt;"",IF(AND(Times!J303="M",AI303+AL303=AM303,AK303="Y"),AF303,""),"")</f>
        <v/>
      </c>
      <c r="AH303" s="154" t="str">
        <f>IF(Times!D303&lt;&gt;"",IF(AND(Times!J303="F",AI303+AL303=AM303,AK303="Y"),AF303,""),"")</f>
        <v/>
      </c>
      <c r="AI303" s="154">
        <f>COUNTIF(Z$2:Z303,CONCATENATE("V",AA303))</f>
        <v>10</v>
      </c>
      <c r="AJ303" s="154">
        <f>COUNTIF(Z$2:Z303,CONCATENATE("S",AA303))</f>
        <v>4</v>
      </c>
      <c r="AK303" s="154" t="str">
        <f t="shared" si="92"/>
        <v>N</v>
      </c>
      <c r="AL303" s="154">
        <f>IF(AND(Times!J303="M",AJ303&gt;3),3, IF(AND(Times!J303="F",AJ303&gt;2),2,AJ303))</f>
        <v>2</v>
      </c>
      <c r="AM303" s="154">
        <f>IF(Times!J303="M",6, IF(Times!J303="F",4,""))</f>
        <v>4</v>
      </c>
      <c r="AN303" s="154" t="str">
        <f t="shared" si="93"/>
        <v/>
      </c>
      <c r="AO303" s="154" t="str">
        <f t="shared" si="94"/>
        <v/>
      </c>
    </row>
    <row r="304" spans="26:41" x14ac:dyDescent="0.25">
      <c r="Z304" s="154" t="str">
        <f>CONCATENATE(AE304,Times!AD304)</f>
        <v>VMUnattached</v>
      </c>
      <c r="AA304" s="154" t="str">
        <f>Times!AD304</f>
        <v>MUnattached</v>
      </c>
      <c r="AB304" s="154" t="str">
        <f>IF(AK304="Y",CONCATENATE(AA304,COUNTIFS($AK$2:AK304,"=Y",$AA$2:AA304,AA304)),"")</f>
        <v>MUnattached6</v>
      </c>
      <c r="AC304" s="154" t="str">
        <f>Times!K304</f>
        <v>Irving Bell</v>
      </c>
      <c r="AD304" s="154">
        <f>Times!G304</f>
        <v>183</v>
      </c>
      <c r="AE304" s="154" t="str">
        <f>IF(Times!D304&lt;&gt;"",IF(ISERR(SEARCH("V",Times!I304,1)),IF(ISERR(SEARCH("S",Times!I304,1)),"S","S"),"V"),"")</f>
        <v>V</v>
      </c>
      <c r="AF304" s="161">
        <f>IF(Times!D304&lt;&gt;"",SUMIFS(Times!$G$2:G304,$AA$2:AA304,AA304,$AK$2:AK304,"Y"),"")</f>
        <v>703</v>
      </c>
      <c r="AG304" s="154">
        <f>IF(Times!D304&lt;&gt;"",IF(AND(Times!J304="M",AI304+AL304=AM304,AK304="Y"),AF304,""),"")</f>
        <v>703</v>
      </c>
      <c r="AH304" s="154" t="str">
        <f>IF(Times!D304&lt;&gt;"",IF(AND(Times!J304="F",AI304+AL304=AM304,AK304="Y"),AF304,""),"")</f>
        <v/>
      </c>
      <c r="AI304" s="154">
        <f>COUNTIF(Z$2:Z304,CONCATENATE("V",AA304))</f>
        <v>4</v>
      </c>
      <c r="AJ304" s="154">
        <f>COUNTIF(Z$2:Z304,CONCATENATE("S",AA304))</f>
        <v>2</v>
      </c>
      <c r="AK304" s="154" t="str">
        <f t="shared" si="92"/>
        <v>Y</v>
      </c>
      <c r="AL304" s="154">
        <f>IF(AND(Times!J304="M",AJ304&gt;3),3, IF(AND(Times!J304="F",AJ304&gt;2),2,AJ304))</f>
        <v>2</v>
      </c>
      <c r="AM304" s="154">
        <f>IF(Times!J304="M",6, IF(Times!J304="F",4,""))</f>
        <v>6</v>
      </c>
      <c r="AN304" s="154">
        <f t="shared" si="93"/>
        <v>10</v>
      </c>
      <c r="AO304" s="154" t="str">
        <f t="shared" si="94"/>
        <v/>
      </c>
    </row>
    <row r="305" spans="26:41" x14ac:dyDescent="0.25">
      <c r="Z305" s="154" t="str">
        <f>CONCATENATE(AE305,Times!AD305)</f>
        <v>VMUnattached</v>
      </c>
      <c r="AA305" s="154" t="str">
        <f>Times!AD305</f>
        <v>MUnattached</v>
      </c>
      <c r="AB305" s="154" t="str">
        <f>IF(AK305="Y",CONCATENATE(AA305,COUNTIFS($AK$2:AK305,"=Y",$AA$2:AA305,AA305)),"")</f>
        <v/>
      </c>
      <c r="AC305" s="154" t="str">
        <f>Times!K305</f>
        <v>ALAN COSTAR</v>
      </c>
      <c r="AD305" s="154">
        <f>Times!G305</f>
        <v>184</v>
      </c>
      <c r="AE305" s="154" t="str">
        <f>IF(Times!D305&lt;&gt;"",IF(ISERR(SEARCH("V",Times!I305,1)),IF(ISERR(SEARCH("S",Times!I305,1)),"S","S"),"V"),"")</f>
        <v>V</v>
      </c>
      <c r="AF305" s="161">
        <f>IF(Times!D305&lt;&gt;"",SUMIFS(Times!$G$2:G305,$AA$2:AA305,AA305,$AK$2:AK305,"Y"),"")</f>
        <v>703</v>
      </c>
      <c r="AG305" s="154" t="str">
        <f>IF(Times!D305&lt;&gt;"",IF(AND(Times!J305="M",AI305+AL305=AM305,AK305="Y"),AF305,""),"")</f>
        <v/>
      </c>
      <c r="AH305" s="154" t="str">
        <f>IF(Times!D305&lt;&gt;"",IF(AND(Times!J305="F",AI305+AL305=AM305,AK305="Y"),AF305,""),"")</f>
        <v/>
      </c>
      <c r="AI305" s="154">
        <f>COUNTIF(Z$2:Z305,CONCATENATE("V",AA305))</f>
        <v>5</v>
      </c>
      <c r="AJ305" s="154">
        <f>COUNTIF(Z$2:Z305,CONCATENATE("S",AA305))</f>
        <v>2</v>
      </c>
      <c r="AK305" s="154" t="str">
        <f t="shared" si="92"/>
        <v>N</v>
      </c>
      <c r="AL305" s="154">
        <f>IF(AND(Times!J305="M",AJ305&gt;3),3, IF(AND(Times!J305="F",AJ305&gt;2),2,AJ305))</f>
        <v>2</v>
      </c>
      <c r="AM305" s="154">
        <f>IF(Times!J305="M",6, IF(Times!J305="F",4,""))</f>
        <v>6</v>
      </c>
      <c r="AN305" s="154" t="str">
        <f t="shared" si="93"/>
        <v/>
      </c>
      <c r="AO305" s="154" t="str">
        <f t="shared" si="94"/>
        <v/>
      </c>
    </row>
    <row r="306" spans="26:41" x14ac:dyDescent="0.25">
      <c r="Z306" s="154" t="str">
        <f>CONCATENATE(AE306,Times!AD306)</f>
        <v>VFBarking Road Runners</v>
      </c>
      <c r="AA306" s="154" t="str">
        <f>Times!AD306</f>
        <v>FBarking Road Runners</v>
      </c>
      <c r="AB306" s="154" t="str">
        <f>IF(AK306="Y",CONCATENATE(AA306,COUNTIFS($AK$2:AK306,"=Y",$AA$2:AA306,AA306)),"")</f>
        <v/>
      </c>
      <c r="AC306" s="154" t="str">
        <f>Times!K306</f>
        <v>Natalie Traylen</v>
      </c>
      <c r="AD306" s="154">
        <f>Times!G306</f>
        <v>121</v>
      </c>
      <c r="AE306" s="154" t="str">
        <f>IF(Times!D306&lt;&gt;"",IF(ISERR(SEARCH("V",Times!I306,1)),IF(ISERR(SEARCH("S",Times!I306,1)),"S","S"),"V"),"")</f>
        <v>V</v>
      </c>
      <c r="AF306" s="161">
        <f>IF(Times!D306&lt;&gt;"",SUMIFS(Times!$G$2:G306,$AA$2:AA306,AA306,$AK$2:AK306,"Y"),"")</f>
        <v>122</v>
      </c>
      <c r="AG306" s="154" t="str">
        <f>IF(Times!D306&lt;&gt;"",IF(AND(Times!J306="M",AI306+AL306=AM306,AK306="Y"),AF306,""),"")</f>
        <v/>
      </c>
      <c r="AH306" s="154" t="str">
        <f>IF(Times!D306&lt;&gt;"",IF(AND(Times!J306="F",AI306+AL306=AM306,AK306="Y"),AF306,""),"")</f>
        <v/>
      </c>
      <c r="AI306" s="154">
        <f>COUNTIF(Z$2:Z306,CONCATENATE("V",AA306))</f>
        <v>5</v>
      </c>
      <c r="AJ306" s="154">
        <f>COUNTIF(Z$2:Z306,CONCATENATE("S",AA306))</f>
        <v>1</v>
      </c>
      <c r="AK306" s="154" t="str">
        <f t="shared" si="92"/>
        <v>N</v>
      </c>
      <c r="AL306" s="154">
        <f>IF(AND(Times!J306="M",AJ306&gt;3),3, IF(AND(Times!J306="F",AJ306&gt;2),2,AJ306))</f>
        <v>1</v>
      </c>
      <c r="AM306" s="154">
        <f>IF(Times!J306="M",6, IF(Times!J306="F",4,""))</f>
        <v>4</v>
      </c>
      <c r="AN306" s="154" t="str">
        <f t="shared" si="93"/>
        <v/>
      </c>
      <c r="AO306" s="154" t="str">
        <f t="shared" si="94"/>
        <v/>
      </c>
    </row>
    <row r="307" spans="26:41" x14ac:dyDescent="0.25">
      <c r="Z307" s="154" t="str">
        <f>CONCATENATE(AE307,Times!AD307)</f>
        <v/>
      </c>
      <c r="AA307" s="154" t="str">
        <f>Times!AD307</f>
        <v/>
      </c>
      <c r="AB307" s="154" t="e">
        <f>IF(AK307="Y",CONCATENATE(AA307,COUNTIFS($AK$2:AK307,"=Y",$AA$2:AA307,AA307)),"")</f>
        <v>#VALUE!</v>
      </c>
      <c r="AC307" s="154" t="str">
        <f>Times!K307</f>
        <v/>
      </c>
      <c r="AD307" s="154">
        <f>Times!G307</f>
        <v>1</v>
      </c>
      <c r="AE307" s="154" t="str">
        <f>IF(Times!D307&lt;&gt;"",IF(ISERR(SEARCH("V",Times!I307,1)),IF(ISERR(SEARCH("S",Times!I307,1)),"S","S"),"V"),"")</f>
        <v/>
      </c>
      <c r="AF307" s="161" t="str">
        <f>IF(Times!D307&lt;&gt;"",SUMIFS(Times!$G$2:G307,$AA$2:AA307,AA307,$AK$2:AK307,"Y"),"")</f>
        <v/>
      </c>
      <c r="AG307" s="154" t="str">
        <f>IF(Times!D307&lt;&gt;"",IF(AND(Times!J307="M",AI307+AL307=AM307,AK307="Y"),AF307,""),"")</f>
        <v/>
      </c>
      <c r="AH307" s="154" t="str">
        <f>IF(Times!D307&lt;&gt;"",IF(AND(Times!J307="F",AI307+AL307=AM307,AK307="Y"),AF307,""),"")</f>
        <v/>
      </c>
      <c r="AI307" s="154">
        <f>COUNTIF(Z$2:Z307,CONCATENATE("V",AA307))</f>
        <v>0</v>
      </c>
      <c r="AJ307" s="154">
        <f>COUNTIF(Z$2:Z307,CONCATENATE("S",AA307))</f>
        <v>0</v>
      </c>
      <c r="AK307" s="154" t="e">
        <f t="shared" si="92"/>
        <v>#VALUE!</v>
      </c>
      <c r="AL307" s="154">
        <f>IF(AND(Times!J307="M",AJ307&gt;3),3, IF(AND(Times!J307="F",AJ307&gt;2),2,AJ307))</f>
        <v>0</v>
      </c>
      <c r="AM307" s="154" t="str">
        <f>IF(Times!J307="M",6, IF(Times!J307="F",4,""))</f>
        <v/>
      </c>
      <c r="AN307" s="154" t="str">
        <f t="shared" si="93"/>
        <v/>
      </c>
      <c r="AO307" s="154" t="str">
        <f t="shared" si="94"/>
        <v/>
      </c>
    </row>
    <row r="308" spans="26:41" x14ac:dyDescent="0.25">
      <c r="Z308" s="154" t="str">
        <f>CONCATENATE(AE308,Times!AD308)</f>
        <v/>
      </c>
      <c r="AA308" s="154" t="str">
        <f>Times!AD308</f>
        <v/>
      </c>
      <c r="AB308" s="154" t="e">
        <f>IF(AK308="Y",CONCATENATE(AA308,COUNTIFS($AK$2:AK308,"=Y",$AA$2:AA308,AA308)),"")</f>
        <v>#VALUE!</v>
      </c>
      <c r="AC308" s="154" t="str">
        <f>Times!K308</f>
        <v/>
      </c>
      <c r="AD308" s="154">
        <f>Times!G308</f>
        <v>2</v>
      </c>
      <c r="AE308" s="154" t="str">
        <f>IF(Times!D308&lt;&gt;"",IF(ISERR(SEARCH("V",Times!I308,1)),IF(ISERR(SEARCH("S",Times!I308,1)),"S","S"),"V"),"")</f>
        <v/>
      </c>
      <c r="AF308" s="161" t="str">
        <f>IF(Times!D308&lt;&gt;"",SUMIFS(Times!$G$2:G308,$AA$2:AA308,AA308,$AK$2:AK308,"Y"),"")</f>
        <v/>
      </c>
      <c r="AG308" s="154" t="str">
        <f>IF(Times!D308&lt;&gt;"",IF(AND(Times!J308="M",AI308+AL308=AM308,AK308="Y"),AF308,""),"")</f>
        <v/>
      </c>
      <c r="AH308" s="154" t="str">
        <f>IF(Times!D308&lt;&gt;"",IF(AND(Times!J308="F",AI308+AL308=AM308,AK308="Y"),AF308,""),"")</f>
        <v/>
      </c>
      <c r="AI308" s="154">
        <f>COUNTIF(Z$2:Z308,CONCATENATE("V",AA308))</f>
        <v>0</v>
      </c>
      <c r="AJ308" s="154">
        <f>COUNTIF(Z$2:Z308,CONCATENATE("S",AA308))</f>
        <v>0</v>
      </c>
      <c r="AK308" s="154" t="e">
        <f t="shared" si="92"/>
        <v>#VALUE!</v>
      </c>
      <c r="AL308" s="154">
        <f>IF(AND(Times!J308="M",AJ308&gt;3),3, IF(AND(Times!J308="F",AJ308&gt;2),2,AJ308))</f>
        <v>0</v>
      </c>
      <c r="AM308" s="154" t="str">
        <f>IF(Times!J308="M",6, IF(Times!J308="F",4,""))</f>
        <v/>
      </c>
      <c r="AN308" s="154" t="str">
        <f t="shared" si="93"/>
        <v/>
      </c>
      <c r="AO308" s="154" t="str">
        <f t="shared" si="94"/>
        <v/>
      </c>
    </row>
    <row r="309" spans="26:41" x14ac:dyDescent="0.25">
      <c r="Z309" s="154" t="str">
        <f>CONCATENATE(AE309,Times!AD309)</f>
        <v/>
      </c>
      <c r="AA309" s="154" t="str">
        <f>Times!AD309</f>
        <v/>
      </c>
      <c r="AB309" s="154" t="e">
        <f>IF(AK309="Y",CONCATENATE(AA309,COUNTIFS($AK$2:AK309,"=Y",$AA$2:AA309,AA309)),"")</f>
        <v>#VALUE!</v>
      </c>
      <c r="AC309" s="154" t="str">
        <f>Times!K309</f>
        <v/>
      </c>
      <c r="AD309" s="154">
        <f>Times!G309</f>
        <v>3</v>
      </c>
      <c r="AE309" s="154" t="str">
        <f>IF(Times!D309&lt;&gt;"",IF(ISERR(SEARCH("V",Times!I309,1)),IF(ISERR(SEARCH("S",Times!I309,1)),"S","S"),"V"),"")</f>
        <v/>
      </c>
      <c r="AF309" s="161" t="str">
        <f>IF(Times!D309&lt;&gt;"",SUMIFS(Times!$G$2:G309,$AA$2:AA309,AA309,$AK$2:AK309,"Y"),"")</f>
        <v/>
      </c>
      <c r="AG309" s="154" t="str">
        <f>IF(Times!D309&lt;&gt;"",IF(AND(Times!J309="M",AI309+AL309=AM309,AK309="Y"),AF309,""),"")</f>
        <v/>
      </c>
      <c r="AH309" s="154" t="str">
        <f>IF(Times!D309&lt;&gt;"",IF(AND(Times!J309="F",AI309+AL309=AM309,AK309="Y"),AF309,""),"")</f>
        <v/>
      </c>
      <c r="AI309" s="154">
        <f>COUNTIF(Z$2:Z309,CONCATENATE("V",AA309))</f>
        <v>0</v>
      </c>
      <c r="AJ309" s="154">
        <f>COUNTIF(Z$2:Z309,CONCATENATE("S",AA309))</f>
        <v>0</v>
      </c>
      <c r="AK309" s="154" t="e">
        <f t="shared" si="92"/>
        <v>#VALUE!</v>
      </c>
      <c r="AL309" s="154">
        <f>IF(AND(Times!J309="M",AJ309&gt;3),3, IF(AND(Times!J309="F",AJ309&gt;2),2,AJ309))</f>
        <v>0</v>
      </c>
      <c r="AM309" s="154" t="str">
        <f>IF(Times!J309="M",6, IF(Times!J309="F",4,""))</f>
        <v/>
      </c>
      <c r="AN309" s="154" t="str">
        <f t="shared" si="93"/>
        <v/>
      </c>
      <c r="AO309" s="154" t="str">
        <f t="shared" si="94"/>
        <v/>
      </c>
    </row>
    <row r="310" spans="26:41" x14ac:dyDescent="0.25">
      <c r="Z310" s="154" t="str">
        <f>CONCATENATE(AE310,Times!AD310)</f>
        <v/>
      </c>
      <c r="AA310" s="154" t="str">
        <f>Times!AD310</f>
        <v/>
      </c>
      <c r="AB310" s="154" t="e">
        <f>IF(AK310="Y",CONCATENATE(AA310,COUNTIFS($AK$2:AK310,"=Y",$AA$2:AA310,AA310)),"")</f>
        <v>#VALUE!</v>
      </c>
      <c r="AC310" s="154" t="str">
        <f>Times!K310</f>
        <v/>
      </c>
      <c r="AD310" s="154">
        <f>Times!G310</f>
        <v>4</v>
      </c>
      <c r="AE310" s="154" t="str">
        <f>IF(Times!D310&lt;&gt;"",IF(ISERR(SEARCH("V",Times!I310,1)),IF(ISERR(SEARCH("S",Times!I310,1)),"S","S"),"V"),"")</f>
        <v/>
      </c>
      <c r="AF310" s="161" t="str">
        <f>IF(Times!D310&lt;&gt;"",SUMIFS(Times!$G$2:G310,$AA$2:AA310,AA310,$AK$2:AK310,"Y"),"")</f>
        <v/>
      </c>
      <c r="AG310" s="154" t="str">
        <f>IF(Times!D310&lt;&gt;"",IF(AND(Times!J310="M",AI310+AL310=AM310,AK310="Y"),AF310,""),"")</f>
        <v/>
      </c>
      <c r="AH310" s="154" t="str">
        <f>IF(Times!D310&lt;&gt;"",IF(AND(Times!J310="F",AI310+AL310=AM310,AK310="Y"),AF310,""),"")</f>
        <v/>
      </c>
      <c r="AI310" s="154">
        <f>COUNTIF(Z$2:Z310,CONCATENATE("V",AA310))</f>
        <v>0</v>
      </c>
      <c r="AJ310" s="154">
        <f>COUNTIF(Z$2:Z310,CONCATENATE("S",AA310))</f>
        <v>0</v>
      </c>
      <c r="AK310" s="154" t="e">
        <f t="shared" si="92"/>
        <v>#VALUE!</v>
      </c>
      <c r="AL310" s="154">
        <f>IF(AND(Times!J310="M",AJ310&gt;3),3, IF(AND(Times!J310="F",AJ310&gt;2),2,AJ310))</f>
        <v>0</v>
      </c>
      <c r="AM310" s="154" t="str">
        <f>IF(Times!J310="M",6, IF(Times!J310="F",4,""))</f>
        <v/>
      </c>
      <c r="AN310" s="154" t="str">
        <f t="shared" si="93"/>
        <v/>
      </c>
      <c r="AO310" s="154" t="str">
        <f t="shared" si="94"/>
        <v/>
      </c>
    </row>
    <row r="311" spans="26:41" x14ac:dyDescent="0.25">
      <c r="Z311" s="154" t="str">
        <f>CONCATENATE(AE311,Times!AD311)</f>
        <v/>
      </c>
      <c r="AA311" s="154" t="str">
        <f>Times!AD311</f>
        <v/>
      </c>
      <c r="AB311" s="154" t="e">
        <f>IF(AK311="Y",CONCATENATE(AA311,COUNTIFS($AK$2:AK311,"=Y",$AA$2:AA311,AA311)),"")</f>
        <v>#VALUE!</v>
      </c>
      <c r="AC311" s="154" t="str">
        <f>Times!K311</f>
        <v/>
      </c>
      <c r="AD311" s="154">
        <f>Times!G311</f>
        <v>5</v>
      </c>
      <c r="AE311" s="154" t="str">
        <f>IF(Times!D311&lt;&gt;"",IF(ISERR(SEARCH("V",Times!I311,1)),IF(ISERR(SEARCH("S",Times!I311,1)),"S","S"),"V"),"")</f>
        <v/>
      </c>
      <c r="AF311" s="161" t="str">
        <f>IF(Times!D311&lt;&gt;"",SUMIFS(Times!$G$2:G311,$AA$2:AA311,AA311,$AK$2:AK311,"Y"),"")</f>
        <v/>
      </c>
      <c r="AG311" s="154" t="str">
        <f>IF(Times!D311&lt;&gt;"",IF(AND(Times!J311="M",AI311+AL311=AM311,AK311="Y"),AF311,""),"")</f>
        <v/>
      </c>
      <c r="AH311" s="154" t="str">
        <f>IF(Times!D311&lt;&gt;"",IF(AND(Times!J311="F",AI311+AL311=AM311,AK311="Y"),AF311,""),"")</f>
        <v/>
      </c>
      <c r="AI311" s="154">
        <f>COUNTIF(Z$2:Z311,CONCATENATE("V",AA311))</f>
        <v>0</v>
      </c>
      <c r="AJ311" s="154">
        <f>COUNTIF(Z$2:Z311,CONCATENATE("S",AA311))</f>
        <v>0</v>
      </c>
      <c r="AK311" s="154" t="e">
        <f t="shared" si="92"/>
        <v>#VALUE!</v>
      </c>
      <c r="AL311" s="154">
        <f>IF(AND(Times!J311="M",AJ311&gt;3),3, IF(AND(Times!J311="F",AJ311&gt;2),2,AJ311))</f>
        <v>0</v>
      </c>
      <c r="AM311" s="154" t="str">
        <f>IF(Times!J311="M",6, IF(Times!J311="F",4,""))</f>
        <v/>
      </c>
      <c r="AN311" s="154" t="str">
        <f t="shared" si="93"/>
        <v/>
      </c>
      <c r="AO311" s="154" t="str">
        <f t="shared" si="94"/>
        <v/>
      </c>
    </row>
    <row r="312" spans="26:41" x14ac:dyDescent="0.25">
      <c r="Z312" s="154" t="str">
        <f>CONCATENATE(AE312,Times!AD312)</f>
        <v/>
      </c>
      <c r="AA312" s="154" t="str">
        <f>Times!AD312</f>
        <v/>
      </c>
      <c r="AB312" s="154" t="e">
        <f>IF(AK312="Y",CONCATENATE(AA312,COUNTIFS($AK$2:AK312,"=Y",$AA$2:AA312,AA312)),"")</f>
        <v>#VALUE!</v>
      </c>
      <c r="AC312" s="154" t="str">
        <f>Times!K312</f>
        <v/>
      </c>
      <c r="AD312" s="154">
        <f>Times!G312</f>
        <v>6</v>
      </c>
      <c r="AE312" s="154" t="str">
        <f>IF(Times!D312&lt;&gt;"",IF(ISERR(SEARCH("V",Times!I312,1)),IF(ISERR(SEARCH("S",Times!I312,1)),"S","S"),"V"),"")</f>
        <v/>
      </c>
      <c r="AF312" s="161" t="str">
        <f>IF(Times!D312&lt;&gt;"",SUMIFS(Times!$G$2:G312,$AA$2:AA312,AA312,$AK$2:AK312,"Y"),"")</f>
        <v/>
      </c>
      <c r="AG312" s="154" t="str">
        <f>IF(Times!D312&lt;&gt;"",IF(AND(Times!J312="M",AI312+AL312=AM312,AK312="Y"),AF312,""),"")</f>
        <v/>
      </c>
      <c r="AH312" s="154" t="str">
        <f>IF(Times!D312&lt;&gt;"",IF(AND(Times!J312="F",AI312+AL312=AM312,AK312="Y"),AF312,""),"")</f>
        <v/>
      </c>
      <c r="AI312" s="154">
        <f>COUNTIF(Z$2:Z312,CONCATENATE("V",AA312))</f>
        <v>0</v>
      </c>
      <c r="AJ312" s="154">
        <f>COUNTIF(Z$2:Z312,CONCATENATE("S",AA312))</f>
        <v>0</v>
      </c>
      <c r="AK312" s="154" t="e">
        <f t="shared" si="92"/>
        <v>#VALUE!</v>
      </c>
      <c r="AL312" s="154">
        <f>IF(AND(Times!J312="M",AJ312&gt;3),3, IF(AND(Times!J312="F",AJ312&gt;2),2,AJ312))</f>
        <v>0</v>
      </c>
      <c r="AM312" s="154" t="str">
        <f>IF(Times!J312="M",6, IF(Times!J312="F",4,""))</f>
        <v/>
      </c>
      <c r="AN312" s="154" t="str">
        <f t="shared" si="93"/>
        <v/>
      </c>
      <c r="AO312" s="154" t="str">
        <f t="shared" si="94"/>
        <v/>
      </c>
    </row>
    <row r="313" spans="26:41" x14ac:dyDescent="0.25">
      <c r="Z313" s="154" t="str">
        <f>CONCATENATE(AE313,Times!AD313)</f>
        <v/>
      </c>
      <c r="AA313" s="154" t="str">
        <f>Times!AD313</f>
        <v/>
      </c>
      <c r="AB313" s="154" t="e">
        <f>IF(AK313="Y",CONCATENATE(AA313,COUNTIFS($AK$2:AK313,"=Y",$AA$2:AA313,AA313)),"")</f>
        <v>#VALUE!</v>
      </c>
      <c r="AC313" s="154" t="str">
        <f>Times!K313</f>
        <v/>
      </c>
      <c r="AD313" s="154">
        <f>Times!G313</f>
        <v>7</v>
      </c>
      <c r="AE313" s="154" t="str">
        <f>IF(Times!D313&lt;&gt;"",IF(ISERR(SEARCH("V",Times!I313,1)),IF(ISERR(SEARCH("S",Times!I313,1)),"S","S"),"V"),"")</f>
        <v/>
      </c>
      <c r="AF313" s="161" t="str">
        <f>IF(Times!D313&lt;&gt;"",SUMIFS(Times!$G$2:G313,$AA$2:AA313,AA313,$AK$2:AK313,"Y"),"")</f>
        <v/>
      </c>
      <c r="AG313" s="154" t="str">
        <f>IF(Times!D313&lt;&gt;"",IF(AND(Times!J313="M",AI313+AL313=AM313,AK313="Y"),AF313,""),"")</f>
        <v/>
      </c>
      <c r="AH313" s="154" t="str">
        <f>IF(Times!D313&lt;&gt;"",IF(AND(Times!J313="F",AI313+AL313=AM313,AK313="Y"),AF313,""),"")</f>
        <v/>
      </c>
      <c r="AI313" s="154">
        <f>COUNTIF(Z$2:Z313,CONCATENATE("V",AA313))</f>
        <v>0</v>
      </c>
      <c r="AJ313" s="154">
        <f>COUNTIF(Z$2:Z313,CONCATENATE("S",AA313))</f>
        <v>0</v>
      </c>
      <c r="AK313" s="154" t="e">
        <f t="shared" si="92"/>
        <v>#VALUE!</v>
      </c>
      <c r="AL313" s="154">
        <f>IF(AND(Times!J313="M",AJ313&gt;3),3, IF(AND(Times!J313="F",AJ313&gt;2),2,AJ313))</f>
        <v>0</v>
      </c>
      <c r="AM313" s="154" t="str">
        <f>IF(Times!J313="M",6, IF(Times!J313="F",4,""))</f>
        <v/>
      </c>
      <c r="AN313" s="154" t="str">
        <f t="shared" si="93"/>
        <v/>
      </c>
      <c r="AO313" s="154" t="str">
        <f t="shared" si="94"/>
        <v/>
      </c>
    </row>
    <row r="314" spans="26:41" x14ac:dyDescent="0.25">
      <c r="Z314" s="154" t="str">
        <f>CONCATENATE(AE314,Times!AD314)</f>
        <v/>
      </c>
      <c r="AA314" s="154" t="str">
        <f>Times!AD314</f>
        <v/>
      </c>
      <c r="AB314" s="154" t="e">
        <f>IF(AK314="Y",CONCATENATE(AA314,COUNTIFS($AK$2:AK314,"=Y",$AA$2:AA314,AA314)),"")</f>
        <v>#VALUE!</v>
      </c>
      <c r="AC314" s="154" t="str">
        <f>Times!K314</f>
        <v/>
      </c>
      <c r="AD314" s="154">
        <f>Times!G314</f>
        <v>8</v>
      </c>
      <c r="AE314" s="154" t="str">
        <f>IF(Times!D314&lt;&gt;"",IF(ISERR(SEARCH("V",Times!I314,1)),IF(ISERR(SEARCH("S",Times!I314,1)),"S","S"),"V"),"")</f>
        <v/>
      </c>
      <c r="AF314" s="161" t="str">
        <f>IF(Times!D314&lt;&gt;"",SUMIFS(Times!$G$2:G314,$AA$2:AA314,AA314,$AK$2:AK314,"Y"),"")</f>
        <v/>
      </c>
      <c r="AG314" s="154" t="str">
        <f>IF(Times!D314&lt;&gt;"",IF(AND(Times!J314="M",AI314+AL314=AM314,AK314="Y"),AF314,""),"")</f>
        <v/>
      </c>
      <c r="AH314" s="154" t="str">
        <f>IF(Times!D314&lt;&gt;"",IF(AND(Times!J314="F",AI314+AL314=AM314,AK314="Y"),AF314,""),"")</f>
        <v/>
      </c>
      <c r="AI314" s="154">
        <f>COUNTIF(Z$2:Z314,CONCATENATE("V",AA314))</f>
        <v>0</v>
      </c>
      <c r="AJ314" s="154">
        <f>COUNTIF(Z$2:Z314,CONCATENATE("S",AA314))</f>
        <v>0</v>
      </c>
      <c r="AK314" s="154" t="e">
        <f t="shared" si="92"/>
        <v>#VALUE!</v>
      </c>
      <c r="AL314" s="154">
        <f>IF(AND(Times!J314="M",AJ314&gt;3),3, IF(AND(Times!J314="F",AJ314&gt;2),2,AJ314))</f>
        <v>0</v>
      </c>
      <c r="AM314" s="154" t="str">
        <f>IF(Times!J314="M",6, IF(Times!J314="F",4,""))</f>
        <v/>
      </c>
      <c r="AN314" s="154" t="str">
        <f t="shared" si="93"/>
        <v/>
      </c>
      <c r="AO314" s="154" t="str">
        <f t="shared" si="94"/>
        <v/>
      </c>
    </row>
    <row r="315" spans="26:41" x14ac:dyDescent="0.25">
      <c r="Z315" s="154" t="str">
        <f>CONCATENATE(AE315,Times!AD315)</f>
        <v/>
      </c>
      <c r="AA315" s="154" t="str">
        <f>Times!AD315</f>
        <v/>
      </c>
      <c r="AB315" s="154" t="e">
        <f>IF(AK315="Y",CONCATENATE(AA315,COUNTIFS($AK$2:AK315,"=Y",$AA$2:AA315,AA315)),"")</f>
        <v>#VALUE!</v>
      </c>
      <c r="AC315" s="154" t="str">
        <f>Times!K315</f>
        <v/>
      </c>
      <c r="AD315" s="154">
        <f>Times!G315</f>
        <v>9</v>
      </c>
      <c r="AE315" s="154" t="str">
        <f>IF(Times!D315&lt;&gt;"",IF(ISERR(SEARCH("V",Times!I315,1)),IF(ISERR(SEARCH("S",Times!I315,1)),"S","S"),"V"),"")</f>
        <v/>
      </c>
      <c r="AF315" s="161" t="str">
        <f>IF(Times!D315&lt;&gt;"",SUMIFS(Times!$G$2:G315,$AA$2:AA315,AA315,$AK$2:AK315,"Y"),"")</f>
        <v/>
      </c>
      <c r="AG315" s="154" t="str">
        <f>IF(Times!D315&lt;&gt;"",IF(AND(Times!J315="M",AI315+AL315=AM315,AK315="Y"),AF315,""),"")</f>
        <v/>
      </c>
      <c r="AH315" s="154" t="str">
        <f>IF(Times!D315&lt;&gt;"",IF(AND(Times!J315="F",AI315+AL315=AM315,AK315="Y"),AF315,""),"")</f>
        <v/>
      </c>
      <c r="AI315" s="154">
        <f>COUNTIF(Z$2:Z315,CONCATENATE("V",AA315))</f>
        <v>0</v>
      </c>
      <c r="AJ315" s="154">
        <f>COUNTIF(Z$2:Z315,CONCATENATE("S",AA315))</f>
        <v>0</v>
      </c>
      <c r="AK315" s="154" t="e">
        <f t="shared" si="92"/>
        <v>#VALUE!</v>
      </c>
      <c r="AL315" s="154">
        <f>IF(AND(Times!J315="M",AJ315&gt;3),3, IF(AND(Times!J315="F",AJ315&gt;2),2,AJ315))</f>
        <v>0</v>
      </c>
      <c r="AM315" s="154" t="str">
        <f>IF(Times!J315="M",6, IF(Times!J315="F",4,""))</f>
        <v/>
      </c>
      <c r="AN315" s="154" t="str">
        <f t="shared" si="93"/>
        <v/>
      </c>
      <c r="AO315" s="154" t="str">
        <f t="shared" si="94"/>
        <v/>
      </c>
    </row>
    <row r="316" spans="26:41" x14ac:dyDescent="0.25">
      <c r="Z316" s="154" t="str">
        <f>CONCATENATE(AE316,Times!AD316)</f>
        <v/>
      </c>
      <c r="AA316" s="154" t="str">
        <f>Times!AD316</f>
        <v/>
      </c>
      <c r="AB316" s="154" t="e">
        <f>IF(AK316="Y",CONCATENATE(AA316,COUNTIFS($AK$2:AK316,"=Y",$AA$2:AA316,AA316)),"")</f>
        <v>#VALUE!</v>
      </c>
      <c r="AC316" s="154" t="str">
        <f>Times!K316</f>
        <v/>
      </c>
      <c r="AD316" s="154">
        <f>Times!G316</f>
        <v>10</v>
      </c>
      <c r="AE316" s="154" t="str">
        <f>IF(Times!D316&lt;&gt;"",IF(ISERR(SEARCH("V",Times!I316,1)),IF(ISERR(SEARCH("S",Times!I316,1)),"S","S"),"V"),"")</f>
        <v/>
      </c>
      <c r="AF316" s="161" t="str">
        <f>IF(Times!D316&lt;&gt;"",SUMIFS(Times!$G$2:G316,$AA$2:AA316,AA316,$AK$2:AK316,"Y"),"")</f>
        <v/>
      </c>
      <c r="AG316" s="154" t="str">
        <f>IF(Times!D316&lt;&gt;"",IF(AND(Times!J316="M",AI316+AL316=AM316,AK316="Y"),AF316,""),"")</f>
        <v/>
      </c>
      <c r="AH316" s="154" t="str">
        <f>IF(Times!D316&lt;&gt;"",IF(AND(Times!J316="F",AI316+AL316=AM316,AK316="Y"),AF316,""),"")</f>
        <v/>
      </c>
      <c r="AI316" s="154">
        <f>COUNTIF(Z$2:Z316,CONCATENATE("V",AA316))</f>
        <v>0</v>
      </c>
      <c r="AJ316" s="154">
        <f>COUNTIF(Z$2:Z316,CONCATENATE("S",AA316))</f>
        <v>0</v>
      </c>
      <c r="AK316" s="154" t="e">
        <f t="shared" si="92"/>
        <v>#VALUE!</v>
      </c>
      <c r="AL316" s="154">
        <f>IF(AND(Times!J316="M",AJ316&gt;3),3, IF(AND(Times!J316="F",AJ316&gt;2),2,AJ316))</f>
        <v>0</v>
      </c>
      <c r="AM316" s="154" t="str">
        <f>IF(Times!J316="M",6, IF(Times!J316="F",4,""))</f>
        <v/>
      </c>
      <c r="AN316" s="154" t="str">
        <f t="shared" si="93"/>
        <v/>
      </c>
      <c r="AO316" s="154" t="str">
        <f t="shared" si="94"/>
        <v/>
      </c>
    </row>
    <row r="317" spans="26:41" x14ac:dyDescent="0.25">
      <c r="Z317" s="154" t="str">
        <f>CONCATENATE(AE317,Times!AD317)</f>
        <v/>
      </c>
      <c r="AA317" s="154" t="str">
        <f>Times!AD317</f>
        <v/>
      </c>
      <c r="AB317" s="154" t="e">
        <f>IF(AK317="Y",CONCATENATE(AA317,COUNTIFS($AK$2:AK317,"=Y",$AA$2:AA317,AA317)),"")</f>
        <v>#VALUE!</v>
      </c>
      <c r="AC317" s="154" t="str">
        <f>Times!K317</f>
        <v/>
      </c>
      <c r="AD317" s="154">
        <f>Times!G317</f>
        <v>11</v>
      </c>
      <c r="AE317" s="154" t="str">
        <f>IF(Times!D317&lt;&gt;"",IF(ISERR(SEARCH("V",Times!I317,1)),IF(ISERR(SEARCH("S",Times!I317,1)),"S","S"),"V"),"")</f>
        <v/>
      </c>
      <c r="AF317" s="161" t="str">
        <f>IF(Times!D317&lt;&gt;"",SUMIFS(Times!$G$2:G317,$AA$2:AA317,AA317,$AK$2:AK317,"Y"),"")</f>
        <v/>
      </c>
      <c r="AG317" s="154" t="str">
        <f>IF(Times!D317&lt;&gt;"",IF(AND(Times!J317="M",AI317+AL317=AM317,AK317="Y"),AF317,""),"")</f>
        <v/>
      </c>
      <c r="AH317" s="154" t="str">
        <f>IF(Times!D317&lt;&gt;"",IF(AND(Times!J317="F",AI317+AL317=AM317,AK317="Y"),AF317,""),"")</f>
        <v/>
      </c>
      <c r="AI317" s="154">
        <f>COUNTIF(Z$2:Z317,CONCATENATE("V",AA317))</f>
        <v>0</v>
      </c>
      <c r="AJ317" s="154">
        <f>COUNTIF(Z$2:Z317,CONCATENATE("S",AA317))</f>
        <v>0</v>
      </c>
      <c r="AK317" s="154" t="e">
        <f t="shared" si="92"/>
        <v>#VALUE!</v>
      </c>
      <c r="AL317" s="154">
        <f>IF(AND(Times!J317="M",AJ317&gt;3),3, IF(AND(Times!J317="F",AJ317&gt;2),2,AJ317))</f>
        <v>0</v>
      </c>
      <c r="AM317" s="154" t="str">
        <f>IF(Times!J317="M",6, IF(Times!J317="F",4,""))</f>
        <v/>
      </c>
      <c r="AN317" s="154" t="str">
        <f t="shared" si="93"/>
        <v/>
      </c>
      <c r="AO317" s="154" t="str">
        <f t="shared" si="94"/>
        <v/>
      </c>
    </row>
    <row r="318" spans="26:41" x14ac:dyDescent="0.25">
      <c r="Z318" s="154" t="str">
        <f>CONCATENATE(AE318,Times!AD318)</f>
        <v/>
      </c>
      <c r="AA318" s="154" t="str">
        <f>Times!AD318</f>
        <v/>
      </c>
      <c r="AB318" s="154" t="e">
        <f>IF(AK318="Y",CONCATENATE(AA318,COUNTIFS($AK$2:AK318,"=Y",$AA$2:AA318,AA318)),"")</f>
        <v>#VALUE!</v>
      </c>
      <c r="AC318" s="154" t="str">
        <f>Times!K318</f>
        <v/>
      </c>
      <c r="AD318" s="154">
        <f>Times!G318</f>
        <v>12</v>
      </c>
      <c r="AE318" s="154" t="str">
        <f>IF(Times!D318&lt;&gt;"",IF(ISERR(SEARCH("V",Times!I318,1)),IF(ISERR(SEARCH("S",Times!I318,1)),"S","S"),"V"),"")</f>
        <v/>
      </c>
      <c r="AF318" s="161" t="str">
        <f>IF(Times!D318&lt;&gt;"",SUMIFS(Times!$G$2:G318,$AA$2:AA318,AA318,$AK$2:AK318,"Y"),"")</f>
        <v/>
      </c>
      <c r="AG318" s="154" t="str">
        <f>IF(Times!D318&lt;&gt;"",IF(AND(Times!J318="M",AI318+AL318=AM318,AK318="Y"),AF318,""),"")</f>
        <v/>
      </c>
      <c r="AH318" s="154" t="str">
        <f>IF(Times!D318&lt;&gt;"",IF(AND(Times!J318="F",AI318+AL318=AM318,AK318="Y"),AF318,""),"")</f>
        <v/>
      </c>
      <c r="AI318" s="154">
        <f>COUNTIF(Z$2:Z318,CONCATENATE("V",AA318))</f>
        <v>0</v>
      </c>
      <c r="AJ318" s="154">
        <f>COUNTIF(Z$2:Z318,CONCATENATE("S",AA318))</f>
        <v>0</v>
      </c>
      <c r="AK318" s="154" t="e">
        <f t="shared" si="92"/>
        <v>#VALUE!</v>
      </c>
      <c r="AL318" s="154">
        <f>IF(AND(Times!J318="M",AJ318&gt;3),3, IF(AND(Times!J318="F",AJ318&gt;2),2,AJ318))</f>
        <v>0</v>
      </c>
      <c r="AM318" s="154" t="str">
        <f>IF(Times!J318="M",6, IF(Times!J318="F",4,""))</f>
        <v/>
      </c>
      <c r="AN318" s="154" t="str">
        <f t="shared" si="93"/>
        <v/>
      </c>
      <c r="AO318" s="154" t="str">
        <f t="shared" si="94"/>
        <v/>
      </c>
    </row>
    <row r="319" spans="26:41" x14ac:dyDescent="0.25">
      <c r="Z319" s="154" t="str">
        <f>CONCATENATE(AE319,Times!AD319)</f>
        <v/>
      </c>
      <c r="AA319" s="154" t="str">
        <f>Times!AD319</f>
        <v/>
      </c>
      <c r="AB319" s="154" t="e">
        <f>IF(AK319="Y",CONCATENATE(AA319,COUNTIFS($AK$2:AK319,"=Y",$AA$2:AA319,AA319)),"")</f>
        <v>#VALUE!</v>
      </c>
      <c r="AC319" s="154" t="str">
        <f>Times!K319</f>
        <v/>
      </c>
      <c r="AD319" s="154">
        <f>Times!G319</f>
        <v>13</v>
      </c>
      <c r="AE319" s="154" t="str">
        <f>IF(Times!D319&lt;&gt;"",IF(ISERR(SEARCH("V",Times!I319,1)),IF(ISERR(SEARCH("S",Times!I319,1)),"S","S"),"V"),"")</f>
        <v/>
      </c>
      <c r="AF319" s="161" t="str">
        <f>IF(Times!D319&lt;&gt;"",SUMIFS(Times!$G$2:G319,$AA$2:AA319,AA319,$AK$2:AK319,"Y"),"")</f>
        <v/>
      </c>
      <c r="AG319" s="154" t="str">
        <f>IF(Times!D319&lt;&gt;"",IF(AND(Times!J319="M",AI319+AL319=AM319,AK319="Y"),AF319,""),"")</f>
        <v/>
      </c>
      <c r="AH319" s="154" t="str">
        <f>IF(Times!D319&lt;&gt;"",IF(AND(Times!J319="F",AI319+AL319=AM319,AK319="Y"),AF319,""),"")</f>
        <v/>
      </c>
      <c r="AI319" s="154">
        <f>COUNTIF(Z$2:Z319,CONCATENATE("V",AA319))</f>
        <v>0</v>
      </c>
      <c r="AJ319" s="154">
        <f>COUNTIF(Z$2:Z319,CONCATENATE("S",AA319))</f>
        <v>0</v>
      </c>
      <c r="AK319" s="154" t="e">
        <f t="shared" si="92"/>
        <v>#VALUE!</v>
      </c>
      <c r="AL319" s="154">
        <f>IF(AND(Times!J319="M",AJ319&gt;3),3, IF(AND(Times!J319="F",AJ319&gt;2),2,AJ319))</f>
        <v>0</v>
      </c>
      <c r="AM319" s="154" t="str">
        <f>IF(Times!J319="M",6, IF(Times!J319="F",4,""))</f>
        <v/>
      </c>
      <c r="AN319" s="154" t="str">
        <f t="shared" si="93"/>
        <v/>
      </c>
      <c r="AO319" s="154" t="str">
        <f t="shared" si="94"/>
        <v/>
      </c>
    </row>
    <row r="320" spans="26:41" x14ac:dyDescent="0.25">
      <c r="Z320" s="154" t="str">
        <f>CONCATENATE(AE320,Times!AD320)</f>
        <v/>
      </c>
      <c r="AA320" s="154" t="str">
        <f>Times!AD320</f>
        <v/>
      </c>
      <c r="AB320" s="154" t="e">
        <f>IF(AK320="Y",CONCATENATE(AA320,COUNTIFS($AK$2:AK320,"=Y",$AA$2:AA320,AA320)),"")</f>
        <v>#VALUE!</v>
      </c>
      <c r="AC320" s="154" t="str">
        <f>Times!K320</f>
        <v/>
      </c>
      <c r="AD320" s="154">
        <f>Times!G320</f>
        <v>14</v>
      </c>
      <c r="AE320" s="154" t="str">
        <f>IF(Times!D320&lt;&gt;"",IF(ISERR(SEARCH("V",Times!I320,1)),IF(ISERR(SEARCH("S",Times!I320,1)),"S","S"),"V"),"")</f>
        <v/>
      </c>
      <c r="AF320" s="161" t="str">
        <f>IF(Times!D320&lt;&gt;"",SUMIFS(Times!$G$2:G320,$AA$2:AA320,AA320,$AK$2:AK320,"Y"),"")</f>
        <v/>
      </c>
      <c r="AG320" s="154" t="str">
        <f>IF(Times!D320&lt;&gt;"",IF(AND(Times!J320="M",AI320+AL320=AM320,AK320="Y"),AF320,""),"")</f>
        <v/>
      </c>
      <c r="AH320" s="154" t="str">
        <f>IF(Times!D320&lt;&gt;"",IF(AND(Times!J320="F",AI320+AL320=AM320,AK320="Y"),AF320,""),"")</f>
        <v/>
      </c>
      <c r="AI320" s="154">
        <f>COUNTIF(Z$2:Z320,CONCATENATE("V",AA320))</f>
        <v>0</v>
      </c>
      <c r="AJ320" s="154">
        <f>COUNTIF(Z$2:Z320,CONCATENATE("S",AA320))</f>
        <v>0</v>
      </c>
      <c r="AK320" s="154" t="e">
        <f t="shared" si="92"/>
        <v>#VALUE!</v>
      </c>
      <c r="AL320" s="154">
        <f>IF(AND(Times!J320="M",AJ320&gt;3),3, IF(AND(Times!J320="F",AJ320&gt;2),2,AJ320))</f>
        <v>0</v>
      </c>
      <c r="AM320" s="154" t="str">
        <f>IF(Times!J320="M",6, IF(Times!J320="F",4,""))</f>
        <v/>
      </c>
      <c r="AN320" s="154" t="str">
        <f t="shared" si="93"/>
        <v/>
      </c>
      <c r="AO320" s="154" t="str">
        <f t="shared" si="94"/>
        <v/>
      </c>
    </row>
    <row r="321" spans="26:41" x14ac:dyDescent="0.25">
      <c r="Z321" s="154" t="str">
        <f>CONCATENATE(AE321,Times!AD321)</f>
        <v/>
      </c>
      <c r="AA321" s="154" t="str">
        <f>Times!AD321</f>
        <v/>
      </c>
      <c r="AB321" s="154" t="e">
        <f>IF(AK321="Y",CONCATENATE(AA321,COUNTIFS($AK$2:AK321,"=Y",$AA$2:AA321,AA321)),"")</f>
        <v>#VALUE!</v>
      </c>
      <c r="AC321" s="154" t="str">
        <f>Times!K321</f>
        <v/>
      </c>
      <c r="AD321" s="154">
        <f>Times!G321</f>
        <v>15</v>
      </c>
      <c r="AE321" s="154" t="str">
        <f>IF(Times!D321&lt;&gt;"",IF(ISERR(SEARCH("V",Times!I321,1)),IF(ISERR(SEARCH("S",Times!I321,1)),"S","S"),"V"),"")</f>
        <v/>
      </c>
      <c r="AF321" s="161" t="str">
        <f>IF(Times!D321&lt;&gt;"",SUMIFS(Times!$G$2:G321,$AA$2:AA321,AA321,$AK$2:AK321,"Y"),"")</f>
        <v/>
      </c>
      <c r="AG321" s="154" t="str">
        <f>IF(Times!D321&lt;&gt;"",IF(AND(Times!J321="M",AI321+AL321=AM321,AK321="Y"),AF321,""),"")</f>
        <v/>
      </c>
      <c r="AH321" s="154" t="str">
        <f>IF(Times!D321&lt;&gt;"",IF(AND(Times!J321="F",AI321+AL321=AM321,AK321="Y"),AF321,""),"")</f>
        <v/>
      </c>
      <c r="AI321" s="154">
        <f>COUNTIF(Z$2:Z321,CONCATENATE("V",AA321))</f>
        <v>0</v>
      </c>
      <c r="AJ321" s="154">
        <f>COUNTIF(Z$2:Z321,CONCATENATE("S",AA321))</f>
        <v>0</v>
      </c>
      <c r="AK321" s="154" t="e">
        <f t="shared" si="92"/>
        <v>#VALUE!</v>
      </c>
      <c r="AL321" s="154">
        <f>IF(AND(Times!J321="M",AJ321&gt;3),3, IF(AND(Times!J321="F",AJ321&gt;2),2,AJ321))</f>
        <v>0</v>
      </c>
      <c r="AM321" s="154" t="str">
        <f>IF(Times!J321="M",6, IF(Times!J321="F",4,""))</f>
        <v/>
      </c>
      <c r="AN321" s="154" t="str">
        <f t="shared" si="93"/>
        <v/>
      </c>
      <c r="AO321" s="154" t="str">
        <f t="shared" si="94"/>
        <v/>
      </c>
    </row>
    <row r="322" spans="26:41" x14ac:dyDescent="0.25">
      <c r="Z322" s="154" t="str">
        <f>CONCATENATE(AE322,Times!AD322)</f>
        <v/>
      </c>
      <c r="AA322" s="154" t="str">
        <f>Times!AD322</f>
        <v/>
      </c>
      <c r="AB322" s="154" t="e">
        <f>IF(AK322="Y",CONCATENATE(AA322,COUNTIFS($AK$2:AK322,"=Y",$AA$2:AA322,AA322)),"")</f>
        <v>#VALUE!</v>
      </c>
      <c r="AC322" s="154" t="str">
        <f>Times!K322</f>
        <v/>
      </c>
      <c r="AD322" s="154">
        <f>Times!G322</f>
        <v>16</v>
      </c>
      <c r="AE322" s="154" t="str">
        <f>IF(Times!D322&lt;&gt;"",IF(ISERR(SEARCH("V",Times!I322,1)),IF(ISERR(SEARCH("S",Times!I322,1)),"S","S"),"V"),"")</f>
        <v/>
      </c>
      <c r="AF322" s="161" t="str">
        <f>IF(Times!D322&lt;&gt;"",SUMIFS(Times!$G$2:G322,$AA$2:AA322,AA322,$AK$2:AK322,"Y"),"")</f>
        <v/>
      </c>
      <c r="AG322" s="154" t="str">
        <f>IF(Times!D322&lt;&gt;"",IF(AND(Times!J322="M",AI322+AL322=AM322,AK322="Y"),AF322,""),"")</f>
        <v/>
      </c>
      <c r="AH322" s="154" t="str">
        <f>IF(Times!D322&lt;&gt;"",IF(AND(Times!J322="F",AI322+AL322=AM322,AK322="Y"),AF322,""),"")</f>
        <v/>
      </c>
      <c r="AI322" s="154">
        <f>COUNTIF(Z$2:Z322,CONCATENATE("V",AA322))</f>
        <v>0</v>
      </c>
      <c r="AJ322" s="154">
        <f>COUNTIF(Z$2:Z322,CONCATENATE("S",AA322))</f>
        <v>0</v>
      </c>
      <c r="AK322" s="154" t="e">
        <f t="shared" si="92"/>
        <v>#VALUE!</v>
      </c>
      <c r="AL322" s="154">
        <f>IF(AND(Times!J322="M",AJ322&gt;3),3, IF(AND(Times!J322="F",AJ322&gt;2),2,AJ322))</f>
        <v>0</v>
      </c>
      <c r="AM322" s="154" t="str">
        <f>IF(Times!J322="M",6, IF(Times!J322="F",4,""))</f>
        <v/>
      </c>
      <c r="AN322" s="154" t="str">
        <f t="shared" si="93"/>
        <v/>
      </c>
      <c r="AO322" s="154" t="str">
        <f t="shared" si="94"/>
        <v/>
      </c>
    </row>
    <row r="323" spans="26:41" x14ac:dyDescent="0.25">
      <c r="Z323" s="154" t="str">
        <f>CONCATENATE(AE323,Times!AD323)</f>
        <v/>
      </c>
      <c r="AA323" s="154" t="str">
        <f>Times!AD323</f>
        <v/>
      </c>
      <c r="AB323" s="154" t="e">
        <f>IF(AK323="Y",CONCATENATE(AA323,COUNTIFS($AK$2:AK323,"=Y",$AA$2:AA323,AA323)),"")</f>
        <v>#VALUE!</v>
      </c>
      <c r="AC323" s="154" t="str">
        <f>Times!K323</f>
        <v/>
      </c>
      <c r="AD323" s="154">
        <f>Times!G323</f>
        <v>17</v>
      </c>
      <c r="AE323" s="154" t="str">
        <f>IF(Times!D323&lt;&gt;"",IF(ISERR(SEARCH("V",Times!I323,1)),IF(ISERR(SEARCH("S",Times!I323,1)),"S","S"),"V"),"")</f>
        <v/>
      </c>
      <c r="AF323" s="161" t="str">
        <f>IF(Times!D323&lt;&gt;"",SUMIFS(Times!$G$2:G323,$AA$2:AA323,AA323,$AK$2:AK323,"Y"),"")</f>
        <v/>
      </c>
      <c r="AG323" s="154" t="str">
        <f>IF(Times!D323&lt;&gt;"",IF(AND(Times!J323="M",AI323+AL323=AM323,AK323="Y"),AF323,""),"")</f>
        <v/>
      </c>
      <c r="AH323" s="154" t="str">
        <f>IF(Times!D323&lt;&gt;"",IF(AND(Times!J323="F",AI323+AL323=AM323,AK323="Y"),AF323,""),"")</f>
        <v/>
      </c>
      <c r="AI323" s="154">
        <f>COUNTIF(Z$2:Z323,CONCATENATE("V",AA323))</f>
        <v>0</v>
      </c>
      <c r="AJ323" s="154">
        <f>COUNTIF(Z$2:Z323,CONCATENATE("S",AA323))</f>
        <v>0</v>
      </c>
      <c r="AK323" s="154" t="e">
        <f t="shared" ref="AK323:AK386" si="95">IF(AND(AE323="V",AI323&lt;=AM323-AL323),"Y",IF(AND(AE323="S",AJ323&lt;=AM323/2,AJ323&lt;=AM323-AI323),"Y","N"))</f>
        <v>#VALUE!</v>
      </c>
      <c r="AL323" s="154">
        <f>IF(AND(Times!J323="M",AJ323&gt;3),3, IF(AND(Times!J323="F",AJ323&gt;2),2,AJ323))</f>
        <v>0</v>
      </c>
      <c r="AM323" s="154" t="str">
        <f>IF(Times!J323="M",6, IF(Times!J323="F",4,""))</f>
        <v/>
      </c>
      <c r="AN323" s="154" t="str">
        <f t="shared" ref="AN323:AN386" si="96">IF(AG323&lt;&gt;"",RANK(AG323,AG$2:AG$501,1),"")</f>
        <v/>
      </c>
      <c r="AO323" s="154" t="str">
        <f t="shared" ref="AO323:AO386" si="97">IF(AH323&lt;&gt;"",RANK(AH323,AH$2:AH$501,1),"")</f>
        <v/>
      </c>
    </row>
    <row r="324" spans="26:41" x14ac:dyDescent="0.25">
      <c r="Z324" s="154" t="str">
        <f>CONCATENATE(AE324,Times!AD324)</f>
        <v/>
      </c>
      <c r="AA324" s="154" t="str">
        <f>Times!AD324</f>
        <v/>
      </c>
      <c r="AB324" s="154" t="e">
        <f>IF(AK324="Y",CONCATENATE(AA324,COUNTIFS($AK$2:AK324,"=Y",$AA$2:AA324,AA324)),"")</f>
        <v>#VALUE!</v>
      </c>
      <c r="AC324" s="154" t="str">
        <f>Times!K324</f>
        <v/>
      </c>
      <c r="AD324" s="154">
        <f>Times!G324</f>
        <v>18</v>
      </c>
      <c r="AE324" s="154" t="str">
        <f>IF(Times!D324&lt;&gt;"",IF(ISERR(SEARCH("V",Times!I324,1)),IF(ISERR(SEARCH("S",Times!I324,1)),"S","S"),"V"),"")</f>
        <v/>
      </c>
      <c r="AF324" s="161" t="str">
        <f>IF(Times!D324&lt;&gt;"",SUMIFS(Times!$G$2:G324,$AA$2:AA324,AA324,$AK$2:AK324,"Y"),"")</f>
        <v/>
      </c>
      <c r="AG324" s="154" t="str">
        <f>IF(Times!D324&lt;&gt;"",IF(AND(Times!J324="M",AI324+AL324=AM324,AK324="Y"),AF324,""),"")</f>
        <v/>
      </c>
      <c r="AH324" s="154" t="str">
        <f>IF(Times!D324&lt;&gt;"",IF(AND(Times!J324="F",AI324+AL324=AM324,AK324="Y"),AF324,""),"")</f>
        <v/>
      </c>
      <c r="AI324" s="154">
        <f>COUNTIF(Z$2:Z324,CONCATENATE("V",AA324))</f>
        <v>0</v>
      </c>
      <c r="AJ324" s="154">
        <f>COUNTIF(Z$2:Z324,CONCATENATE("S",AA324))</f>
        <v>0</v>
      </c>
      <c r="AK324" s="154" t="e">
        <f t="shared" si="95"/>
        <v>#VALUE!</v>
      </c>
      <c r="AL324" s="154">
        <f>IF(AND(Times!J324="M",AJ324&gt;3),3, IF(AND(Times!J324="F",AJ324&gt;2),2,AJ324))</f>
        <v>0</v>
      </c>
      <c r="AM324" s="154" t="str">
        <f>IF(Times!J324="M",6, IF(Times!J324="F",4,""))</f>
        <v/>
      </c>
      <c r="AN324" s="154" t="str">
        <f t="shared" si="96"/>
        <v/>
      </c>
      <c r="AO324" s="154" t="str">
        <f t="shared" si="97"/>
        <v/>
      </c>
    </row>
    <row r="325" spans="26:41" x14ac:dyDescent="0.25">
      <c r="Z325" s="154" t="str">
        <f>CONCATENATE(AE325,Times!AD325)</f>
        <v/>
      </c>
      <c r="AA325" s="154" t="str">
        <f>Times!AD325</f>
        <v/>
      </c>
      <c r="AB325" s="154" t="e">
        <f>IF(AK325="Y",CONCATENATE(AA325,COUNTIFS($AK$2:AK325,"=Y",$AA$2:AA325,AA325)),"")</f>
        <v>#VALUE!</v>
      </c>
      <c r="AC325" s="154" t="str">
        <f>Times!K325</f>
        <v/>
      </c>
      <c r="AD325" s="154">
        <f>Times!G325</f>
        <v>19</v>
      </c>
      <c r="AE325" s="154" t="str">
        <f>IF(Times!D325&lt;&gt;"",IF(ISERR(SEARCH("V",Times!I325,1)),IF(ISERR(SEARCH("S",Times!I325,1)),"S","S"),"V"),"")</f>
        <v/>
      </c>
      <c r="AF325" s="161" t="str">
        <f>IF(Times!D325&lt;&gt;"",SUMIFS(Times!$G$2:G325,$AA$2:AA325,AA325,$AK$2:AK325,"Y"),"")</f>
        <v/>
      </c>
      <c r="AG325" s="154" t="str">
        <f>IF(Times!D325&lt;&gt;"",IF(AND(Times!J325="M",AI325+AL325=AM325,AK325="Y"),AF325,""),"")</f>
        <v/>
      </c>
      <c r="AH325" s="154" t="str">
        <f>IF(Times!D325&lt;&gt;"",IF(AND(Times!J325="F",AI325+AL325=AM325,AK325="Y"),AF325,""),"")</f>
        <v/>
      </c>
      <c r="AI325" s="154">
        <f>COUNTIF(Z$2:Z325,CONCATENATE("V",AA325))</f>
        <v>0</v>
      </c>
      <c r="AJ325" s="154">
        <f>COUNTIF(Z$2:Z325,CONCATENATE("S",AA325))</f>
        <v>0</v>
      </c>
      <c r="AK325" s="154" t="e">
        <f t="shared" si="95"/>
        <v>#VALUE!</v>
      </c>
      <c r="AL325" s="154">
        <f>IF(AND(Times!J325="M",AJ325&gt;3),3, IF(AND(Times!J325="F",AJ325&gt;2),2,AJ325))</f>
        <v>0</v>
      </c>
      <c r="AM325" s="154" t="str">
        <f>IF(Times!J325="M",6, IF(Times!J325="F",4,""))</f>
        <v/>
      </c>
      <c r="AN325" s="154" t="str">
        <f t="shared" si="96"/>
        <v/>
      </c>
      <c r="AO325" s="154" t="str">
        <f t="shared" si="97"/>
        <v/>
      </c>
    </row>
    <row r="326" spans="26:41" x14ac:dyDescent="0.25">
      <c r="Z326" s="154" t="str">
        <f>CONCATENATE(AE326,Times!AD326)</f>
        <v/>
      </c>
      <c r="AA326" s="154" t="str">
        <f>Times!AD326</f>
        <v/>
      </c>
      <c r="AB326" s="154" t="e">
        <f>IF(AK326="Y",CONCATENATE(AA326,COUNTIFS($AK$2:AK326,"=Y",$AA$2:AA326,AA326)),"")</f>
        <v>#VALUE!</v>
      </c>
      <c r="AC326" s="154" t="str">
        <f>Times!K326</f>
        <v/>
      </c>
      <c r="AD326" s="154">
        <f>Times!G326</f>
        <v>20</v>
      </c>
      <c r="AE326" s="154" t="str">
        <f>IF(Times!D326&lt;&gt;"",IF(ISERR(SEARCH("V",Times!I326,1)),IF(ISERR(SEARCH("S",Times!I326,1)),"S","S"),"V"),"")</f>
        <v/>
      </c>
      <c r="AF326" s="161" t="str">
        <f>IF(Times!D326&lt;&gt;"",SUMIFS(Times!$G$2:G326,$AA$2:AA326,AA326,$AK$2:AK326,"Y"),"")</f>
        <v/>
      </c>
      <c r="AG326" s="154" t="str">
        <f>IF(Times!D326&lt;&gt;"",IF(AND(Times!J326="M",AI326+AL326=AM326,AK326="Y"),AF326,""),"")</f>
        <v/>
      </c>
      <c r="AH326" s="154" t="str">
        <f>IF(Times!D326&lt;&gt;"",IF(AND(Times!J326="F",AI326+AL326=AM326,AK326="Y"),AF326,""),"")</f>
        <v/>
      </c>
      <c r="AI326" s="154">
        <f>COUNTIF(Z$2:Z326,CONCATENATE("V",AA326))</f>
        <v>0</v>
      </c>
      <c r="AJ326" s="154">
        <f>COUNTIF(Z$2:Z326,CONCATENATE("S",AA326))</f>
        <v>0</v>
      </c>
      <c r="AK326" s="154" t="e">
        <f t="shared" si="95"/>
        <v>#VALUE!</v>
      </c>
      <c r="AL326" s="154">
        <f>IF(AND(Times!J326="M",AJ326&gt;3),3, IF(AND(Times!J326="F",AJ326&gt;2),2,AJ326))</f>
        <v>0</v>
      </c>
      <c r="AM326" s="154" t="str">
        <f>IF(Times!J326="M",6, IF(Times!J326="F",4,""))</f>
        <v/>
      </c>
      <c r="AN326" s="154" t="str">
        <f t="shared" si="96"/>
        <v/>
      </c>
      <c r="AO326" s="154" t="str">
        <f t="shared" si="97"/>
        <v/>
      </c>
    </row>
    <row r="327" spans="26:41" x14ac:dyDescent="0.25">
      <c r="Z327" s="154" t="str">
        <f>CONCATENATE(AE327,Times!AD327)</f>
        <v/>
      </c>
      <c r="AA327" s="154" t="str">
        <f>Times!AD327</f>
        <v/>
      </c>
      <c r="AB327" s="154" t="e">
        <f>IF(AK327="Y",CONCATENATE(AA327,COUNTIFS($AK$2:AK327,"=Y",$AA$2:AA327,AA327)),"")</f>
        <v>#VALUE!</v>
      </c>
      <c r="AC327" s="154" t="str">
        <f>Times!K327</f>
        <v/>
      </c>
      <c r="AD327" s="154">
        <f>Times!G327</f>
        <v>21</v>
      </c>
      <c r="AE327" s="154" t="str">
        <f>IF(Times!D327&lt;&gt;"",IF(ISERR(SEARCH("V",Times!I327,1)),IF(ISERR(SEARCH("S",Times!I327,1)),"S","S"),"V"),"")</f>
        <v/>
      </c>
      <c r="AF327" s="161" t="str">
        <f>IF(Times!D327&lt;&gt;"",SUMIFS(Times!$G$2:G327,$AA$2:AA327,AA327,$AK$2:AK327,"Y"),"")</f>
        <v/>
      </c>
      <c r="AG327" s="154" t="str">
        <f>IF(Times!D327&lt;&gt;"",IF(AND(Times!J327="M",AI327+AL327=AM327,AK327="Y"),AF327,""),"")</f>
        <v/>
      </c>
      <c r="AH327" s="154" t="str">
        <f>IF(Times!D327&lt;&gt;"",IF(AND(Times!J327="F",AI327+AL327=AM327,AK327="Y"),AF327,""),"")</f>
        <v/>
      </c>
      <c r="AI327" s="154">
        <f>COUNTIF(Z$2:Z327,CONCATENATE("V",AA327))</f>
        <v>0</v>
      </c>
      <c r="AJ327" s="154">
        <f>COUNTIF(Z$2:Z327,CONCATENATE("S",AA327))</f>
        <v>0</v>
      </c>
      <c r="AK327" s="154" t="e">
        <f t="shared" si="95"/>
        <v>#VALUE!</v>
      </c>
      <c r="AL327" s="154">
        <f>IF(AND(Times!J327="M",AJ327&gt;3),3, IF(AND(Times!J327="F",AJ327&gt;2),2,AJ327))</f>
        <v>0</v>
      </c>
      <c r="AM327" s="154" t="str">
        <f>IF(Times!J327="M",6, IF(Times!J327="F",4,""))</f>
        <v/>
      </c>
      <c r="AN327" s="154" t="str">
        <f t="shared" si="96"/>
        <v/>
      </c>
      <c r="AO327" s="154" t="str">
        <f t="shared" si="97"/>
        <v/>
      </c>
    </row>
    <row r="328" spans="26:41" x14ac:dyDescent="0.25">
      <c r="Z328" s="154" t="str">
        <f>CONCATENATE(AE328,Times!AD328)</f>
        <v/>
      </c>
      <c r="AA328" s="154" t="str">
        <f>Times!AD328</f>
        <v/>
      </c>
      <c r="AB328" s="154" t="e">
        <f>IF(AK328="Y",CONCATENATE(AA328,COUNTIFS($AK$2:AK328,"=Y",$AA$2:AA328,AA328)),"")</f>
        <v>#VALUE!</v>
      </c>
      <c r="AC328" s="154" t="str">
        <f>Times!K328</f>
        <v/>
      </c>
      <c r="AD328" s="154">
        <f>Times!G328</f>
        <v>22</v>
      </c>
      <c r="AE328" s="154" t="str">
        <f>IF(Times!D328&lt;&gt;"",IF(ISERR(SEARCH("V",Times!I328,1)),IF(ISERR(SEARCH("S",Times!I328,1)),"S","S"),"V"),"")</f>
        <v/>
      </c>
      <c r="AF328" s="161" t="str">
        <f>IF(Times!D328&lt;&gt;"",SUMIFS(Times!$G$2:G328,$AA$2:AA328,AA328,$AK$2:AK328,"Y"),"")</f>
        <v/>
      </c>
      <c r="AG328" s="154" t="str">
        <f>IF(Times!D328&lt;&gt;"",IF(AND(Times!J328="M",AI328+AL328=AM328,AK328="Y"),AF328,""),"")</f>
        <v/>
      </c>
      <c r="AH328" s="154" t="str">
        <f>IF(Times!D328&lt;&gt;"",IF(AND(Times!J328="F",AI328+AL328=AM328,AK328="Y"),AF328,""),"")</f>
        <v/>
      </c>
      <c r="AI328" s="154">
        <f>COUNTIF(Z$2:Z328,CONCATENATE("V",AA328))</f>
        <v>0</v>
      </c>
      <c r="AJ328" s="154">
        <f>COUNTIF(Z$2:Z328,CONCATENATE("S",AA328))</f>
        <v>0</v>
      </c>
      <c r="AK328" s="154" t="e">
        <f t="shared" si="95"/>
        <v>#VALUE!</v>
      </c>
      <c r="AL328" s="154">
        <f>IF(AND(Times!J328="M",AJ328&gt;3),3, IF(AND(Times!J328="F",AJ328&gt;2),2,AJ328))</f>
        <v>0</v>
      </c>
      <c r="AM328" s="154" t="str">
        <f>IF(Times!J328="M",6, IF(Times!J328="F",4,""))</f>
        <v/>
      </c>
      <c r="AN328" s="154" t="str">
        <f t="shared" si="96"/>
        <v/>
      </c>
      <c r="AO328" s="154" t="str">
        <f t="shared" si="97"/>
        <v/>
      </c>
    </row>
    <row r="329" spans="26:41" x14ac:dyDescent="0.25">
      <c r="Z329" s="154" t="str">
        <f>CONCATENATE(AE329,Times!AD329)</f>
        <v/>
      </c>
      <c r="AA329" s="154" t="str">
        <f>Times!AD329</f>
        <v/>
      </c>
      <c r="AB329" s="154" t="e">
        <f>IF(AK329="Y",CONCATENATE(AA329,COUNTIFS($AK$2:AK329,"=Y",$AA$2:AA329,AA329)),"")</f>
        <v>#VALUE!</v>
      </c>
      <c r="AC329" s="154" t="str">
        <f>Times!K329</f>
        <v/>
      </c>
      <c r="AD329" s="154">
        <f>Times!G329</f>
        <v>23</v>
      </c>
      <c r="AE329" s="154" t="str">
        <f>IF(Times!D329&lt;&gt;"",IF(ISERR(SEARCH("V",Times!I329,1)),IF(ISERR(SEARCH("S",Times!I329,1)),"S","S"),"V"),"")</f>
        <v/>
      </c>
      <c r="AF329" s="161" t="str">
        <f>IF(Times!D329&lt;&gt;"",SUMIFS(Times!$G$2:G329,$AA$2:AA329,AA329,$AK$2:AK329,"Y"),"")</f>
        <v/>
      </c>
      <c r="AG329" s="154" t="str">
        <f>IF(Times!D329&lt;&gt;"",IF(AND(Times!J329="M",AI329+AL329=AM329,AK329="Y"),AF329,""),"")</f>
        <v/>
      </c>
      <c r="AH329" s="154" t="str">
        <f>IF(Times!D329&lt;&gt;"",IF(AND(Times!J329="F",AI329+AL329=AM329,AK329="Y"),AF329,""),"")</f>
        <v/>
      </c>
      <c r="AI329" s="154">
        <f>COUNTIF(Z$2:Z329,CONCATENATE("V",AA329))</f>
        <v>0</v>
      </c>
      <c r="AJ329" s="154">
        <f>COUNTIF(Z$2:Z329,CONCATENATE("S",AA329))</f>
        <v>0</v>
      </c>
      <c r="AK329" s="154" t="e">
        <f t="shared" si="95"/>
        <v>#VALUE!</v>
      </c>
      <c r="AL329" s="154">
        <f>IF(AND(Times!J329="M",AJ329&gt;3),3, IF(AND(Times!J329="F",AJ329&gt;2),2,AJ329))</f>
        <v>0</v>
      </c>
      <c r="AM329" s="154" t="str">
        <f>IF(Times!J329="M",6, IF(Times!J329="F",4,""))</f>
        <v/>
      </c>
      <c r="AN329" s="154" t="str">
        <f t="shared" si="96"/>
        <v/>
      </c>
      <c r="AO329" s="154" t="str">
        <f t="shared" si="97"/>
        <v/>
      </c>
    </row>
    <row r="330" spans="26:41" x14ac:dyDescent="0.25">
      <c r="Z330" s="154" t="str">
        <f>CONCATENATE(AE330,Times!AD330)</f>
        <v/>
      </c>
      <c r="AA330" s="154" t="str">
        <f>Times!AD330</f>
        <v/>
      </c>
      <c r="AB330" s="154" t="e">
        <f>IF(AK330="Y",CONCATENATE(AA330,COUNTIFS($AK$2:AK330,"=Y",$AA$2:AA330,AA330)),"")</f>
        <v>#VALUE!</v>
      </c>
      <c r="AC330" s="154" t="str">
        <f>Times!K330</f>
        <v/>
      </c>
      <c r="AD330" s="154">
        <f>Times!G330</f>
        <v>24</v>
      </c>
      <c r="AE330" s="154" t="str">
        <f>IF(Times!D330&lt;&gt;"",IF(ISERR(SEARCH("V",Times!I330,1)),IF(ISERR(SEARCH("S",Times!I330,1)),"S","S"),"V"),"")</f>
        <v/>
      </c>
      <c r="AF330" s="161" t="str">
        <f>IF(Times!D330&lt;&gt;"",SUMIFS(Times!$G$2:G330,$AA$2:AA330,AA330,$AK$2:AK330,"Y"),"")</f>
        <v/>
      </c>
      <c r="AG330" s="154" t="str">
        <f>IF(Times!D330&lt;&gt;"",IF(AND(Times!J330="M",AI330+AL330=AM330,AK330="Y"),AF330,""),"")</f>
        <v/>
      </c>
      <c r="AH330" s="154" t="str">
        <f>IF(Times!D330&lt;&gt;"",IF(AND(Times!J330="F",AI330+AL330=AM330,AK330="Y"),AF330,""),"")</f>
        <v/>
      </c>
      <c r="AI330" s="154">
        <f>COUNTIF(Z$2:Z330,CONCATENATE("V",AA330))</f>
        <v>0</v>
      </c>
      <c r="AJ330" s="154">
        <f>COUNTIF(Z$2:Z330,CONCATENATE("S",AA330))</f>
        <v>0</v>
      </c>
      <c r="AK330" s="154" t="e">
        <f t="shared" si="95"/>
        <v>#VALUE!</v>
      </c>
      <c r="AL330" s="154">
        <f>IF(AND(Times!J330="M",AJ330&gt;3),3, IF(AND(Times!J330="F",AJ330&gt;2),2,AJ330))</f>
        <v>0</v>
      </c>
      <c r="AM330" s="154" t="str">
        <f>IF(Times!J330="M",6, IF(Times!J330="F",4,""))</f>
        <v/>
      </c>
      <c r="AN330" s="154" t="str">
        <f t="shared" si="96"/>
        <v/>
      </c>
      <c r="AO330" s="154" t="str">
        <f t="shared" si="97"/>
        <v/>
      </c>
    </row>
    <row r="331" spans="26:41" x14ac:dyDescent="0.25">
      <c r="Z331" s="154" t="str">
        <f>CONCATENATE(AE331,Times!AD331)</f>
        <v/>
      </c>
      <c r="AA331" s="154" t="str">
        <f>Times!AD331</f>
        <v/>
      </c>
      <c r="AB331" s="154" t="e">
        <f>IF(AK331="Y",CONCATENATE(AA331,COUNTIFS($AK$2:AK331,"=Y",$AA$2:AA331,AA331)),"")</f>
        <v>#VALUE!</v>
      </c>
      <c r="AC331" s="154" t="str">
        <f>Times!K331</f>
        <v/>
      </c>
      <c r="AD331" s="154">
        <f>Times!G331</f>
        <v>25</v>
      </c>
      <c r="AE331" s="154" t="str">
        <f>IF(Times!D331&lt;&gt;"",IF(ISERR(SEARCH("V",Times!I331,1)),IF(ISERR(SEARCH("S",Times!I331,1)),"S","S"),"V"),"")</f>
        <v/>
      </c>
      <c r="AF331" s="161" t="str">
        <f>IF(Times!D331&lt;&gt;"",SUMIFS(Times!$G$2:G331,$AA$2:AA331,AA331,$AK$2:AK331,"Y"),"")</f>
        <v/>
      </c>
      <c r="AG331" s="154" t="str">
        <f>IF(Times!D331&lt;&gt;"",IF(AND(Times!J331="M",AI331+AL331=AM331,AK331="Y"),AF331,""),"")</f>
        <v/>
      </c>
      <c r="AH331" s="154" t="str">
        <f>IF(Times!D331&lt;&gt;"",IF(AND(Times!J331="F",AI331+AL331=AM331,AK331="Y"),AF331,""),"")</f>
        <v/>
      </c>
      <c r="AI331" s="154">
        <f>COUNTIF(Z$2:Z331,CONCATENATE("V",AA331))</f>
        <v>0</v>
      </c>
      <c r="AJ331" s="154">
        <f>COUNTIF(Z$2:Z331,CONCATENATE("S",AA331))</f>
        <v>0</v>
      </c>
      <c r="AK331" s="154" t="e">
        <f t="shared" si="95"/>
        <v>#VALUE!</v>
      </c>
      <c r="AL331" s="154">
        <f>IF(AND(Times!J331="M",AJ331&gt;3),3, IF(AND(Times!J331="F",AJ331&gt;2),2,AJ331))</f>
        <v>0</v>
      </c>
      <c r="AM331" s="154" t="str">
        <f>IF(Times!J331="M",6, IF(Times!J331="F",4,""))</f>
        <v/>
      </c>
      <c r="AN331" s="154" t="str">
        <f t="shared" si="96"/>
        <v/>
      </c>
      <c r="AO331" s="154" t="str">
        <f t="shared" si="97"/>
        <v/>
      </c>
    </row>
    <row r="332" spans="26:41" x14ac:dyDescent="0.25">
      <c r="Z332" s="154" t="str">
        <f>CONCATENATE(AE332,Times!AD332)</f>
        <v/>
      </c>
      <c r="AA332" s="154" t="str">
        <f>Times!AD332</f>
        <v/>
      </c>
      <c r="AB332" s="154" t="e">
        <f>IF(AK332="Y",CONCATENATE(AA332,COUNTIFS($AK$2:AK332,"=Y",$AA$2:AA332,AA332)),"")</f>
        <v>#VALUE!</v>
      </c>
      <c r="AC332" s="154" t="str">
        <f>Times!K332</f>
        <v/>
      </c>
      <c r="AD332" s="154">
        <f>Times!G332</f>
        <v>26</v>
      </c>
      <c r="AE332" s="154" t="str">
        <f>IF(Times!D332&lt;&gt;"",IF(ISERR(SEARCH("V",Times!I332,1)),IF(ISERR(SEARCH("S",Times!I332,1)),"S","S"),"V"),"")</f>
        <v/>
      </c>
      <c r="AF332" s="161" t="str">
        <f>IF(Times!D332&lt;&gt;"",SUMIFS(Times!$G$2:G332,$AA$2:AA332,AA332,$AK$2:AK332,"Y"),"")</f>
        <v/>
      </c>
      <c r="AG332" s="154" t="str">
        <f>IF(Times!D332&lt;&gt;"",IF(AND(Times!J332="M",AI332+AL332=AM332,AK332="Y"),AF332,""),"")</f>
        <v/>
      </c>
      <c r="AH332" s="154" t="str">
        <f>IF(Times!D332&lt;&gt;"",IF(AND(Times!J332="F",AI332+AL332=AM332,AK332="Y"),AF332,""),"")</f>
        <v/>
      </c>
      <c r="AI332" s="154">
        <f>COUNTIF(Z$2:Z332,CONCATENATE("V",AA332))</f>
        <v>0</v>
      </c>
      <c r="AJ332" s="154">
        <f>COUNTIF(Z$2:Z332,CONCATENATE("S",AA332))</f>
        <v>0</v>
      </c>
      <c r="AK332" s="154" t="e">
        <f t="shared" si="95"/>
        <v>#VALUE!</v>
      </c>
      <c r="AL332" s="154">
        <f>IF(AND(Times!J332="M",AJ332&gt;3),3, IF(AND(Times!J332="F",AJ332&gt;2),2,AJ332))</f>
        <v>0</v>
      </c>
      <c r="AM332" s="154" t="str">
        <f>IF(Times!J332="M",6, IF(Times!J332="F",4,""))</f>
        <v/>
      </c>
      <c r="AN332" s="154" t="str">
        <f t="shared" si="96"/>
        <v/>
      </c>
      <c r="AO332" s="154" t="str">
        <f t="shared" si="97"/>
        <v/>
      </c>
    </row>
    <row r="333" spans="26:41" x14ac:dyDescent="0.25">
      <c r="Z333" s="154" t="str">
        <f>CONCATENATE(AE333,Times!AD333)</f>
        <v/>
      </c>
      <c r="AA333" s="154" t="str">
        <f>Times!AD333</f>
        <v/>
      </c>
      <c r="AB333" s="154" t="e">
        <f>IF(AK333="Y",CONCATENATE(AA333,COUNTIFS($AK$2:AK333,"=Y",$AA$2:AA333,AA333)),"")</f>
        <v>#VALUE!</v>
      </c>
      <c r="AC333" s="154" t="str">
        <f>Times!K333</f>
        <v/>
      </c>
      <c r="AD333" s="154">
        <f>Times!G333</f>
        <v>27</v>
      </c>
      <c r="AE333" s="154" t="str">
        <f>IF(Times!D333&lt;&gt;"",IF(ISERR(SEARCH("V",Times!I333,1)),IF(ISERR(SEARCH("S",Times!I333,1)),"S","S"),"V"),"")</f>
        <v/>
      </c>
      <c r="AF333" s="161" t="str">
        <f>IF(Times!D333&lt;&gt;"",SUMIFS(Times!$G$2:G333,$AA$2:AA333,AA333,$AK$2:AK333,"Y"),"")</f>
        <v/>
      </c>
      <c r="AG333" s="154" t="str">
        <f>IF(Times!D333&lt;&gt;"",IF(AND(Times!J333="M",AI333+AL333=AM333,AK333="Y"),AF333,""),"")</f>
        <v/>
      </c>
      <c r="AH333" s="154" t="str">
        <f>IF(Times!D333&lt;&gt;"",IF(AND(Times!J333="F",AI333+AL333=AM333,AK333="Y"),AF333,""),"")</f>
        <v/>
      </c>
      <c r="AI333" s="154">
        <f>COUNTIF(Z$2:Z333,CONCATENATE("V",AA333))</f>
        <v>0</v>
      </c>
      <c r="AJ333" s="154">
        <f>COUNTIF(Z$2:Z333,CONCATENATE("S",AA333))</f>
        <v>0</v>
      </c>
      <c r="AK333" s="154" t="e">
        <f t="shared" si="95"/>
        <v>#VALUE!</v>
      </c>
      <c r="AL333" s="154">
        <f>IF(AND(Times!J333="M",AJ333&gt;3),3, IF(AND(Times!J333="F",AJ333&gt;2),2,AJ333))</f>
        <v>0</v>
      </c>
      <c r="AM333" s="154" t="str">
        <f>IF(Times!J333="M",6, IF(Times!J333="F",4,""))</f>
        <v/>
      </c>
      <c r="AN333" s="154" t="str">
        <f t="shared" si="96"/>
        <v/>
      </c>
      <c r="AO333" s="154" t="str">
        <f t="shared" si="97"/>
        <v/>
      </c>
    </row>
    <row r="334" spans="26:41" x14ac:dyDescent="0.25">
      <c r="Z334" s="154" t="str">
        <f>CONCATENATE(AE334,Times!AD334)</f>
        <v/>
      </c>
      <c r="AA334" s="154" t="str">
        <f>Times!AD334</f>
        <v/>
      </c>
      <c r="AB334" s="154" t="e">
        <f>IF(AK334="Y",CONCATENATE(AA334,COUNTIFS($AK$2:AK334,"=Y",$AA$2:AA334,AA334)),"")</f>
        <v>#VALUE!</v>
      </c>
      <c r="AC334" s="154" t="str">
        <f>Times!K334</f>
        <v/>
      </c>
      <c r="AD334" s="154">
        <f>Times!G334</f>
        <v>28</v>
      </c>
      <c r="AE334" s="154" t="str">
        <f>IF(Times!D334&lt;&gt;"",IF(ISERR(SEARCH("V",Times!I334,1)),IF(ISERR(SEARCH("S",Times!I334,1)),"S","S"),"V"),"")</f>
        <v/>
      </c>
      <c r="AF334" s="161" t="str">
        <f>IF(Times!D334&lt;&gt;"",SUMIFS(Times!$G$2:G334,$AA$2:AA334,AA334,$AK$2:AK334,"Y"),"")</f>
        <v/>
      </c>
      <c r="AG334" s="154" t="str">
        <f>IF(Times!D334&lt;&gt;"",IF(AND(Times!J334="M",AI334+AL334=AM334,AK334="Y"),AF334,""),"")</f>
        <v/>
      </c>
      <c r="AH334" s="154" t="str">
        <f>IF(Times!D334&lt;&gt;"",IF(AND(Times!J334="F",AI334+AL334=AM334,AK334="Y"),AF334,""),"")</f>
        <v/>
      </c>
      <c r="AI334" s="154">
        <f>COUNTIF(Z$2:Z334,CONCATENATE("V",AA334))</f>
        <v>0</v>
      </c>
      <c r="AJ334" s="154">
        <f>COUNTIF(Z$2:Z334,CONCATENATE("S",AA334))</f>
        <v>0</v>
      </c>
      <c r="AK334" s="154" t="e">
        <f t="shared" si="95"/>
        <v>#VALUE!</v>
      </c>
      <c r="AL334" s="154">
        <f>IF(AND(Times!J334="M",AJ334&gt;3),3, IF(AND(Times!J334="F",AJ334&gt;2),2,AJ334))</f>
        <v>0</v>
      </c>
      <c r="AM334" s="154" t="str">
        <f>IF(Times!J334="M",6, IF(Times!J334="F",4,""))</f>
        <v/>
      </c>
      <c r="AN334" s="154" t="str">
        <f t="shared" si="96"/>
        <v/>
      </c>
      <c r="AO334" s="154" t="str">
        <f t="shared" si="97"/>
        <v/>
      </c>
    </row>
    <row r="335" spans="26:41" x14ac:dyDescent="0.25">
      <c r="Z335" s="154" t="str">
        <f>CONCATENATE(AE335,Times!AD335)</f>
        <v/>
      </c>
      <c r="AA335" s="154" t="str">
        <f>Times!AD335</f>
        <v/>
      </c>
      <c r="AB335" s="154" t="e">
        <f>IF(AK335="Y",CONCATENATE(AA335,COUNTIFS($AK$2:AK335,"=Y",$AA$2:AA335,AA335)),"")</f>
        <v>#VALUE!</v>
      </c>
      <c r="AC335" s="154" t="str">
        <f>Times!K335</f>
        <v/>
      </c>
      <c r="AD335" s="154">
        <f>Times!G335</f>
        <v>29</v>
      </c>
      <c r="AE335" s="154" t="str">
        <f>IF(Times!D335&lt;&gt;"",IF(ISERR(SEARCH("V",Times!I335,1)),IF(ISERR(SEARCH("S",Times!I335,1)),"S","S"),"V"),"")</f>
        <v/>
      </c>
      <c r="AF335" s="161" t="str">
        <f>IF(Times!D335&lt;&gt;"",SUMIFS(Times!$G$2:G335,$AA$2:AA335,AA335,$AK$2:AK335,"Y"),"")</f>
        <v/>
      </c>
      <c r="AG335" s="154" t="str">
        <f>IF(Times!D335&lt;&gt;"",IF(AND(Times!J335="M",AI335+AL335=AM335,AK335="Y"),AF335,""),"")</f>
        <v/>
      </c>
      <c r="AH335" s="154" t="str">
        <f>IF(Times!D335&lt;&gt;"",IF(AND(Times!J335="F",AI335+AL335=AM335,AK335="Y"),AF335,""),"")</f>
        <v/>
      </c>
      <c r="AI335" s="154">
        <f>COUNTIF(Z$2:Z335,CONCATENATE("V",AA335))</f>
        <v>0</v>
      </c>
      <c r="AJ335" s="154">
        <f>COUNTIF(Z$2:Z335,CONCATENATE("S",AA335))</f>
        <v>0</v>
      </c>
      <c r="AK335" s="154" t="e">
        <f t="shared" si="95"/>
        <v>#VALUE!</v>
      </c>
      <c r="AL335" s="154">
        <f>IF(AND(Times!J335="M",AJ335&gt;3),3, IF(AND(Times!J335="F",AJ335&gt;2),2,AJ335))</f>
        <v>0</v>
      </c>
      <c r="AM335" s="154" t="str">
        <f>IF(Times!J335="M",6, IF(Times!J335="F",4,""))</f>
        <v/>
      </c>
      <c r="AN335" s="154" t="str">
        <f t="shared" si="96"/>
        <v/>
      </c>
      <c r="AO335" s="154" t="str">
        <f t="shared" si="97"/>
        <v/>
      </c>
    </row>
    <row r="336" spans="26:41" x14ac:dyDescent="0.25">
      <c r="Z336" s="154" t="str">
        <f>CONCATENATE(AE336,Times!AD336)</f>
        <v/>
      </c>
      <c r="AA336" s="154" t="str">
        <f>Times!AD336</f>
        <v/>
      </c>
      <c r="AB336" s="154" t="e">
        <f>IF(AK336="Y",CONCATENATE(AA336,COUNTIFS($AK$2:AK336,"=Y",$AA$2:AA336,AA336)),"")</f>
        <v>#VALUE!</v>
      </c>
      <c r="AC336" s="154" t="str">
        <f>Times!K336</f>
        <v/>
      </c>
      <c r="AD336" s="154">
        <f>Times!G336</f>
        <v>30</v>
      </c>
      <c r="AE336" s="154" t="str">
        <f>IF(Times!D336&lt;&gt;"",IF(ISERR(SEARCH("V",Times!I336,1)),IF(ISERR(SEARCH("S",Times!I336,1)),"S","S"),"V"),"")</f>
        <v/>
      </c>
      <c r="AF336" s="161" t="str">
        <f>IF(Times!D336&lt;&gt;"",SUMIFS(Times!$G$2:G336,$AA$2:AA336,AA336,$AK$2:AK336,"Y"),"")</f>
        <v/>
      </c>
      <c r="AG336" s="154" t="str">
        <f>IF(Times!D336&lt;&gt;"",IF(AND(Times!J336="M",AI336+AL336=AM336,AK336="Y"),AF336,""),"")</f>
        <v/>
      </c>
      <c r="AH336" s="154" t="str">
        <f>IF(Times!D336&lt;&gt;"",IF(AND(Times!J336="F",AI336+AL336=AM336,AK336="Y"),AF336,""),"")</f>
        <v/>
      </c>
      <c r="AI336" s="154">
        <f>COUNTIF(Z$2:Z336,CONCATENATE("V",AA336))</f>
        <v>0</v>
      </c>
      <c r="AJ336" s="154">
        <f>COUNTIF(Z$2:Z336,CONCATENATE("S",AA336))</f>
        <v>0</v>
      </c>
      <c r="AK336" s="154" t="e">
        <f t="shared" si="95"/>
        <v>#VALUE!</v>
      </c>
      <c r="AL336" s="154">
        <f>IF(AND(Times!J336="M",AJ336&gt;3),3, IF(AND(Times!J336="F",AJ336&gt;2),2,AJ336))</f>
        <v>0</v>
      </c>
      <c r="AM336" s="154" t="str">
        <f>IF(Times!J336="M",6, IF(Times!J336="F",4,""))</f>
        <v/>
      </c>
      <c r="AN336" s="154" t="str">
        <f t="shared" si="96"/>
        <v/>
      </c>
      <c r="AO336" s="154" t="str">
        <f t="shared" si="97"/>
        <v/>
      </c>
    </row>
    <row r="337" spans="26:41" x14ac:dyDescent="0.25">
      <c r="Z337" s="154" t="str">
        <f>CONCATENATE(AE337,Times!AD337)</f>
        <v/>
      </c>
      <c r="AA337" s="154" t="str">
        <f>Times!AD337</f>
        <v/>
      </c>
      <c r="AB337" s="154" t="e">
        <f>IF(AK337="Y",CONCATENATE(AA337,COUNTIFS($AK$2:AK337,"=Y",$AA$2:AA337,AA337)),"")</f>
        <v>#VALUE!</v>
      </c>
      <c r="AC337" s="154" t="str">
        <f>Times!K337</f>
        <v/>
      </c>
      <c r="AD337" s="154">
        <f>Times!G337</f>
        <v>31</v>
      </c>
      <c r="AE337" s="154" t="str">
        <f>IF(Times!D337&lt;&gt;"",IF(ISERR(SEARCH("V",Times!I337,1)),IF(ISERR(SEARCH("S",Times!I337,1)),"S","S"),"V"),"")</f>
        <v/>
      </c>
      <c r="AF337" s="161" t="str">
        <f>IF(Times!D337&lt;&gt;"",SUMIFS(Times!$G$2:G337,$AA$2:AA337,AA337,$AK$2:AK337,"Y"),"")</f>
        <v/>
      </c>
      <c r="AG337" s="154" t="str">
        <f>IF(Times!D337&lt;&gt;"",IF(AND(Times!J337="M",AI337+AL337=AM337,AK337="Y"),AF337,""),"")</f>
        <v/>
      </c>
      <c r="AH337" s="154" t="str">
        <f>IF(Times!D337&lt;&gt;"",IF(AND(Times!J337="F",AI337+AL337=AM337,AK337="Y"),AF337,""),"")</f>
        <v/>
      </c>
      <c r="AI337" s="154">
        <f>COUNTIF(Z$2:Z337,CONCATENATE("V",AA337))</f>
        <v>0</v>
      </c>
      <c r="AJ337" s="154">
        <f>COUNTIF(Z$2:Z337,CONCATENATE("S",AA337))</f>
        <v>0</v>
      </c>
      <c r="AK337" s="154" t="e">
        <f t="shared" si="95"/>
        <v>#VALUE!</v>
      </c>
      <c r="AL337" s="154">
        <f>IF(AND(Times!J337="M",AJ337&gt;3),3, IF(AND(Times!J337="F",AJ337&gt;2),2,AJ337))</f>
        <v>0</v>
      </c>
      <c r="AM337" s="154" t="str">
        <f>IF(Times!J337="M",6, IF(Times!J337="F",4,""))</f>
        <v/>
      </c>
      <c r="AN337" s="154" t="str">
        <f t="shared" si="96"/>
        <v/>
      </c>
      <c r="AO337" s="154" t="str">
        <f t="shared" si="97"/>
        <v/>
      </c>
    </row>
    <row r="338" spans="26:41" x14ac:dyDescent="0.25">
      <c r="Z338" s="154" t="str">
        <f>CONCATENATE(AE338,Times!AD338)</f>
        <v/>
      </c>
      <c r="AA338" s="154" t="str">
        <f>Times!AD338</f>
        <v/>
      </c>
      <c r="AB338" s="154" t="e">
        <f>IF(AK338="Y",CONCATENATE(AA338,COUNTIFS($AK$2:AK338,"=Y",$AA$2:AA338,AA338)),"")</f>
        <v>#VALUE!</v>
      </c>
      <c r="AC338" s="154" t="str">
        <f>Times!K338</f>
        <v/>
      </c>
      <c r="AD338" s="154">
        <f>Times!G338</f>
        <v>32</v>
      </c>
      <c r="AE338" s="154" t="str">
        <f>IF(Times!D338&lt;&gt;"",IF(ISERR(SEARCH("V",Times!I338,1)),IF(ISERR(SEARCH("S",Times!I338,1)),"S","S"),"V"),"")</f>
        <v/>
      </c>
      <c r="AF338" s="161" t="str">
        <f>IF(Times!D338&lt;&gt;"",SUMIFS(Times!$G$2:G338,$AA$2:AA338,AA338,$AK$2:AK338,"Y"),"")</f>
        <v/>
      </c>
      <c r="AG338" s="154" t="str">
        <f>IF(Times!D338&lt;&gt;"",IF(AND(Times!J338="M",AI338+AL338=AM338,AK338="Y"),AF338,""),"")</f>
        <v/>
      </c>
      <c r="AH338" s="154" t="str">
        <f>IF(Times!D338&lt;&gt;"",IF(AND(Times!J338="F",AI338+AL338=AM338,AK338="Y"),AF338,""),"")</f>
        <v/>
      </c>
      <c r="AI338" s="154">
        <f>COUNTIF(Z$2:Z338,CONCATENATE("V",AA338))</f>
        <v>0</v>
      </c>
      <c r="AJ338" s="154">
        <f>COUNTIF(Z$2:Z338,CONCATENATE("S",AA338))</f>
        <v>0</v>
      </c>
      <c r="AK338" s="154" t="e">
        <f t="shared" si="95"/>
        <v>#VALUE!</v>
      </c>
      <c r="AL338" s="154">
        <f>IF(AND(Times!J338="M",AJ338&gt;3),3, IF(AND(Times!J338="F",AJ338&gt;2),2,AJ338))</f>
        <v>0</v>
      </c>
      <c r="AM338" s="154" t="str">
        <f>IF(Times!J338="M",6, IF(Times!J338="F",4,""))</f>
        <v/>
      </c>
      <c r="AN338" s="154" t="str">
        <f t="shared" si="96"/>
        <v/>
      </c>
      <c r="AO338" s="154" t="str">
        <f t="shared" si="97"/>
        <v/>
      </c>
    </row>
    <row r="339" spans="26:41" x14ac:dyDescent="0.25">
      <c r="Z339" s="154" t="str">
        <f>CONCATENATE(AE339,Times!AD339)</f>
        <v/>
      </c>
      <c r="AA339" s="154" t="str">
        <f>Times!AD339</f>
        <v/>
      </c>
      <c r="AB339" s="154" t="e">
        <f>IF(AK339="Y",CONCATENATE(AA339,COUNTIFS($AK$2:AK339,"=Y",$AA$2:AA339,AA339)),"")</f>
        <v>#VALUE!</v>
      </c>
      <c r="AC339" s="154" t="str">
        <f>Times!K339</f>
        <v/>
      </c>
      <c r="AD339" s="154">
        <f>Times!G339</f>
        <v>33</v>
      </c>
      <c r="AE339" s="154" t="str">
        <f>IF(Times!D339&lt;&gt;"",IF(ISERR(SEARCH("V",Times!I339,1)),IF(ISERR(SEARCH("S",Times!I339,1)),"S","S"),"V"),"")</f>
        <v/>
      </c>
      <c r="AF339" s="161" t="str">
        <f>IF(Times!D339&lt;&gt;"",SUMIFS(Times!$G$2:G339,$AA$2:AA339,AA339,$AK$2:AK339,"Y"),"")</f>
        <v/>
      </c>
      <c r="AG339" s="154" t="str">
        <f>IF(Times!D339&lt;&gt;"",IF(AND(Times!J339="M",AI339+AL339=AM339,AK339="Y"),AF339,""),"")</f>
        <v/>
      </c>
      <c r="AH339" s="154" t="str">
        <f>IF(Times!D339&lt;&gt;"",IF(AND(Times!J339="F",AI339+AL339=AM339,AK339="Y"),AF339,""),"")</f>
        <v/>
      </c>
      <c r="AI339" s="154">
        <f>COUNTIF(Z$2:Z339,CONCATENATE("V",AA339))</f>
        <v>0</v>
      </c>
      <c r="AJ339" s="154">
        <f>COUNTIF(Z$2:Z339,CONCATENATE("S",AA339))</f>
        <v>0</v>
      </c>
      <c r="AK339" s="154" t="e">
        <f t="shared" si="95"/>
        <v>#VALUE!</v>
      </c>
      <c r="AL339" s="154">
        <f>IF(AND(Times!J339="M",AJ339&gt;3),3, IF(AND(Times!J339="F",AJ339&gt;2),2,AJ339))</f>
        <v>0</v>
      </c>
      <c r="AM339" s="154" t="str">
        <f>IF(Times!J339="M",6, IF(Times!J339="F",4,""))</f>
        <v/>
      </c>
      <c r="AN339" s="154" t="str">
        <f t="shared" si="96"/>
        <v/>
      </c>
      <c r="AO339" s="154" t="str">
        <f t="shared" si="97"/>
        <v/>
      </c>
    </row>
    <row r="340" spans="26:41" x14ac:dyDescent="0.25">
      <c r="Z340" s="154" t="str">
        <f>CONCATENATE(AE340,Times!AD340)</f>
        <v/>
      </c>
      <c r="AA340" s="154" t="str">
        <f>Times!AD340</f>
        <v/>
      </c>
      <c r="AB340" s="154" t="e">
        <f>IF(AK340="Y",CONCATENATE(AA340,COUNTIFS($AK$2:AK340,"=Y",$AA$2:AA340,AA340)),"")</f>
        <v>#VALUE!</v>
      </c>
      <c r="AC340" s="154" t="str">
        <f>Times!K340</f>
        <v/>
      </c>
      <c r="AD340" s="154">
        <f>Times!G340</f>
        <v>34</v>
      </c>
      <c r="AE340" s="154" t="str">
        <f>IF(Times!D340&lt;&gt;"",IF(ISERR(SEARCH("V",Times!I340,1)),IF(ISERR(SEARCH("S",Times!I340,1)),"S","S"),"V"),"")</f>
        <v/>
      </c>
      <c r="AF340" s="161" t="str">
        <f>IF(Times!D340&lt;&gt;"",SUMIFS(Times!$G$2:G340,$AA$2:AA340,AA340,$AK$2:AK340,"Y"),"")</f>
        <v/>
      </c>
      <c r="AG340" s="154" t="str">
        <f>IF(Times!D340&lt;&gt;"",IF(AND(Times!J340="M",AI340+AL340=AM340,AK340="Y"),AF340,""),"")</f>
        <v/>
      </c>
      <c r="AH340" s="154" t="str">
        <f>IF(Times!D340&lt;&gt;"",IF(AND(Times!J340="F",AI340+AL340=AM340,AK340="Y"),AF340,""),"")</f>
        <v/>
      </c>
      <c r="AI340" s="154">
        <f>COUNTIF(Z$2:Z340,CONCATENATE("V",AA340))</f>
        <v>0</v>
      </c>
      <c r="AJ340" s="154">
        <f>COUNTIF(Z$2:Z340,CONCATENATE("S",AA340))</f>
        <v>0</v>
      </c>
      <c r="AK340" s="154" t="e">
        <f t="shared" si="95"/>
        <v>#VALUE!</v>
      </c>
      <c r="AL340" s="154">
        <f>IF(AND(Times!J340="M",AJ340&gt;3),3, IF(AND(Times!J340="F",AJ340&gt;2),2,AJ340))</f>
        <v>0</v>
      </c>
      <c r="AM340" s="154" t="str">
        <f>IF(Times!J340="M",6, IF(Times!J340="F",4,""))</f>
        <v/>
      </c>
      <c r="AN340" s="154" t="str">
        <f t="shared" si="96"/>
        <v/>
      </c>
      <c r="AO340" s="154" t="str">
        <f t="shared" si="97"/>
        <v/>
      </c>
    </row>
    <row r="341" spans="26:41" x14ac:dyDescent="0.25">
      <c r="Z341" s="154" t="str">
        <f>CONCATENATE(AE341,Times!AD341)</f>
        <v/>
      </c>
      <c r="AA341" s="154" t="str">
        <f>Times!AD341</f>
        <v/>
      </c>
      <c r="AB341" s="154" t="e">
        <f>IF(AK341="Y",CONCATENATE(AA341,COUNTIFS($AK$2:AK341,"=Y",$AA$2:AA341,AA341)),"")</f>
        <v>#VALUE!</v>
      </c>
      <c r="AC341" s="154" t="str">
        <f>Times!K341</f>
        <v/>
      </c>
      <c r="AD341" s="154">
        <f>Times!G341</f>
        <v>35</v>
      </c>
      <c r="AE341" s="154" t="str">
        <f>IF(Times!D341&lt;&gt;"",IF(ISERR(SEARCH("V",Times!I341,1)),IF(ISERR(SEARCH("S",Times!I341,1)),"S","S"),"V"),"")</f>
        <v/>
      </c>
      <c r="AF341" s="161" t="str">
        <f>IF(Times!D341&lt;&gt;"",SUMIFS(Times!$G$2:G341,$AA$2:AA341,AA341,$AK$2:AK341,"Y"),"")</f>
        <v/>
      </c>
      <c r="AG341" s="154" t="str">
        <f>IF(Times!D341&lt;&gt;"",IF(AND(Times!J341="M",AI341+AL341=AM341,AK341="Y"),AF341,""),"")</f>
        <v/>
      </c>
      <c r="AH341" s="154" t="str">
        <f>IF(Times!D341&lt;&gt;"",IF(AND(Times!J341="F",AI341+AL341=AM341,AK341="Y"),AF341,""),"")</f>
        <v/>
      </c>
      <c r="AI341" s="154">
        <f>COUNTIF(Z$2:Z341,CONCATENATE("V",AA341))</f>
        <v>0</v>
      </c>
      <c r="AJ341" s="154">
        <f>COUNTIF(Z$2:Z341,CONCATENATE("S",AA341))</f>
        <v>0</v>
      </c>
      <c r="AK341" s="154" t="e">
        <f t="shared" si="95"/>
        <v>#VALUE!</v>
      </c>
      <c r="AL341" s="154">
        <f>IF(AND(Times!J341="M",AJ341&gt;3),3, IF(AND(Times!J341="F",AJ341&gt;2),2,AJ341))</f>
        <v>0</v>
      </c>
      <c r="AM341" s="154" t="str">
        <f>IF(Times!J341="M",6, IF(Times!J341="F",4,""))</f>
        <v/>
      </c>
      <c r="AN341" s="154" t="str">
        <f t="shared" si="96"/>
        <v/>
      </c>
      <c r="AO341" s="154" t="str">
        <f t="shared" si="97"/>
        <v/>
      </c>
    </row>
    <row r="342" spans="26:41" x14ac:dyDescent="0.25">
      <c r="Z342" s="154" t="str">
        <f>CONCATENATE(AE342,Times!AD342)</f>
        <v/>
      </c>
      <c r="AA342" s="154" t="str">
        <f>Times!AD342</f>
        <v/>
      </c>
      <c r="AB342" s="154" t="e">
        <f>IF(AK342="Y",CONCATENATE(AA342,COUNTIFS($AK$2:AK342,"=Y",$AA$2:AA342,AA342)),"")</f>
        <v>#VALUE!</v>
      </c>
      <c r="AC342" s="154" t="str">
        <f>Times!K342</f>
        <v/>
      </c>
      <c r="AD342" s="154">
        <f>Times!G342</f>
        <v>36</v>
      </c>
      <c r="AE342" s="154" t="str">
        <f>IF(Times!D342&lt;&gt;"",IF(ISERR(SEARCH("V",Times!I342,1)),IF(ISERR(SEARCH("S",Times!I342,1)),"S","S"),"V"),"")</f>
        <v/>
      </c>
      <c r="AF342" s="161" t="str">
        <f>IF(Times!D342&lt;&gt;"",SUMIFS(Times!$G$2:G342,$AA$2:AA342,AA342,$AK$2:AK342,"Y"),"")</f>
        <v/>
      </c>
      <c r="AG342" s="154" t="str">
        <f>IF(Times!D342&lt;&gt;"",IF(AND(Times!J342="M",AI342+AL342=AM342,AK342="Y"),AF342,""),"")</f>
        <v/>
      </c>
      <c r="AH342" s="154" t="str">
        <f>IF(Times!D342&lt;&gt;"",IF(AND(Times!J342="F",AI342+AL342=AM342,AK342="Y"),AF342,""),"")</f>
        <v/>
      </c>
      <c r="AI342" s="154">
        <f>COUNTIF(Z$2:Z342,CONCATENATE("V",AA342))</f>
        <v>0</v>
      </c>
      <c r="AJ342" s="154">
        <f>COUNTIF(Z$2:Z342,CONCATENATE("S",AA342))</f>
        <v>0</v>
      </c>
      <c r="AK342" s="154" t="e">
        <f t="shared" si="95"/>
        <v>#VALUE!</v>
      </c>
      <c r="AL342" s="154">
        <f>IF(AND(Times!J342="M",AJ342&gt;3),3, IF(AND(Times!J342="F",AJ342&gt;2),2,AJ342))</f>
        <v>0</v>
      </c>
      <c r="AM342" s="154" t="str">
        <f>IF(Times!J342="M",6, IF(Times!J342="F",4,""))</f>
        <v/>
      </c>
      <c r="AN342" s="154" t="str">
        <f t="shared" si="96"/>
        <v/>
      </c>
      <c r="AO342" s="154" t="str">
        <f t="shared" si="97"/>
        <v/>
      </c>
    </row>
    <row r="343" spans="26:41" x14ac:dyDescent="0.25">
      <c r="Z343" s="154" t="str">
        <f>CONCATENATE(AE343,Times!AD343)</f>
        <v/>
      </c>
      <c r="AA343" s="154" t="str">
        <f>Times!AD343</f>
        <v/>
      </c>
      <c r="AB343" s="154" t="e">
        <f>IF(AK343="Y",CONCATENATE(AA343,COUNTIFS($AK$2:AK343,"=Y",$AA$2:AA343,AA343)),"")</f>
        <v>#VALUE!</v>
      </c>
      <c r="AC343" s="154" t="str">
        <f>Times!K343</f>
        <v/>
      </c>
      <c r="AD343" s="154">
        <f>Times!G343</f>
        <v>37</v>
      </c>
      <c r="AE343" s="154" t="str">
        <f>IF(Times!D343&lt;&gt;"",IF(ISERR(SEARCH("V",Times!I343,1)),IF(ISERR(SEARCH("S",Times!I343,1)),"S","S"),"V"),"")</f>
        <v/>
      </c>
      <c r="AF343" s="161" t="str">
        <f>IF(Times!D343&lt;&gt;"",SUMIFS(Times!$G$2:G343,$AA$2:AA343,AA343,$AK$2:AK343,"Y"),"")</f>
        <v/>
      </c>
      <c r="AG343" s="154" t="str">
        <f>IF(Times!D343&lt;&gt;"",IF(AND(Times!J343="M",AI343+AL343=AM343,AK343="Y"),AF343,""),"")</f>
        <v/>
      </c>
      <c r="AH343" s="154" t="str">
        <f>IF(Times!D343&lt;&gt;"",IF(AND(Times!J343="F",AI343+AL343=AM343,AK343="Y"),AF343,""),"")</f>
        <v/>
      </c>
      <c r="AI343" s="154">
        <f>COUNTIF(Z$2:Z343,CONCATENATE("V",AA343))</f>
        <v>0</v>
      </c>
      <c r="AJ343" s="154">
        <f>COUNTIF(Z$2:Z343,CONCATENATE("S",AA343))</f>
        <v>0</v>
      </c>
      <c r="AK343" s="154" t="e">
        <f t="shared" si="95"/>
        <v>#VALUE!</v>
      </c>
      <c r="AL343" s="154">
        <f>IF(AND(Times!J343="M",AJ343&gt;3),3, IF(AND(Times!J343="F",AJ343&gt;2),2,AJ343))</f>
        <v>0</v>
      </c>
      <c r="AM343" s="154" t="str">
        <f>IF(Times!J343="M",6, IF(Times!J343="F",4,""))</f>
        <v/>
      </c>
      <c r="AN343" s="154" t="str">
        <f t="shared" si="96"/>
        <v/>
      </c>
      <c r="AO343" s="154" t="str">
        <f t="shared" si="97"/>
        <v/>
      </c>
    </row>
    <row r="344" spans="26:41" x14ac:dyDescent="0.25">
      <c r="Z344" s="154" t="str">
        <f>CONCATENATE(AE344,Times!AD344)</f>
        <v/>
      </c>
      <c r="AA344" s="154" t="str">
        <f>Times!AD344</f>
        <v/>
      </c>
      <c r="AB344" s="154" t="e">
        <f>IF(AK344="Y",CONCATENATE(AA344,COUNTIFS($AK$2:AK344,"=Y",$AA$2:AA344,AA344)),"")</f>
        <v>#VALUE!</v>
      </c>
      <c r="AC344" s="154" t="str">
        <f>Times!K344</f>
        <v/>
      </c>
      <c r="AD344" s="154">
        <f>Times!G344</f>
        <v>38</v>
      </c>
      <c r="AE344" s="154" t="str">
        <f>IF(Times!D344&lt;&gt;"",IF(ISERR(SEARCH("V",Times!I344,1)),IF(ISERR(SEARCH("S",Times!I344,1)),"S","S"),"V"),"")</f>
        <v/>
      </c>
      <c r="AF344" s="161" t="str">
        <f>IF(Times!D344&lt;&gt;"",SUMIFS(Times!$G$2:G344,$AA$2:AA344,AA344,$AK$2:AK344,"Y"),"")</f>
        <v/>
      </c>
      <c r="AG344" s="154" t="str">
        <f>IF(Times!D344&lt;&gt;"",IF(AND(Times!J344="M",AI344+AL344=AM344,AK344="Y"),AF344,""),"")</f>
        <v/>
      </c>
      <c r="AH344" s="154" t="str">
        <f>IF(Times!D344&lt;&gt;"",IF(AND(Times!J344="F",AI344+AL344=AM344,AK344="Y"),AF344,""),"")</f>
        <v/>
      </c>
      <c r="AI344" s="154">
        <f>COUNTIF(Z$2:Z344,CONCATENATE("V",AA344))</f>
        <v>0</v>
      </c>
      <c r="AJ344" s="154">
        <f>COUNTIF(Z$2:Z344,CONCATENATE("S",AA344))</f>
        <v>0</v>
      </c>
      <c r="AK344" s="154" t="e">
        <f t="shared" si="95"/>
        <v>#VALUE!</v>
      </c>
      <c r="AL344" s="154">
        <f>IF(AND(Times!J344="M",AJ344&gt;3),3, IF(AND(Times!J344="F",AJ344&gt;2),2,AJ344))</f>
        <v>0</v>
      </c>
      <c r="AM344" s="154" t="str">
        <f>IF(Times!J344="M",6, IF(Times!J344="F",4,""))</f>
        <v/>
      </c>
      <c r="AN344" s="154" t="str">
        <f t="shared" si="96"/>
        <v/>
      </c>
      <c r="AO344" s="154" t="str">
        <f t="shared" si="97"/>
        <v/>
      </c>
    </row>
    <row r="345" spans="26:41" x14ac:dyDescent="0.25">
      <c r="Z345" s="154" t="str">
        <f>CONCATENATE(AE345,Times!AD345)</f>
        <v/>
      </c>
      <c r="AA345" s="154" t="str">
        <f>Times!AD345</f>
        <v/>
      </c>
      <c r="AB345" s="154" t="e">
        <f>IF(AK345="Y",CONCATENATE(AA345,COUNTIFS($AK$2:AK345,"=Y",$AA$2:AA345,AA345)),"")</f>
        <v>#VALUE!</v>
      </c>
      <c r="AC345" s="154" t="str">
        <f>Times!K345</f>
        <v/>
      </c>
      <c r="AD345" s="154">
        <f>Times!G345</f>
        <v>39</v>
      </c>
      <c r="AE345" s="154" t="str">
        <f>IF(Times!D345&lt;&gt;"",IF(ISERR(SEARCH("V",Times!I345,1)),IF(ISERR(SEARCH("S",Times!I345,1)),"S","S"),"V"),"")</f>
        <v/>
      </c>
      <c r="AF345" s="161" t="str">
        <f>IF(Times!D345&lt;&gt;"",SUMIFS(Times!$G$2:G345,$AA$2:AA345,AA345,$AK$2:AK345,"Y"),"")</f>
        <v/>
      </c>
      <c r="AG345" s="154" t="str">
        <f>IF(Times!D345&lt;&gt;"",IF(AND(Times!J345="M",AI345+AL345=AM345,AK345="Y"),AF345,""),"")</f>
        <v/>
      </c>
      <c r="AH345" s="154" t="str">
        <f>IF(Times!D345&lt;&gt;"",IF(AND(Times!J345="F",AI345+AL345=AM345,AK345="Y"),AF345,""),"")</f>
        <v/>
      </c>
      <c r="AI345" s="154">
        <f>COUNTIF(Z$2:Z345,CONCATENATE("V",AA345))</f>
        <v>0</v>
      </c>
      <c r="AJ345" s="154">
        <f>COUNTIF(Z$2:Z345,CONCATENATE("S",AA345))</f>
        <v>0</v>
      </c>
      <c r="AK345" s="154" t="e">
        <f t="shared" si="95"/>
        <v>#VALUE!</v>
      </c>
      <c r="AL345" s="154">
        <f>IF(AND(Times!J345="M",AJ345&gt;3),3, IF(AND(Times!J345="F",AJ345&gt;2),2,AJ345))</f>
        <v>0</v>
      </c>
      <c r="AM345" s="154" t="str">
        <f>IF(Times!J345="M",6, IF(Times!J345="F",4,""))</f>
        <v/>
      </c>
      <c r="AN345" s="154" t="str">
        <f t="shared" si="96"/>
        <v/>
      </c>
      <c r="AO345" s="154" t="str">
        <f t="shared" si="97"/>
        <v/>
      </c>
    </row>
    <row r="346" spans="26:41" x14ac:dyDescent="0.25">
      <c r="Z346" s="154" t="str">
        <f>CONCATENATE(AE346,Times!AD346)</f>
        <v/>
      </c>
      <c r="AA346" s="154" t="str">
        <f>Times!AD346</f>
        <v/>
      </c>
      <c r="AB346" s="154" t="e">
        <f>IF(AK346="Y",CONCATENATE(AA346,COUNTIFS($AK$2:AK346,"=Y",$AA$2:AA346,AA346)),"")</f>
        <v>#VALUE!</v>
      </c>
      <c r="AC346" s="154" t="str">
        <f>Times!K346</f>
        <v/>
      </c>
      <c r="AD346" s="154">
        <f>Times!G346</f>
        <v>40</v>
      </c>
      <c r="AE346" s="154" t="str">
        <f>IF(Times!D346&lt;&gt;"",IF(ISERR(SEARCH("V",Times!I346,1)),IF(ISERR(SEARCH("S",Times!I346,1)),"S","S"),"V"),"")</f>
        <v/>
      </c>
      <c r="AF346" s="161" t="str">
        <f>IF(Times!D346&lt;&gt;"",SUMIFS(Times!$G$2:G346,$AA$2:AA346,AA346,$AK$2:AK346,"Y"),"")</f>
        <v/>
      </c>
      <c r="AG346" s="154" t="str">
        <f>IF(Times!D346&lt;&gt;"",IF(AND(Times!J346="M",AI346+AL346=AM346,AK346="Y"),AF346,""),"")</f>
        <v/>
      </c>
      <c r="AH346" s="154" t="str">
        <f>IF(Times!D346&lt;&gt;"",IF(AND(Times!J346="F",AI346+AL346=AM346,AK346="Y"),AF346,""),"")</f>
        <v/>
      </c>
      <c r="AI346" s="154">
        <f>COUNTIF(Z$2:Z346,CONCATENATE("V",AA346))</f>
        <v>0</v>
      </c>
      <c r="AJ346" s="154">
        <f>COUNTIF(Z$2:Z346,CONCATENATE("S",AA346))</f>
        <v>0</v>
      </c>
      <c r="AK346" s="154" t="e">
        <f t="shared" si="95"/>
        <v>#VALUE!</v>
      </c>
      <c r="AL346" s="154">
        <f>IF(AND(Times!J346="M",AJ346&gt;3),3, IF(AND(Times!J346="F",AJ346&gt;2),2,AJ346))</f>
        <v>0</v>
      </c>
      <c r="AM346" s="154" t="str">
        <f>IF(Times!J346="M",6, IF(Times!J346="F",4,""))</f>
        <v/>
      </c>
      <c r="AN346" s="154" t="str">
        <f t="shared" si="96"/>
        <v/>
      </c>
      <c r="AO346" s="154" t="str">
        <f t="shared" si="97"/>
        <v/>
      </c>
    </row>
    <row r="347" spans="26:41" x14ac:dyDescent="0.25">
      <c r="Z347" s="154" t="str">
        <f>CONCATENATE(AE347,Times!AD347)</f>
        <v/>
      </c>
      <c r="AA347" s="154" t="str">
        <f>Times!AD347</f>
        <v/>
      </c>
      <c r="AB347" s="154" t="e">
        <f>IF(AK347="Y",CONCATENATE(AA347,COUNTIFS($AK$2:AK347,"=Y",$AA$2:AA347,AA347)),"")</f>
        <v>#VALUE!</v>
      </c>
      <c r="AC347" s="154" t="str">
        <f>Times!K347</f>
        <v/>
      </c>
      <c r="AD347" s="154">
        <f>Times!G347</f>
        <v>41</v>
      </c>
      <c r="AE347" s="154" t="str">
        <f>IF(Times!D347&lt;&gt;"",IF(ISERR(SEARCH("V",Times!I347,1)),IF(ISERR(SEARCH("S",Times!I347,1)),"S","S"),"V"),"")</f>
        <v/>
      </c>
      <c r="AF347" s="161" t="str">
        <f>IF(Times!D347&lt;&gt;"",SUMIFS(Times!$G$2:G347,$AA$2:AA347,AA347,$AK$2:AK347,"Y"),"")</f>
        <v/>
      </c>
      <c r="AG347" s="154" t="str">
        <f>IF(Times!D347&lt;&gt;"",IF(AND(Times!J347="M",AI347+AL347=AM347,AK347="Y"),AF347,""),"")</f>
        <v/>
      </c>
      <c r="AH347" s="154" t="str">
        <f>IF(Times!D347&lt;&gt;"",IF(AND(Times!J347="F",AI347+AL347=AM347,AK347="Y"),AF347,""),"")</f>
        <v/>
      </c>
      <c r="AI347" s="154">
        <f>COUNTIF(Z$2:Z347,CONCATENATE("V",AA347))</f>
        <v>0</v>
      </c>
      <c r="AJ347" s="154">
        <f>COUNTIF(Z$2:Z347,CONCATENATE("S",AA347))</f>
        <v>0</v>
      </c>
      <c r="AK347" s="154" t="e">
        <f t="shared" si="95"/>
        <v>#VALUE!</v>
      </c>
      <c r="AL347" s="154">
        <f>IF(AND(Times!J347="M",AJ347&gt;3),3, IF(AND(Times!J347="F",AJ347&gt;2),2,AJ347))</f>
        <v>0</v>
      </c>
      <c r="AM347" s="154" t="str">
        <f>IF(Times!J347="M",6, IF(Times!J347="F",4,""))</f>
        <v/>
      </c>
      <c r="AN347" s="154" t="str">
        <f t="shared" si="96"/>
        <v/>
      </c>
      <c r="AO347" s="154" t="str">
        <f t="shared" si="97"/>
        <v/>
      </c>
    </row>
    <row r="348" spans="26:41" x14ac:dyDescent="0.25">
      <c r="Z348" s="154" t="str">
        <f>CONCATENATE(AE348,Times!AD348)</f>
        <v/>
      </c>
      <c r="AA348" s="154" t="str">
        <f>Times!AD348</f>
        <v/>
      </c>
      <c r="AB348" s="154" t="e">
        <f>IF(AK348="Y",CONCATENATE(AA348,COUNTIFS($AK$2:AK348,"=Y",$AA$2:AA348,AA348)),"")</f>
        <v>#VALUE!</v>
      </c>
      <c r="AC348" s="154" t="str">
        <f>Times!K348</f>
        <v/>
      </c>
      <c r="AD348" s="154">
        <f>Times!G348</f>
        <v>42</v>
      </c>
      <c r="AE348" s="154" t="str">
        <f>IF(Times!D348&lt;&gt;"",IF(ISERR(SEARCH("V",Times!I348,1)),IF(ISERR(SEARCH("S",Times!I348,1)),"S","S"),"V"),"")</f>
        <v/>
      </c>
      <c r="AF348" s="161" t="str">
        <f>IF(Times!D348&lt;&gt;"",SUMIFS(Times!$G$2:G348,$AA$2:AA348,AA348,$AK$2:AK348,"Y"),"")</f>
        <v/>
      </c>
      <c r="AG348" s="154" t="str">
        <f>IF(Times!D348&lt;&gt;"",IF(AND(Times!J348="M",AI348+AL348=AM348,AK348="Y"),AF348,""),"")</f>
        <v/>
      </c>
      <c r="AH348" s="154" t="str">
        <f>IF(Times!D348&lt;&gt;"",IF(AND(Times!J348="F",AI348+AL348=AM348,AK348="Y"),AF348,""),"")</f>
        <v/>
      </c>
      <c r="AI348" s="154">
        <f>COUNTIF(Z$2:Z348,CONCATENATE("V",AA348))</f>
        <v>0</v>
      </c>
      <c r="AJ348" s="154">
        <f>COUNTIF(Z$2:Z348,CONCATENATE("S",AA348))</f>
        <v>0</v>
      </c>
      <c r="AK348" s="154" t="e">
        <f t="shared" si="95"/>
        <v>#VALUE!</v>
      </c>
      <c r="AL348" s="154">
        <f>IF(AND(Times!J348="M",AJ348&gt;3),3, IF(AND(Times!J348="F",AJ348&gt;2),2,AJ348))</f>
        <v>0</v>
      </c>
      <c r="AM348" s="154" t="str">
        <f>IF(Times!J348="M",6, IF(Times!J348="F",4,""))</f>
        <v/>
      </c>
      <c r="AN348" s="154" t="str">
        <f t="shared" si="96"/>
        <v/>
      </c>
      <c r="AO348" s="154" t="str">
        <f t="shared" si="97"/>
        <v/>
      </c>
    </row>
    <row r="349" spans="26:41" x14ac:dyDescent="0.25">
      <c r="Z349" s="154" t="str">
        <f>CONCATENATE(AE349,Times!AD349)</f>
        <v/>
      </c>
      <c r="AA349" s="154" t="str">
        <f>Times!AD349</f>
        <v/>
      </c>
      <c r="AB349" s="154" t="e">
        <f>IF(AK349="Y",CONCATENATE(AA349,COUNTIFS($AK$2:AK349,"=Y",$AA$2:AA349,AA349)),"")</f>
        <v>#VALUE!</v>
      </c>
      <c r="AC349" s="154" t="str">
        <f>Times!K349</f>
        <v/>
      </c>
      <c r="AD349" s="154">
        <f>Times!G349</f>
        <v>43</v>
      </c>
      <c r="AE349" s="154" t="str">
        <f>IF(Times!D349&lt;&gt;"",IF(ISERR(SEARCH("V",Times!I349,1)),IF(ISERR(SEARCH("S",Times!I349,1)),"S","S"),"V"),"")</f>
        <v/>
      </c>
      <c r="AF349" s="161" t="str">
        <f>IF(Times!D349&lt;&gt;"",SUMIFS(Times!$G$2:G349,$AA$2:AA349,AA349,$AK$2:AK349,"Y"),"")</f>
        <v/>
      </c>
      <c r="AG349" s="154" t="str">
        <f>IF(Times!D349&lt;&gt;"",IF(AND(Times!J349="M",AI349+AL349=AM349,AK349="Y"),AF349,""),"")</f>
        <v/>
      </c>
      <c r="AH349" s="154" t="str">
        <f>IF(Times!D349&lt;&gt;"",IF(AND(Times!J349="F",AI349+AL349=AM349,AK349="Y"),AF349,""),"")</f>
        <v/>
      </c>
      <c r="AI349" s="154">
        <f>COUNTIF(Z$2:Z349,CONCATENATE("V",AA349))</f>
        <v>0</v>
      </c>
      <c r="AJ349" s="154">
        <f>COUNTIF(Z$2:Z349,CONCATENATE("S",AA349))</f>
        <v>0</v>
      </c>
      <c r="AK349" s="154" t="e">
        <f t="shared" si="95"/>
        <v>#VALUE!</v>
      </c>
      <c r="AL349" s="154">
        <f>IF(AND(Times!J349="M",AJ349&gt;3),3, IF(AND(Times!J349="F",AJ349&gt;2),2,AJ349))</f>
        <v>0</v>
      </c>
      <c r="AM349" s="154" t="str">
        <f>IF(Times!J349="M",6, IF(Times!J349="F",4,""))</f>
        <v/>
      </c>
      <c r="AN349" s="154" t="str">
        <f t="shared" si="96"/>
        <v/>
      </c>
      <c r="AO349" s="154" t="str">
        <f t="shared" si="97"/>
        <v/>
      </c>
    </row>
    <row r="350" spans="26:41" x14ac:dyDescent="0.25">
      <c r="Z350" s="154" t="str">
        <f>CONCATENATE(AE350,Times!AD350)</f>
        <v/>
      </c>
      <c r="AA350" s="154" t="str">
        <f>Times!AD350</f>
        <v/>
      </c>
      <c r="AB350" s="154" t="e">
        <f>IF(AK350="Y",CONCATENATE(AA350,COUNTIFS($AK$2:AK350,"=Y",$AA$2:AA350,AA350)),"")</f>
        <v>#VALUE!</v>
      </c>
      <c r="AC350" s="154" t="str">
        <f>Times!K350</f>
        <v/>
      </c>
      <c r="AD350" s="154">
        <f>Times!G350</f>
        <v>44</v>
      </c>
      <c r="AE350" s="154" t="str">
        <f>IF(Times!D350&lt;&gt;"",IF(ISERR(SEARCH("V",Times!I350,1)),IF(ISERR(SEARCH("S",Times!I350,1)),"S","S"),"V"),"")</f>
        <v/>
      </c>
      <c r="AF350" s="161" t="str">
        <f>IF(Times!D350&lt;&gt;"",SUMIFS(Times!$G$2:G350,$AA$2:AA350,AA350,$AK$2:AK350,"Y"),"")</f>
        <v/>
      </c>
      <c r="AG350" s="154" t="str">
        <f>IF(Times!D350&lt;&gt;"",IF(AND(Times!J350="M",AI350+AL350=AM350,AK350="Y"),AF350,""),"")</f>
        <v/>
      </c>
      <c r="AH350" s="154" t="str">
        <f>IF(Times!D350&lt;&gt;"",IF(AND(Times!J350="F",AI350+AL350=AM350,AK350="Y"),AF350,""),"")</f>
        <v/>
      </c>
      <c r="AI350" s="154">
        <f>COUNTIF(Z$2:Z350,CONCATENATE("V",AA350))</f>
        <v>0</v>
      </c>
      <c r="AJ350" s="154">
        <f>COUNTIF(Z$2:Z350,CONCATENATE("S",AA350))</f>
        <v>0</v>
      </c>
      <c r="AK350" s="154" t="e">
        <f t="shared" si="95"/>
        <v>#VALUE!</v>
      </c>
      <c r="AL350" s="154">
        <f>IF(AND(Times!J350="M",AJ350&gt;3),3, IF(AND(Times!J350="F",AJ350&gt;2),2,AJ350))</f>
        <v>0</v>
      </c>
      <c r="AM350" s="154" t="str">
        <f>IF(Times!J350="M",6, IF(Times!J350="F",4,""))</f>
        <v/>
      </c>
      <c r="AN350" s="154" t="str">
        <f t="shared" si="96"/>
        <v/>
      </c>
      <c r="AO350" s="154" t="str">
        <f t="shared" si="97"/>
        <v/>
      </c>
    </row>
    <row r="351" spans="26:41" x14ac:dyDescent="0.25">
      <c r="Z351" s="154" t="str">
        <f>CONCATENATE(AE351,Times!AD351)</f>
        <v/>
      </c>
      <c r="AA351" s="154" t="str">
        <f>Times!AD351</f>
        <v/>
      </c>
      <c r="AB351" s="154" t="e">
        <f>IF(AK351="Y",CONCATENATE(AA351,COUNTIFS($AK$2:AK351,"=Y",$AA$2:AA351,AA351)),"")</f>
        <v>#VALUE!</v>
      </c>
      <c r="AC351" s="154" t="str">
        <f>Times!K351</f>
        <v/>
      </c>
      <c r="AD351" s="154">
        <f>Times!G351</f>
        <v>45</v>
      </c>
      <c r="AE351" s="154" t="str">
        <f>IF(Times!D351&lt;&gt;"",IF(ISERR(SEARCH("V",Times!I351,1)),IF(ISERR(SEARCH("S",Times!I351,1)),"S","S"),"V"),"")</f>
        <v/>
      </c>
      <c r="AF351" s="161" t="str">
        <f>IF(Times!D351&lt;&gt;"",SUMIFS(Times!$G$2:G351,$AA$2:AA351,AA351,$AK$2:AK351,"Y"),"")</f>
        <v/>
      </c>
      <c r="AG351" s="154" t="str">
        <f>IF(Times!D351&lt;&gt;"",IF(AND(Times!J351="M",AI351+AL351=AM351,AK351="Y"),AF351,""),"")</f>
        <v/>
      </c>
      <c r="AH351" s="154" t="str">
        <f>IF(Times!D351&lt;&gt;"",IF(AND(Times!J351="F",AI351+AL351=AM351,AK351="Y"),AF351,""),"")</f>
        <v/>
      </c>
      <c r="AI351" s="154">
        <f>COUNTIF(Z$2:Z351,CONCATENATE("V",AA351))</f>
        <v>0</v>
      </c>
      <c r="AJ351" s="154">
        <f>COUNTIF(Z$2:Z351,CONCATENATE("S",AA351))</f>
        <v>0</v>
      </c>
      <c r="AK351" s="154" t="e">
        <f t="shared" si="95"/>
        <v>#VALUE!</v>
      </c>
      <c r="AL351" s="154">
        <f>IF(AND(Times!J351="M",AJ351&gt;3),3, IF(AND(Times!J351="F",AJ351&gt;2),2,AJ351))</f>
        <v>0</v>
      </c>
      <c r="AM351" s="154" t="str">
        <f>IF(Times!J351="M",6, IF(Times!J351="F",4,""))</f>
        <v/>
      </c>
      <c r="AN351" s="154" t="str">
        <f t="shared" si="96"/>
        <v/>
      </c>
      <c r="AO351" s="154" t="str">
        <f t="shared" si="97"/>
        <v/>
      </c>
    </row>
    <row r="352" spans="26:41" x14ac:dyDescent="0.25">
      <c r="Z352" s="154" t="str">
        <f>CONCATENATE(AE352,Times!AD352)</f>
        <v/>
      </c>
      <c r="AA352" s="154" t="str">
        <f>Times!AD352</f>
        <v/>
      </c>
      <c r="AB352" s="154" t="e">
        <f>IF(AK352="Y",CONCATENATE(AA352,COUNTIFS($AK$2:AK352,"=Y",$AA$2:AA352,AA352)),"")</f>
        <v>#VALUE!</v>
      </c>
      <c r="AC352" s="154" t="str">
        <f>Times!K352</f>
        <v/>
      </c>
      <c r="AD352" s="154">
        <f>Times!G352</f>
        <v>46</v>
      </c>
      <c r="AE352" s="154" t="str">
        <f>IF(Times!D352&lt;&gt;"",IF(ISERR(SEARCH("V",Times!I352,1)),IF(ISERR(SEARCH("S",Times!I352,1)),"S","S"),"V"),"")</f>
        <v/>
      </c>
      <c r="AF352" s="161" t="str">
        <f>IF(Times!D352&lt;&gt;"",SUMIFS(Times!$G$2:G352,$AA$2:AA352,AA352,$AK$2:AK352,"Y"),"")</f>
        <v/>
      </c>
      <c r="AG352" s="154" t="str">
        <f>IF(Times!D352&lt;&gt;"",IF(AND(Times!J352="M",AI352+AL352=AM352,AK352="Y"),AF352,""),"")</f>
        <v/>
      </c>
      <c r="AH352" s="154" t="str">
        <f>IF(Times!D352&lt;&gt;"",IF(AND(Times!J352="F",AI352+AL352=AM352,AK352="Y"),AF352,""),"")</f>
        <v/>
      </c>
      <c r="AI352" s="154">
        <f>COUNTIF(Z$2:Z352,CONCATENATE("V",AA352))</f>
        <v>0</v>
      </c>
      <c r="AJ352" s="154">
        <f>COUNTIF(Z$2:Z352,CONCATENATE("S",AA352))</f>
        <v>0</v>
      </c>
      <c r="AK352" s="154" t="e">
        <f t="shared" si="95"/>
        <v>#VALUE!</v>
      </c>
      <c r="AL352" s="154">
        <f>IF(AND(Times!J352="M",AJ352&gt;3),3, IF(AND(Times!J352="F",AJ352&gt;2),2,AJ352))</f>
        <v>0</v>
      </c>
      <c r="AM352" s="154" t="str">
        <f>IF(Times!J352="M",6, IF(Times!J352="F",4,""))</f>
        <v/>
      </c>
      <c r="AN352" s="154" t="str">
        <f t="shared" si="96"/>
        <v/>
      </c>
      <c r="AO352" s="154" t="str">
        <f t="shared" si="97"/>
        <v/>
      </c>
    </row>
    <row r="353" spans="26:41" x14ac:dyDescent="0.25">
      <c r="Z353" s="154" t="str">
        <f>CONCATENATE(AE353,Times!AD353)</f>
        <v/>
      </c>
      <c r="AA353" s="154" t="str">
        <f>Times!AD353</f>
        <v/>
      </c>
      <c r="AB353" s="154" t="e">
        <f>IF(AK353="Y",CONCATENATE(AA353,COUNTIFS($AK$2:AK353,"=Y",$AA$2:AA353,AA353)),"")</f>
        <v>#VALUE!</v>
      </c>
      <c r="AC353" s="154" t="str">
        <f>Times!K353</f>
        <v/>
      </c>
      <c r="AD353" s="154">
        <f>Times!G353</f>
        <v>47</v>
      </c>
      <c r="AE353" s="154" t="str">
        <f>IF(Times!D353&lt;&gt;"",IF(ISERR(SEARCH("V",Times!I353,1)),IF(ISERR(SEARCH("S",Times!I353,1)),"S","S"),"V"),"")</f>
        <v/>
      </c>
      <c r="AF353" s="161" t="str">
        <f>IF(Times!D353&lt;&gt;"",SUMIFS(Times!$G$2:G353,$AA$2:AA353,AA353,$AK$2:AK353,"Y"),"")</f>
        <v/>
      </c>
      <c r="AG353" s="154" t="str">
        <f>IF(Times!D353&lt;&gt;"",IF(AND(Times!J353="M",AI353+AL353=AM353,AK353="Y"),AF353,""),"")</f>
        <v/>
      </c>
      <c r="AH353" s="154" t="str">
        <f>IF(Times!D353&lt;&gt;"",IF(AND(Times!J353="F",AI353+AL353=AM353,AK353="Y"),AF353,""),"")</f>
        <v/>
      </c>
      <c r="AI353" s="154">
        <f>COUNTIF(Z$2:Z353,CONCATENATE("V",AA353))</f>
        <v>0</v>
      </c>
      <c r="AJ353" s="154">
        <f>COUNTIF(Z$2:Z353,CONCATENATE("S",AA353))</f>
        <v>0</v>
      </c>
      <c r="AK353" s="154" t="e">
        <f t="shared" si="95"/>
        <v>#VALUE!</v>
      </c>
      <c r="AL353" s="154">
        <f>IF(AND(Times!J353="M",AJ353&gt;3),3, IF(AND(Times!J353="F",AJ353&gt;2),2,AJ353))</f>
        <v>0</v>
      </c>
      <c r="AM353" s="154" t="str">
        <f>IF(Times!J353="M",6, IF(Times!J353="F",4,""))</f>
        <v/>
      </c>
      <c r="AN353" s="154" t="str">
        <f t="shared" si="96"/>
        <v/>
      </c>
      <c r="AO353" s="154" t="str">
        <f t="shared" si="97"/>
        <v/>
      </c>
    </row>
    <row r="354" spans="26:41" x14ac:dyDescent="0.25">
      <c r="Z354" s="154" t="str">
        <f>CONCATENATE(AE354,Times!AD354)</f>
        <v/>
      </c>
      <c r="AA354" s="154" t="str">
        <f>Times!AD354</f>
        <v/>
      </c>
      <c r="AB354" s="154" t="e">
        <f>IF(AK354="Y",CONCATENATE(AA354,COUNTIFS($AK$2:AK354,"=Y",$AA$2:AA354,AA354)),"")</f>
        <v>#VALUE!</v>
      </c>
      <c r="AC354" s="154" t="str">
        <f>Times!K354</f>
        <v/>
      </c>
      <c r="AD354" s="154">
        <f>Times!G354</f>
        <v>48</v>
      </c>
      <c r="AE354" s="154" t="str">
        <f>IF(Times!D354&lt;&gt;"",IF(ISERR(SEARCH("V",Times!I354,1)),IF(ISERR(SEARCH("S",Times!I354,1)),"S","S"),"V"),"")</f>
        <v/>
      </c>
      <c r="AF354" s="161" t="str">
        <f>IF(Times!D354&lt;&gt;"",SUMIFS(Times!$G$2:G354,$AA$2:AA354,AA354,$AK$2:AK354,"Y"),"")</f>
        <v/>
      </c>
      <c r="AG354" s="154" t="str">
        <f>IF(Times!D354&lt;&gt;"",IF(AND(Times!J354="M",AI354+AL354=AM354,AK354="Y"),AF354,""),"")</f>
        <v/>
      </c>
      <c r="AH354" s="154" t="str">
        <f>IF(Times!D354&lt;&gt;"",IF(AND(Times!J354="F",AI354+AL354=AM354,AK354="Y"),AF354,""),"")</f>
        <v/>
      </c>
      <c r="AI354" s="154">
        <f>COUNTIF(Z$2:Z354,CONCATENATE("V",AA354))</f>
        <v>0</v>
      </c>
      <c r="AJ354" s="154">
        <f>COUNTIF(Z$2:Z354,CONCATENATE("S",AA354))</f>
        <v>0</v>
      </c>
      <c r="AK354" s="154" t="e">
        <f t="shared" si="95"/>
        <v>#VALUE!</v>
      </c>
      <c r="AL354" s="154">
        <f>IF(AND(Times!J354="M",AJ354&gt;3),3, IF(AND(Times!J354="F",AJ354&gt;2),2,AJ354))</f>
        <v>0</v>
      </c>
      <c r="AM354" s="154" t="str">
        <f>IF(Times!J354="M",6, IF(Times!J354="F",4,""))</f>
        <v/>
      </c>
      <c r="AN354" s="154" t="str">
        <f t="shared" si="96"/>
        <v/>
      </c>
      <c r="AO354" s="154" t="str">
        <f t="shared" si="97"/>
        <v/>
      </c>
    </row>
    <row r="355" spans="26:41" x14ac:dyDescent="0.25">
      <c r="Z355" s="154" t="str">
        <f>CONCATENATE(AE355,Times!AD355)</f>
        <v/>
      </c>
      <c r="AA355" s="154" t="str">
        <f>Times!AD355</f>
        <v/>
      </c>
      <c r="AB355" s="154" t="e">
        <f>IF(AK355="Y",CONCATENATE(AA355,COUNTIFS($AK$2:AK355,"=Y",$AA$2:AA355,AA355)),"")</f>
        <v>#VALUE!</v>
      </c>
      <c r="AC355" s="154" t="str">
        <f>Times!K355</f>
        <v/>
      </c>
      <c r="AD355" s="154">
        <f>Times!G355</f>
        <v>49</v>
      </c>
      <c r="AE355" s="154" t="str">
        <f>IF(Times!D355&lt;&gt;"",IF(ISERR(SEARCH("V",Times!I355,1)),IF(ISERR(SEARCH("S",Times!I355,1)),"S","S"),"V"),"")</f>
        <v/>
      </c>
      <c r="AF355" s="161" t="str">
        <f>IF(Times!D355&lt;&gt;"",SUMIFS(Times!$G$2:G355,$AA$2:AA355,AA355,$AK$2:AK355,"Y"),"")</f>
        <v/>
      </c>
      <c r="AG355" s="154" t="str">
        <f>IF(Times!D355&lt;&gt;"",IF(AND(Times!J355="M",AI355+AL355=AM355,AK355="Y"),AF355,""),"")</f>
        <v/>
      </c>
      <c r="AH355" s="154" t="str">
        <f>IF(Times!D355&lt;&gt;"",IF(AND(Times!J355="F",AI355+AL355=AM355,AK355="Y"),AF355,""),"")</f>
        <v/>
      </c>
      <c r="AI355" s="154">
        <f>COUNTIF(Z$2:Z355,CONCATENATE("V",AA355))</f>
        <v>0</v>
      </c>
      <c r="AJ355" s="154">
        <f>COUNTIF(Z$2:Z355,CONCATENATE("S",AA355))</f>
        <v>0</v>
      </c>
      <c r="AK355" s="154" t="e">
        <f t="shared" si="95"/>
        <v>#VALUE!</v>
      </c>
      <c r="AL355" s="154">
        <f>IF(AND(Times!J355="M",AJ355&gt;3),3, IF(AND(Times!J355="F",AJ355&gt;2),2,AJ355))</f>
        <v>0</v>
      </c>
      <c r="AM355" s="154" t="str">
        <f>IF(Times!J355="M",6, IF(Times!J355="F",4,""))</f>
        <v/>
      </c>
      <c r="AN355" s="154" t="str">
        <f t="shared" si="96"/>
        <v/>
      </c>
      <c r="AO355" s="154" t="str">
        <f t="shared" si="97"/>
        <v/>
      </c>
    </row>
    <row r="356" spans="26:41" x14ac:dyDescent="0.25">
      <c r="Z356" s="154" t="str">
        <f>CONCATENATE(AE356,Times!AD356)</f>
        <v/>
      </c>
      <c r="AA356" s="154" t="str">
        <f>Times!AD356</f>
        <v/>
      </c>
      <c r="AB356" s="154" t="e">
        <f>IF(AK356="Y",CONCATENATE(AA356,COUNTIFS($AK$2:AK356,"=Y",$AA$2:AA356,AA356)),"")</f>
        <v>#VALUE!</v>
      </c>
      <c r="AC356" s="154" t="str">
        <f>Times!K356</f>
        <v/>
      </c>
      <c r="AD356" s="154">
        <f>Times!G356</f>
        <v>50</v>
      </c>
      <c r="AE356" s="154" t="str">
        <f>IF(Times!D356&lt;&gt;"",IF(ISERR(SEARCH("V",Times!I356,1)),IF(ISERR(SEARCH("S",Times!I356,1)),"S","S"),"V"),"")</f>
        <v/>
      </c>
      <c r="AF356" s="161" t="str">
        <f>IF(Times!D356&lt;&gt;"",SUMIFS(Times!$G$2:G356,$AA$2:AA356,AA356,$AK$2:AK356,"Y"),"")</f>
        <v/>
      </c>
      <c r="AG356" s="154" t="str">
        <f>IF(Times!D356&lt;&gt;"",IF(AND(Times!J356="M",AI356+AL356=AM356,AK356="Y"),AF356,""),"")</f>
        <v/>
      </c>
      <c r="AH356" s="154" t="str">
        <f>IF(Times!D356&lt;&gt;"",IF(AND(Times!J356="F",AI356+AL356=AM356,AK356="Y"),AF356,""),"")</f>
        <v/>
      </c>
      <c r="AI356" s="154">
        <f>COUNTIF(Z$2:Z356,CONCATENATE("V",AA356))</f>
        <v>0</v>
      </c>
      <c r="AJ356" s="154">
        <f>COUNTIF(Z$2:Z356,CONCATENATE("S",AA356))</f>
        <v>0</v>
      </c>
      <c r="AK356" s="154" t="e">
        <f t="shared" si="95"/>
        <v>#VALUE!</v>
      </c>
      <c r="AL356" s="154">
        <f>IF(AND(Times!J356="M",AJ356&gt;3),3, IF(AND(Times!J356="F",AJ356&gt;2),2,AJ356))</f>
        <v>0</v>
      </c>
      <c r="AM356" s="154" t="str">
        <f>IF(Times!J356="M",6, IF(Times!J356="F",4,""))</f>
        <v/>
      </c>
      <c r="AN356" s="154" t="str">
        <f t="shared" si="96"/>
        <v/>
      </c>
      <c r="AO356" s="154" t="str">
        <f t="shared" si="97"/>
        <v/>
      </c>
    </row>
    <row r="357" spans="26:41" x14ac:dyDescent="0.25">
      <c r="Z357" s="154" t="str">
        <f>CONCATENATE(AE357,Times!AD357)</f>
        <v/>
      </c>
      <c r="AA357" s="154" t="str">
        <f>Times!AD357</f>
        <v/>
      </c>
      <c r="AB357" s="154" t="e">
        <f>IF(AK357="Y",CONCATENATE(AA357,COUNTIFS($AK$2:AK357,"=Y",$AA$2:AA357,AA357)),"")</f>
        <v>#VALUE!</v>
      </c>
      <c r="AC357" s="154" t="str">
        <f>Times!K357</f>
        <v/>
      </c>
      <c r="AD357" s="154">
        <f>Times!G357</f>
        <v>51</v>
      </c>
      <c r="AE357" s="154" t="str">
        <f>IF(Times!D357&lt;&gt;"",IF(ISERR(SEARCH("V",Times!I357,1)),IF(ISERR(SEARCH("S",Times!I357,1)),"S","S"),"V"),"")</f>
        <v/>
      </c>
      <c r="AF357" s="161" t="str">
        <f>IF(Times!D357&lt;&gt;"",SUMIFS(Times!$G$2:G357,$AA$2:AA357,AA357,$AK$2:AK357,"Y"),"")</f>
        <v/>
      </c>
      <c r="AG357" s="154" t="str">
        <f>IF(Times!D357&lt;&gt;"",IF(AND(Times!J357="M",AI357+AL357=AM357,AK357="Y"),AF357,""),"")</f>
        <v/>
      </c>
      <c r="AH357" s="154" t="str">
        <f>IF(Times!D357&lt;&gt;"",IF(AND(Times!J357="F",AI357+AL357=AM357,AK357="Y"),AF357,""),"")</f>
        <v/>
      </c>
      <c r="AI357" s="154">
        <f>COUNTIF(Z$2:Z357,CONCATENATE("V",AA357))</f>
        <v>0</v>
      </c>
      <c r="AJ357" s="154">
        <f>COUNTIF(Z$2:Z357,CONCATENATE("S",AA357))</f>
        <v>0</v>
      </c>
      <c r="AK357" s="154" t="e">
        <f t="shared" si="95"/>
        <v>#VALUE!</v>
      </c>
      <c r="AL357" s="154">
        <f>IF(AND(Times!J357="M",AJ357&gt;3),3, IF(AND(Times!J357="F",AJ357&gt;2),2,AJ357))</f>
        <v>0</v>
      </c>
      <c r="AM357" s="154" t="str">
        <f>IF(Times!J357="M",6, IF(Times!J357="F",4,""))</f>
        <v/>
      </c>
      <c r="AN357" s="154" t="str">
        <f t="shared" si="96"/>
        <v/>
      </c>
      <c r="AO357" s="154" t="str">
        <f t="shared" si="97"/>
        <v/>
      </c>
    </row>
    <row r="358" spans="26:41" x14ac:dyDescent="0.25">
      <c r="Z358" s="154" t="str">
        <f>CONCATENATE(AE358,Times!AD358)</f>
        <v/>
      </c>
      <c r="AA358" s="154" t="str">
        <f>Times!AD358</f>
        <v/>
      </c>
      <c r="AB358" s="154" t="e">
        <f>IF(AK358="Y",CONCATENATE(AA358,COUNTIFS($AK$2:AK358,"=Y",$AA$2:AA358,AA358)),"")</f>
        <v>#VALUE!</v>
      </c>
      <c r="AC358" s="154" t="str">
        <f>Times!K358</f>
        <v/>
      </c>
      <c r="AD358" s="154">
        <f>Times!G358</f>
        <v>52</v>
      </c>
      <c r="AE358" s="154" t="str">
        <f>IF(Times!D358&lt;&gt;"",IF(ISERR(SEARCH("V",Times!I358,1)),IF(ISERR(SEARCH("S",Times!I358,1)),"S","S"),"V"),"")</f>
        <v/>
      </c>
      <c r="AF358" s="161" t="str">
        <f>IF(Times!D358&lt;&gt;"",SUMIFS(Times!$G$2:G358,$AA$2:AA358,AA358,$AK$2:AK358,"Y"),"")</f>
        <v/>
      </c>
      <c r="AG358" s="154" t="str">
        <f>IF(Times!D358&lt;&gt;"",IF(AND(Times!J358="M",AI358+AL358=AM358,AK358="Y"),AF358,""),"")</f>
        <v/>
      </c>
      <c r="AH358" s="154" t="str">
        <f>IF(Times!D358&lt;&gt;"",IF(AND(Times!J358="F",AI358+AL358=AM358,AK358="Y"),AF358,""),"")</f>
        <v/>
      </c>
      <c r="AI358" s="154">
        <f>COUNTIF(Z$2:Z358,CONCATENATE("V",AA358))</f>
        <v>0</v>
      </c>
      <c r="AJ358" s="154">
        <f>COUNTIF(Z$2:Z358,CONCATENATE("S",AA358))</f>
        <v>0</v>
      </c>
      <c r="AK358" s="154" t="e">
        <f t="shared" si="95"/>
        <v>#VALUE!</v>
      </c>
      <c r="AL358" s="154">
        <f>IF(AND(Times!J358="M",AJ358&gt;3),3, IF(AND(Times!J358="F",AJ358&gt;2),2,AJ358))</f>
        <v>0</v>
      </c>
      <c r="AM358" s="154" t="str">
        <f>IF(Times!J358="M",6, IF(Times!J358="F",4,""))</f>
        <v/>
      </c>
      <c r="AN358" s="154" t="str">
        <f t="shared" si="96"/>
        <v/>
      </c>
      <c r="AO358" s="154" t="str">
        <f t="shared" si="97"/>
        <v/>
      </c>
    </row>
    <row r="359" spans="26:41" x14ac:dyDescent="0.25">
      <c r="Z359" s="154" t="str">
        <f>CONCATENATE(AE359,Times!AD359)</f>
        <v/>
      </c>
      <c r="AA359" s="154" t="str">
        <f>Times!AD359</f>
        <v/>
      </c>
      <c r="AB359" s="154" t="e">
        <f>IF(AK359="Y",CONCATENATE(AA359,COUNTIFS($AK$2:AK359,"=Y",$AA$2:AA359,AA359)),"")</f>
        <v>#VALUE!</v>
      </c>
      <c r="AC359" s="154" t="str">
        <f>Times!K359</f>
        <v/>
      </c>
      <c r="AD359" s="154">
        <f>Times!G359</f>
        <v>53</v>
      </c>
      <c r="AE359" s="154" t="str">
        <f>IF(Times!D359&lt;&gt;"",IF(ISERR(SEARCH("V",Times!I359,1)),IF(ISERR(SEARCH("S",Times!I359,1)),"S","S"),"V"),"")</f>
        <v/>
      </c>
      <c r="AF359" s="161" t="str">
        <f>IF(Times!D359&lt;&gt;"",SUMIFS(Times!$G$2:G359,$AA$2:AA359,AA359,$AK$2:AK359,"Y"),"")</f>
        <v/>
      </c>
      <c r="AG359" s="154" t="str">
        <f>IF(Times!D359&lt;&gt;"",IF(AND(Times!J359="M",AI359+AL359=AM359,AK359="Y"),AF359,""),"")</f>
        <v/>
      </c>
      <c r="AH359" s="154" t="str">
        <f>IF(Times!D359&lt;&gt;"",IF(AND(Times!J359="F",AI359+AL359=AM359,AK359="Y"),AF359,""),"")</f>
        <v/>
      </c>
      <c r="AI359" s="154">
        <f>COUNTIF(Z$2:Z359,CONCATENATE("V",AA359))</f>
        <v>0</v>
      </c>
      <c r="AJ359" s="154">
        <f>COUNTIF(Z$2:Z359,CONCATENATE("S",AA359))</f>
        <v>0</v>
      </c>
      <c r="AK359" s="154" t="e">
        <f t="shared" si="95"/>
        <v>#VALUE!</v>
      </c>
      <c r="AL359" s="154">
        <f>IF(AND(Times!J359="M",AJ359&gt;3),3, IF(AND(Times!J359="F",AJ359&gt;2),2,AJ359))</f>
        <v>0</v>
      </c>
      <c r="AM359" s="154" t="str">
        <f>IF(Times!J359="M",6, IF(Times!J359="F",4,""))</f>
        <v/>
      </c>
      <c r="AN359" s="154" t="str">
        <f t="shared" si="96"/>
        <v/>
      </c>
      <c r="AO359" s="154" t="str">
        <f t="shared" si="97"/>
        <v/>
      </c>
    </row>
    <row r="360" spans="26:41" x14ac:dyDescent="0.25">
      <c r="Z360" s="154" t="str">
        <f>CONCATENATE(AE360,Times!AD360)</f>
        <v/>
      </c>
      <c r="AA360" s="154" t="str">
        <f>Times!AD360</f>
        <v/>
      </c>
      <c r="AB360" s="154" t="e">
        <f>IF(AK360="Y",CONCATENATE(AA360,COUNTIFS($AK$2:AK360,"=Y",$AA$2:AA360,AA360)),"")</f>
        <v>#VALUE!</v>
      </c>
      <c r="AC360" s="154" t="str">
        <f>Times!K360</f>
        <v/>
      </c>
      <c r="AD360" s="154">
        <f>Times!G360</f>
        <v>54</v>
      </c>
      <c r="AE360" s="154" t="str">
        <f>IF(Times!D360&lt;&gt;"",IF(ISERR(SEARCH("V",Times!I360,1)),IF(ISERR(SEARCH("S",Times!I360,1)),"S","S"),"V"),"")</f>
        <v/>
      </c>
      <c r="AF360" s="161" t="str">
        <f>IF(Times!D360&lt;&gt;"",SUMIFS(Times!$G$2:G360,$AA$2:AA360,AA360,$AK$2:AK360,"Y"),"")</f>
        <v/>
      </c>
      <c r="AG360" s="154" t="str">
        <f>IF(Times!D360&lt;&gt;"",IF(AND(Times!J360="M",AI360+AL360=AM360,AK360="Y"),AF360,""),"")</f>
        <v/>
      </c>
      <c r="AH360" s="154" t="str">
        <f>IF(Times!D360&lt;&gt;"",IF(AND(Times!J360="F",AI360+AL360=AM360,AK360="Y"),AF360,""),"")</f>
        <v/>
      </c>
      <c r="AI360" s="154">
        <f>COUNTIF(Z$2:Z360,CONCATENATE("V",AA360))</f>
        <v>0</v>
      </c>
      <c r="AJ360" s="154">
        <f>COUNTIF(Z$2:Z360,CONCATENATE("S",AA360))</f>
        <v>0</v>
      </c>
      <c r="AK360" s="154" t="e">
        <f t="shared" si="95"/>
        <v>#VALUE!</v>
      </c>
      <c r="AL360" s="154">
        <f>IF(AND(Times!J360="M",AJ360&gt;3),3, IF(AND(Times!J360="F",AJ360&gt;2),2,AJ360))</f>
        <v>0</v>
      </c>
      <c r="AM360" s="154" t="str">
        <f>IF(Times!J360="M",6, IF(Times!J360="F",4,""))</f>
        <v/>
      </c>
      <c r="AN360" s="154" t="str">
        <f t="shared" si="96"/>
        <v/>
      </c>
      <c r="AO360" s="154" t="str">
        <f t="shared" si="97"/>
        <v/>
      </c>
    </row>
    <row r="361" spans="26:41" x14ac:dyDescent="0.25">
      <c r="Z361" s="154" t="str">
        <f>CONCATENATE(AE361,Times!AD361)</f>
        <v/>
      </c>
      <c r="AA361" s="154" t="str">
        <f>Times!AD361</f>
        <v/>
      </c>
      <c r="AB361" s="154" t="e">
        <f>IF(AK361="Y",CONCATENATE(AA361,COUNTIFS($AK$2:AK361,"=Y",$AA$2:AA361,AA361)),"")</f>
        <v>#VALUE!</v>
      </c>
      <c r="AC361" s="154" t="str">
        <f>Times!K361</f>
        <v/>
      </c>
      <c r="AD361" s="154">
        <f>Times!G361</f>
        <v>55</v>
      </c>
      <c r="AE361" s="154" t="str">
        <f>IF(Times!D361&lt;&gt;"",IF(ISERR(SEARCH("V",Times!I361,1)),IF(ISERR(SEARCH("S",Times!I361,1)),"S","S"),"V"),"")</f>
        <v/>
      </c>
      <c r="AF361" s="161" t="str">
        <f>IF(Times!D361&lt;&gt;"",SUMIFS(Times!$G$2:G361,$AA$2:AA361,AA361,$AK$2:AK361,"Y"),"")</f>
        <v/>
      </c>
      <c r="AG361" s="154" t="str">
        <f>IF(Times!D361&lt;&gt;"",IF(AND(Times!J361="M",AI361+AL361=AM361,AK361="Y"),AF361,""),"")</f>
        <v/>
      </c>
      <c r="AH361" s="154" t="str">
        <f>IF(Times!D361&lt;&gt;"",IF(AND(Times!J361="F",AI361+AL361=AM361,AK361="Y"),AF361,""),"")</f>
        <v/>
      </c>
      <c r="AI361" s="154">
        <f>COUNTIF(Z$2:Z361,CONCATENATE("V",AA361))</f>
        <v>0</v>
      </c>
      <c r="AJ361" s="154">
        <f>COUNTIF(Z$2:Z361,CONCATENATE("S",AA361))</f>
        <v>0</v>
      </c>
      <c r="AK361" s="154" t="e">
        <f t="shared" si="95"/>
        <v>#VALUE!</v>
      </c>
      <c r="AL361" s="154">
        <f>IF(AND(Times!J361="M",AJ361&gt;3),3, IF(AND(Times!J361="F",AJ361&gt;2),2,AJ361))</f>
        <v>0</v>
      </c>
      <c r="AM361" s="154" t="str">
        <f>IF(Times!J361="M",6, IF(Times!J361="F",4,""))</f>
        <v/>
      </c>
      <c r="AN361" s="154" t="str">
        <f t="shared" si="96"/>
        <v/>
      </c>
      <c r="AO361" s="154" t="str">
        <f t="shared" si="97"/>
        <v/>
      </c>
    </row>
    <row r="362" spans="26:41" x14ac:dyDescent="0.25">
      <c r="Z362" s="154" t="str">
        <f>CONCATENATE(AE362,Times!AD362)</f>
        <v/>
      </c>
      <c r="AA362" s="154" t="str">
        <f>Times!AD362</f>
        <v/>
      </c>
      <c r="AB362" s="154" t="e">
        <f>IF(AK362="Y",CONCATENATE(AA362,COUNTIFS($AK$2:AK362,"=Y",$AA$2:AA362,AA362)),"")</f>
        <v>#VALUE!</v>
      </c>
      <c r="AC362" s="154" t="str">
        <f>Times!K362</f>
        <v/>
      </c>
      <c r="AD362" s="154">
        <f>Times!G362</f>
        <v>56</v>
      </c>
      <c r="AE362" s="154" t="str">
        <f>IF(Times!D362&lt;&gt;"",IF(ISERR(SEARCH("V",Times!I362,1)),IF(ISERR(SEARCH("S",Times!I362,1)),"S","S"),"V"),"")</f>
        <v/>
      </c>
      <c r="AF362" s="161" t="str">
        <f>IF(Times!D362&lt;&gt;"",SUMIFS(Times!$G$2:G362,$AA$2:AA362,AA362,$AK$2:AK362,"Y"),"")</f>
        <v/>
      </c>
      <c r="AG362" s="154" t="str">
        <f>IF(Times!D362&lt;&gt;"",IF(AND(Times!J362="M",AI362+AL362=AM362,AK362="Y"),AF362,""),"")</f>
        <v/>
      </c>
      <c r="AH362" s="154" t="str">
        <f>IF(Times!D362&lt;&gt;"",IF(AND(Times!J362="F",AI362+AL362=AM362,AK362="Y"),AF362,""),"")</f>
        <v/>
      </c>
      <c r="AI362" s="154">
        <f>COUNTIF(Z$2:Z362,CONCATENATE("V",AA362))</f>
        <v>0</v>
      </c>
      <c r="AJ362" s="154">
        <f>COUNTIF(Z$2:Z362,CONCATENATE("S",AA362))</f>
        <v>0</v>
      </c>
      <c r="AK362" s="154" t="e">
        <f t="shared" si="95"/>
        <v>#VALUE!</v>
      </c>
      <c r="AL362" s="154">
        <f>IF(AND(Times!J362="M",AJ362&gt;3),3, IF(AND(Times!J362="F",AJ362&gt;2),2,AJ362))</f>
        <v>0</v>
      </c>
      <c r="AM362" s="154" t="str">
        <f>IF(Times!J362="M",6, IF(Times!J362="F",4,""))</f>
        <v/>
      </c>
      <c r="AN362" s="154" t="str">
        <f t="shared" si="96"/>
        <v/>
      </c>
      <c r="AO362" s="154" t="str">
        <f t="shared" si="97"/>
        <v/>
      </c>
    </row>
    <row r="363" spans="26:41" x14ac:dyDescent="0.25">
      <c r="Z363" s="154" t="str">
        <f>CONCATENATE(AE363,Times!AD363)</f>
        <v/>
      </c>
      <c r="AA363" s="154" t="str">
        <f>Times!AD363</f>
        <v/>
      </c>
      <c r="AB363" s="154" t="e">
        <f>IF(AK363="Y",CONCATENATE(AA363,COUNTIFS($AK$2:AK363,"=Y",$AA$2:AA363,AA363)),"")</f>
        <v>#VALUE!</v>
      </c>
      <c r="AC363" s="154" t="str">
        <f>Times!K363</f>
        <v/>
      </c>
      <c r="AD363" s="154">
        <f>Times!G363</f>
        <v>57</v>
      </c>
      <c r="AE363" s="154" t="str">
        <f>IF(Times!D363&lt;&gt;"",IF(ISERR(SEARCH("V",Times!I363,1)),IF(ISERR(SEARCH("S",Times!I363,1)),"S","S"),"V"),"")</f>
        <v/>
      </c>
      <c r="AF363" s="161" t="str">
        <f>IF(Times!D363&lt;&gt;"",SUMIFS(Times!$G$2:G363,$AA$2:AA363,AA363,$AK$2:AK363,"Y"),"")</f>
        <v/>
      </c>
      <c r="AG363" s="154" t="str">
        <f>IF(Times!D363&lt;&gt;"",IF(AND(Times!J363="M",AI363+AL363=AM363,AK363="Y"),AF363,""),"")</f>
        <v/>
      </c>
      <c r="AH363" s="154" t="str">
        <f>IF(Times!D363&lt;&gt;"",IF(AND(Times!J363="F",AI363+AL363=AM363,AK363="Y"),AF363,""),"")</f>
        <v/>
      </c>
      <c r="AI363" s="154">
        <f>COUNTIF(Z$2:Z363,CONCATENATE("V",AA363))</f>
        <v>0</v>
      </c>
      <c r="AJ363" s="154">
        <f>COUNTIF(Z$2:Z363,CONCATENATE("S",AA363))</f>
        <v>0</v>
      </c>
      <c r="AK363" s="154" t="e">
        <f t="shared" si="95"/>
        <v>#VALUE!</v>
      </c>
      <c r="AL363" s="154">
        <f>IF(AND(Times!J363="M",AJ363&gt;3),3, IF(AND(Times!J363="F",AJ363&gt;2),2,AJ363))</f>
        <v>0</v>
      </c>
      <c r="AM363" s="154" t="str">
        <f>IF(Times!J363="M",6, IF(Times!J363="F",4,""))</f>
        <v/>
      </c>
      <c r="AN363" s="154" t="str">
        <f t="shared" si="96"/>
        <v/>
      </c>
      <c r="AO363" s="154" t="str">
        <f t="shared" si="97"/>
        <v/>
      </c>
    </row>
    <row r="364" spans="26:41" x14ac:dyDescent="0.25">
      <c r="Z364" s="154" t="str">
        <f>CONCATENATE(AE364,Times!AD364)</f>
        <v/>
      </c>
      <c r="AA364" s="154" t="str">
        <f>Times!AD364</f>
        <v/>
      </c>
      <c r="AB364" s="154" t="e">
        <f>IF(AK364="Y",CONCATENATE(AA364,COUNTIFS($AK$2:AK364,"=Y",$AA$2:AA364,AA364)),"")</f>
        <v>#VALUE!</v>
      </c>
      <c r="AC364" s="154" t="str">
        <f>Times!K364</f>
        <v/>
      </c>
      <c r="AD364" s="154">
        <f>Times!G364</f>
        <v>58</v>
      </c>
      <c r="AE364" s="154" t="str">
        <f>IF(Times!D364&lt;&gt;"",IF(ISERR(SEARCH("V",Times!I364,1)),IF(ISERR(SEARCH("S",Times!I364,1)),"S","S"),"V"),"")</f>
        <v/>
      </c>
      <c r="AF364" s="161" t="str">
        <f>IF(Times!D364&lt;&gt;"",SUMIFS(Times!$G$2:G364,$AA$2:AA364,AA364,$AK$2:AK364,"Y"),"")</f>
        <v/>
      </c>
      <c r="AG364" s="154" t="str">
        <f>IF(Times!D364&lt;&gt;"",IF(AND(Times!J364="M",AI364+AL364=AM364,AK364="Y"),AF364,""),"")</f>
        <v/>
      </c>
      <c r="AH364" s="154" t="str">
        <f>IF(Times!D364&lt;&gt;"",IF(AND(Times!J364="F",AI364+AL364=AM364,AK364="Y"),AF364,""),"")</f>
        <v/>
      </c>
      <c r="AI364" s="154">
        <f>COUNTIF(Z$2:Z364,CONCATENATE("V",AA364))</f>
        <v>0</v>
      </c>
      <c r="AJ364" s="154">
        <f>COUNTIF(Z$2:Z364,CONCATENATE("S",AA364))</f>
        <v>0</v>
      </c>
      <c r="AK364" s="154" t="e">
        <f t="shared" si="95"/>
        <v>#VALUE!</v>
      </c>
      <c r="AL364" s="154">
        <f>IF(AND(Times!J364="M",AJ364&gt;3),3, IF(AND(Times!J364="F",AJ364&gt;2),2,AJ364))</f>
        <v>0</v>
      </c>
      <c r="AM364" s="154" t="str">
        <f>IF(Times!J364="M",6, IF(Times!J364="F",4,""))</f>
        <v/>
      </c>
      <c r="AN364" s="154" t="str">
        <f t="shared" si="96"/>
        <v/>
      </c>
      <c r="AO364" s="154" t="str">
        <f t="shared" si="97"/>
        <v/>
      </c>
    </row>
    <row r="365" spans="26:41" x14ac:dyDescent="0.25">
      <c r="Z365" s="154" t="str">
        <f>CONCATENATE(AE365,Times!AD365)</f>
        <v/>
      </c>
      <c r="AA365" s="154" t="str">
        <f>Times!AD365</f>
        <v/>
      </c>
      <c r="AB365" s="154" t="e">
        <f>IF(AK365="Y",CONCATENATE(AA365,COUNTIFS($AK$2:AK365,"=Y",$AA$2:AA365,AA365)),"")</f>
        <v>#VALUE!</v>
      </c>
      <c r="AC365" s="154" t="str">
        <f>Times!K365</f>
        <v/>
      </c>
      <c r="AD365" s="154">
        <f>Times!G365</f>
        <v>59</v>
      </c>
      <c r="AE365" s="154" t="str">
        <f>IF(Times!D365&lt;&gt;"",IF(ISERR(SEARCH("V",Times!I365,1)),IF(ISERR(SEARCH("S",Times!I365,1)),"S","S"),"V"),"")</f>
        <v/>
      </c>
      <c r="AF365" s="161" t="str">
        <f>IF(Times!D365&lt;&gt;"",SUMIFS(Times!$G$2:G365,$AA$2:AA365,AA365,$AK$2:AK365,"Y"),"")</f>
        <v/>
      </c>
      <c r="AG365" s="154" t="str">
        <f>IF(Times!D365&lt;&gt;"",IF(AND(Times!J365="M",AI365+AL365=AM365,AK365="Y"),AF365,""),"")</f>
        <v/>
      </c>
      <c r="AH365" s="154" t="str">
        <f>IF(Times!D365&lt;&gt;"",IF(AND(Times!J365="F",AI365+AL365=AM365,AK365="Y"),AF365,""),"")</f>
        <v/>
      </c>
      <c r="AI365" s="154">
        <f>COUNTIF(Z$2:Z365,CONCATENATE("V",AA365))</f>
        <v>0</v>
      </c>
      <c r="AJ365" s="154">
        <f>COUNTIF(Z$2:Z365,CONCATENATE("S",AA365))</f>
        <v>0</v>
      </c>
      <c r="AK365" s="154" t="e">
        <f t="shared" si="95"/>
        <v>#VALUE!</v>
      </c>
      <c r="AL365" s="154">
        <f>IF(AND(Times!J365="M",AJ365&gt;3),3, IF(AND(Times!J365="F",AJ365&gt;2),2,AJ365))</f>
        <v>0</v>
      </c>
      <c r="AM365" s="154" t="str">
        <f>IF(Times!J365="M",6, IF(Times!J365="F",4,""))</f>
        <v/>
      </c>
      <c r="AN365" s="154" t="str">
        <f t="shared" si="96"/>
        <v/>
      </c>
      <c r="AO365" s="154" t="str">
        <f t="shared" si="97"/>
        <v/>
      </c>
    </row>
    <row r="366" spans="26:41" x14ac:dyDescent="0.25">
      <c r="Z366" s="154" t="str">
        <f>CONCATENATE(AE366,Times!AD366)</f>
        <v/>
      </c>
      <c r="AA366" s="154" t="str">
        <f>Times!AD366</f>
        <v/>
      </c>
      <c r="AB366" s="154" t="e">
        <f>IF(AK366="Y",CONCATENATE(AA366,COUNTIFS($AK$2:AK366,"=Y",$AA$2:AA366,AA366)),"")</f>
        <v>#VALUE!</v>
      </c>
      <c r="AC366" s="154" t="str">
        <f>Times!K366</f>
        <v/>
      </c>
      <c r="AD366" s="154">
        <f>Times!G366</f>
        <v>60</v>
      </c>
      <c r="AE366" s="154" t="str">
        <f>IF(Times!D366&lt;&gt;"",IF(ISERR(SEARCH("V",Times!I366,1)),IF(ISERR(SEARCH("S",Times!I366,1)),"S","S"),"V"),"")</f>
        <v/>
      </c>
      <c r="AF366" s="161" t="str">
        <f>IF(Times!D366&lt;&gt;"",SUMIFS(Times!$G$2:G366,$AA$2:AA366,AA366,$AK$2:AK366,"Y"),"")</f>
        <v/>
      </c>
      <c r="AG366" s="154" t="str">
        <f>IF(Times!D366&lt;&gt;"",IF(AND(Times!J366="M",AI366+AL366=AM366,AK366="Y"),AF366,""),"")</f>
        <v/>
      </c>
      <c r="AH366" s="154" t="str">
        <f>IF(Times!D366&lt;&gt;"",IF(AND(Times!J366="F",AI366+AL366=AM366,AK366="Y"),AF366,""),"")</f>
        <v/>
      </c>
      <c r="AI366" s="154">
        <f>COUNTIF(Z$2:Z366,CONCATENATE("V",AA366))</f>
        <v>0</v>
      </c>
      <c r="AJ366" s="154">
        <f>COUNTIF(Z$2:Z366,CONCATENATE("S",AA366))</f>
        <v>0</v>
      </c>
      <c r="AK366" s="154" t="e">
        <f t="shared" si="95"/>
        <v>#VALUE!</v>
      </c>
      <c r="AL366" s="154">
        <f>IF(AND(Times!J366="M",AJ366&gt;3),3, IF(AND(Times!J366="F",AJ366&gt;2),2,AJ366))</f>
        <v>0</v>
      </c>
      <c r="AM366" s="154" t="str">
        <f>IF(Times!J366="M",6, IF(Times!J366="F",4,""))</f>
        <v/>
      </c>
      <c r="AN366" s="154" t="str">
        <f t="shared" si="96"/>
        <v/>
      </c>
      <c r="AO366" s="154" t="str">
        <f t="shared" si="97"/>
        <v/>
      </c>
    </row>
    <row r="367" spans="26:41" x14ac:dyDescent="0.25">
      <c r="Z367" s="154" t="str">
        <f>CONCATENATE(AE367,Times!AD367)</f>
        <v/>
      </c>
      <c r="AA367" s="154" t="str">
        <f>Times!AD367</f>
        <v/>
      </c>
      <c r="AB367" s="154" t="e">
        <f>IF(AK367="Y",CONCATENATE(AA367,COUNTIFS($AK$2:AK367,"=Y",$AA$2:AA367,AA367)),"")</f>
        <v>#VALUE!</v>
      </c>
      <c r="AC367" s="154" t="str">
        <f>Times!K367</f>
        <v/>
      </c>
      <c r="AD367" s="154">
        <f>Times!G367</f>
        <v>61</v>
      </c>
      <c r="AE367" s="154" t="str">
        <f>IF(Times!D367&lt;&gt;"",IF(ISERR(SEARCH("V",Times!I367,1)),IF(ISERR(SEARCH("S",Times!I367,1)),"S","S"),"V"),"")</f>
        <v/>
      </c>
      <c r="AF367" s="161" t="str">
        <f>IF(Times!D367&lt;&gt;"",SUMIFS(Times!$G$2:G367,$AA$2:AA367,AA367,$AK$2:AK367,"Y"),"")</f>
        <v/>
      </c>
      <c r="AG367" s="154" t="str">
        <f>IF(Times!D367&lt;&gt;"",IF(AND(Times!J367="M",AI367+AL367=AM367,AK367="Y"),AF367,""),"")</f>
        <v/>
      </c>
      <c r="AH367" s="154" t="str">
        <f>IF(Times!D367&lt;&gt;"",IF(AND(Times!J367="F",AI367+AL367=AM367,AK367="Y"),AF367,""),"")</f>
        <v/>
      </c>
      <c r="AI367" s="154">
        <f>COUNTIF(Z$2:Z367,CONCATENATE("V",AA367))</f>
        <v>0</v>
      </c>
      <c r="AJ367" s="154">
        <f>COUNTIF(Z$2:Z367,CONCATENATE("S",AA367))</f>
        <v>0</v>
      </c>
      <c r="AK367" s="154" t="e">
        <f t="shared" si="95"/>
        <v>#VALUE!</v>
      </c>
      <c r="AL367" s="154">
        <f>IF(AND(Times!J367="M",AJ367&gt;3),3, IF(AND(Times!J367="F",AJ367&gt;2),2,AJ367))</f>
        <v>0</v>
      </c>
      <c r="AM367" s="154" t="str">
        <f>IF(Times!J367="M",6, IF(Times!J367="F",4,""))</f>
        <v/>
      </c>
      <c r="AN367" s="154" t="str">
        <f t="shared" si="96"/>
        <v/>
      </c>
      <c r="AO367" s="154" t="str">
        <f t="shared" si="97"/>
        <v/>
      </c>
    </row>
    <row r="368" spans="26:41" x14ac:dyDescent="0.25">
      <c r="Z368" s="154" t="str">
        <f>CONCATENATE(AE368,Times!AD368)</f>
        <v/>
      </c>
      <c r="AA368" s="154" t="str">
        <f>Times!AD368</f>
        <v/>
      </c>
      <c r="AB368" s="154" t="e">
        <f>IF(AK368="Y",CONCATENATE(AA368,COUNTIFS($AK$2:AK368,"=Y",$AA$2:AA368,AA368)),"")</f>
        <v>#VALUE!</v>
      </c>
      <c r="AC368" s="154" t="str">
        <f>Times!K368</f>
        <v/>
      </c>
      <c r="AD368" s="154">
        <f>Times!G368</f>
        <v>62</v>
      </c>
      <c r="AE368" s="154" t="str">
        <f>IF(Times!D368&lt;&gt;"",IF(ISERR(SEARCH("V",Times!I368,1)),IF(ISERR(SEARCH("S",Times!I368,1)),"S","S"),"V"),"")</f>
        <v/>
      </c>
      <c r="AF368" s="161" t="str">
        <f>IF(Times!D368&lt;&gt;"",SUMIFS(Times!$G$2:G368,$AA$2:AA368,AA368,$AK$2:AK368,"Y"),"")</f>
        <v/>
      </c>
      <c r="AG368" s="154" t="str">
        <f>IF(Times!D368&lt;&gt;"",IF(AND(Times!J368="M",AI368+AL368=AM368,AK368="Y"),AF368,""),"")</f>
        <v/>
      </c>
      <c r="AH368" s="154" t="str">
        <f>IF(Times!D368&lt;&gt;"",IF(AND(Times!J368="F",AI368+AL368=AM368,AK368="Y"),AF368,""),"")</f>
        <v/>
      </c>
      <c r="AI368" s="154">
        <f>COUNTIF(Z$2:Z368,CONCATENATE("V",AA368))</f>
        <v>0</v>
      </c>
      <c r="AJ368" s="154">
        <f>COUNTIF(Z$2:Z368,CONCATENATE("S",AA368))</f>
        <v>0</v>
      </c>
      <c r="AK368" s="154" t="e">
        <f t="shared" si="95"/>
        <v>#VALUE!</v>
      </c>
      <c r="AL368" s="154">
        <f>IF(AND(Times!J368="M",AJ368&gt;3),3, IF(AND(Times!J368="F",AJ368&gt;2),2,AJ368))</f>
        <v>0</v>
      </c>
      <c r="AM368" s="154" t="str">
        <f>IF(Times!J368="M",6, IF(Times!J368="F",4,""))</f>
        <v/>
      </c>
      <c r="AN368" s="154" t="str">
        <f t="shared" si="96"/>
        <v/>
      </c>
      <c r="AO368" s="154" t="str">
        <f t="shared" si="97"/>
        <v/>
      </c>
    </row>
    <row r="369" spans="26:41" x14ac:dyDescent="0.25">
      <c r="Z369" s="154" t="str">
        <f>CONCATENATE(AE369,Times!AD369)</f>
        <v/>
      </c>
      <c r="AA369" s="154" t="str">
        <f>Times!AD369</f>
        <v/>
      </c>
      <c r="AB369" s="154" t="e">
        <f>IF(AK369="Y",CONCATENATE(AA369,COUNTIFS($AK$2:AK369,"=Y",$AA$2:AA369,AA369)),"")</f>
        <v>#VALUE!</v>
      </c>
      <c r="AC369" s="154" t="str">
        <f>Times!K369</f>
        <v/>
      </c>
      <c r="AD369" s="154">
        <f>Times!G369</f>
        <v>63</v>
      </c>
      <c r="AE369" s="154" t="str">
        <f>IF(Times!D369&lt;&gt;"",IF(ISERR(SEARCH("V",Times!I369,1)),IF(ISERR(SEARCH("S",Times!I369,1)),"S","S"),"V"),"")</f>
        <v/>
      </c>
      <c r="AF369" s="161" t="str">
        <f>IF(Times!D369&lt;&gt;"",SUMIFS(Times!$G$2:G369,$AA$2:AA369,AA369,$AK$2:AK369,"Y"),"")</f>
        <v/>
      </c>
      <c r="AG369" s="154" t="str">
        <f>IF(Times!D369&lt;&gt;"",IF(AND(Times!J369="M",AI369+AL369=AM369,AK369="Y"),AF369,""),"")</f>
        <v/>
      </c>
      <c r="AH369" s="154" t="str">
        <f>IF(Times!D369&lt;&gt;"",IF(AND(Times!J369="F",AI369+AL369=AM369,AK369="Y"),AF369,""),"")</f>
        <v/>
      </c>
      <c r="AI369" s="154">
        <f>COUNTIF(Z$2:Z369,CONCATENATE("V",AA369))</f>
        <v>0</v>
      </c>
      <c r="AJ369" s="154">
        <f>COUNTIF(Z$2:Z369,CONCATENATE("S",AA369))</f>
        <v>0</v>
      </c>
      <c r="AK369" s="154" t="e">
        <f t="shared" si="95"/>
        <v>#VALUE!</v>
      </c>
      <c r="AL369" s="154">
        <f>IF(AND(Times!J369="M",AJ369&gt;3),3, IF(AND(Times!J369="F",AJ369&gt;2),2,AJ369))</f>
        <v>0</v>
      </c>
      <c r="AM369" s="154" t="str">
        <f>IF(Times!J369="M",6, IF(Times!J369="F",4,""))</f>
        <v/>
      </c>
      <c r="AN369" s="154" t="str">
        <f t="shared" si="96"/>
        <v/>
      </c>
      <c r="AO369" s="154" t="str">
        <f t="shared" si="97"/>
        <v/>
      </c>
    </row>
    <row r="370" spans="26:41" x14ac:dyDescent="0.25">
      <c r="Z370" s="154" t="str">
        <f>CONCATENATE(AE370,Times!AD370)</f>
        <v/>
      </c>
      <c r="AA370" s="154" t="str">
        <f>Times!AD370</f>
        <v/>
      </c>
      <c r="AB370" s="154" t="e">
        <f>IF(AK370="Y",CONCATENATE(AA370,COUNTIFS($AK$2:AK370,"=Y",$AA$2:AA370,AA370)),"")</f>
        <v>#VALUE!</v>
      </c>
      <c r="AC370" s="154" t="str">
        <f>Times!K370</f>
        <v/>
      </c>
      <c r="AD370" s="154">
        <f>Times!G370</f>
        <v>64</v>
      </c>
      <c r="AE370" s="154" t="str">
        <f>IF(Times!D370&lt;&gt;"",IF(ISERR(SEARCH("V",Times!I370,1)),IF(ISERR(SEARCH("S",Times!I370,1)),"S","S"),"V"),"")</f>
        <v/>
      </c>
      <c r="AF370" s="161" t="str">
        <f>IF(Times!D370&lt;&gt;"",SUMIFS(Times!$G$2:G370,$AA$2:AA370,AA370,$AK$2:AK370,"Y"),"")</f>
        <v/>
      </c>
      <c r="AG370" s="154" t="str">
        <f>IF(Times!D370&lt;&gt;"",IF(AND(Times!J370="M",AI370+AL370=AM370,AK370="Y"),AF370,""),"")</f>
        <v/>
      </c>
      <c r="AH370" s="154" t="str">
        <f>IF(Times!D370&lt;&gt;"",IF(AND(Times!J370="F",AI370+AL370=AM370,AK370="Y"),AF370,""),"")</f>
        <v/>
      </c>
      <c r="AI370" s="154">
        <f>COUNTIF(Z$2:Z370,CONCATENATE("V",AA370))</f>
        <v>0</v>
      </c>
      <c r="AJ370" s="154">
        <f>COUNTIF(Z$2:Z370,CONCATENATE("S",AA370))</f>
        <v>0</v>
      </c>
      <c r="AK370" s="154" t="e">
        <f t="shared" si="95"/>
        <v>#VALUE!</v>
      </c>
      <c r="AL370" s="154">
        <f>IF(AND(Times!J370="M",AJ370&gt;3),3, IF(AND(Times!J370="F",AJ370&gt;2),2,AJ370))</f>
        <v>0</v>
      </c>
      <c r="AM370" s="154" t="str">
        <f>IF(Times!J370="M",6, IF(Times!J370="F",4,""))</f>
        <v/>
      </c>
      <c r="AN370" s="154" t="str">
        <f t="shared" si="96"/>
        <v/>
      </c>
      <c r="AO370" s="154" t="str">
        <f t="shared" si="97"/>
        <v/>
      </c>
    </row>
    <row r="371" spans="26:41" x14ac:dyDescent="0.25">
      <c r="Z371" s="154" t="str">
        <f>CONCATENATE(AE371,Times!AD371)</f>
        <v/>
      </c>
      <c r="AA371" s="154" t="str">
        <f>Times!AD371</f>
        <v/>
      </c>
      <c r="AB371" s="154" t="e">
        <f>IF(AK371="Y",CONCATENATE(AA371,COUNTIFS($AK$2:AK371,"=Y",$AA$2:AA371,AA371)),"")</f>
        <v>#VALUE!</v>
      </c>
      <c r="AC371" s="154" t="str">
        <f>Times!K371</f>
        <v/>
      </c>
      <c r="AD371" s="154">
        <f>Times!G371</f>
        <v>65</v>
      </c>
      <c r="AE371" s="154" t="str">
        <f>IF(Times!D371&lt;&gt;"",IF(ISERR(SEARCH("V",Times!I371,1)),IF(ISERR(SEARCH("S",Times!I371,1)),"S","S"),"V"),"")</f>
        <v/>
      </c>
      <c r="AF371" s="161" t="str">
        <f>IF(Times!D371&lt;&gt;"",SUMIFS(Times!$G$2:G371,$AA$2:AA371,AA371,$AK$2:AK371,"Y"),"")</f>
        <v/>
      </c>
      <c r="AG371" s="154" t="str">
        <f>IF(Times!D371&lt;&gt;"",IF(AND(Times!J371="M",AI371+AL371=AM371,AK371="Y"),AF371,""),"")</f>
        <v/>
      </c>
      <c r="AH371" s="154" t="str">
        <f>IF(Times!D371&lt;&gt;"",IF(AND(Times!J371="F",AI371+AL371=AM371,AK371="Y"),AF371,""),"")</f>
        <v/>
      </c>
      <c r="AI371" s="154">
        <f>COUNTIF(Z$2:Z371,CONCATENATE("V",AA371))</f>
        <v>0</v>
      </c>
      <c r="AJ371" s="154">
        <f>COUNTIF(Z$2:Z371,CONCATENATE("S",AA371))</f>
        <v>0</v>
      </c>
      <c r="AK371" s="154" t="e">
        <f t="shared" si="95"/>
        <v>#VALUE!</v>
      </c>
      <c r="AL371" s="154">
        <f>IF(AND(Times!J371="M",AJ371&gt;3),3, IF(AND(Times!J371="F",AJ371&gt;2),2,AJ371))</f>
        <v>0</v>
      </c>
      <c r="AM371" s="154" t="str">
        <f>IF(Times!J371="M",6, IF(Times!J371="F",4,""))</f>
        <v/>
      </c>
      <c r="AN371" s="154" t="str">
        <f t="shared" si="96"/>
        <v/>
      </c>
      <c r="AO371" s="154" t="str">
        <f t="shared" si="97"/>
        <v/>
      </c>
    </row>
    <row r="372" spans="26:41" x14ac:dyDescent="0.25">
      <c r="Z372" s="154" t="str">
        <f>CONCATENATE(AE372,Times!AD372)</f>
        <v/>
      </c>
      <c r="AA372" s="154" t="str">
        <f>Times!AD372</f>
        <v/>
      </c>
      <c r="AB372" s="154" t="e">
        <f>IF(AK372="Y",CONCATENATE(AA372,COUNTIFS($AK$2:AK372,"=Y",$AA$2:AA372,AA372)),"")</f>
        <v>#VALUE!</v>
      </c>
      <c r="AC372" s="154" t="str">
        <f>Times!K372</f>
        <v/>
      </c>
      <c r="AD372" s="154">
        <f>Times!G372</f>
        <v>66</v>
      </c>
      <c r="AE372" s="154" t="str">
        <f>IF(Times!D372&lt;&gt;"",IF(ISERR(SEARCH("V",Times!I372,1)),IF(ISERR(SEARCH("S",Times!I372,1)),"S","S"),"V"),"")</f>
        <v/>
      </c>
      <c r="AF372" s="161" t="str">
        <f>IF(Times!D372&lt;&gt;"",SUMIFS(Times!$G$2:G372,$AA$2:AA372,AA372,$AK$2:AK372,"Y"),"")</f>
        <v/>
      </c>
      <c r="AG372" s="154" t="str">
        <f>IF(Times!D372&lt;&gt;"",IF(AND(Times!J372="M",AI372+AL372=AM372,AK372="Y"),AF372,""),"")</f>
        <v/>
      </c>
      <c r="AH372" s="154" t="str">
        <f>IF(Times!D372&lt;&gt;"",IF(AND(Times!J372="F",AI372+AL372=AM372,AK372="Y"),AF372,""),"")</f>
        <v/>
      </c>
      <c r="AI372" s="154">
        <f>COUNTIF(Z$2:Z372,CONCATENATE("V",AA372))</f>
        <v>0</v>
      </c>
      <c r="AJ372" s="154">
        <f>COUNTIF(Z$2:Z372,CONCATENATE("S",AA372))</f>
        <v>0</v>
      </c>
      <c r="AK372" s="154" t="e">
        <f t="shared" si="95"/>
        <v>#VALUE!</v>
      </c>
      <c r="AL372" s="154">
        <f>IF(AND(Times!J372="M",AJ372&gt;3),3, IF(AND(Times!J372="F",AJ372&gt;2),2,AJ372))</f>
        <v>0</v>
      </c>
      <c r="AM372" s="154" t="str">
        <f>IF(Times!J372="M",6, IF(Times!J372="F",4,""))</f>
        <v/>
      </c>
      <c r="AN372" s="154" t="str">
        <f t="shared" si="96"/>
        <v/>
      </c>
      <c r="AO372" s="154" t="str">
        <f t="shared" si="97"/>
        <v/>
      </c>
    </row>
    <row r="373" spans="26:41" x14ac:dyDescent="0.25">
      <c r="Z373" s="154" t="str">
        <f>CONCATENATE(AE373,Times!AD373)</f>
        <v/>
      </c>
      <c r="AA373" s="154" t="str">
        <f>Times!AD373</f>
        <v/>
      </c>
      <c r="AB373" s="154" t="e">
        <f>IF(AK373="Y",CONCATENATE(AA373,COUNTIFS($AK$2:AK373,"=Y",$AA$2:AA373,AA373)),"")</f>
        <v>#VALUE!</v>
      </c>
      <c r="AC373" s="154" t="str">
        <f>Times!K373</f>
        <v/>
      </c>
      <c r="AD373" s="154">
        <f>Times!G373</f>
        <v>67</v>
      </c>
      <c r="AE373" s="154" t="str">
        <f>IF(Times!D373&lt;&gt;"",IF(ISERR(SEARCH("V",Times!I373,1)),IF(ISERR(SEARCH("S",Times!I373,1)),"S","S"),"V"),"")</f>
        <v/>
      </c>
      <c r="AF373" s="161" t="str">
        <f>IF(Times!D373&lt;&gt;"",SUMIFS(Times!$G$2:G373,$AA$2:AA373,AA373,$AK$2:AK373,"Y"),"")</f>
        <v/>
      </c>
      <c r="AG373" s="154" t="str">
        <f>IF(Times!D373&lt;&gt;"",IF(AND(Times!J373="M",AI373+AL373=AM373,AK373="Y"),AF373,""),"")</f>
        <v/>
      </c>
      <c r="AH373" s="154" t="str">
        <f>IF(Times!D373&lt;&gt;"",IF(AND(Times!J373="F",AI373+AL373=AM373,AK373="Y"),AF373,""),"")</f>
        <v/>
      </c>
      <c r="AI373" s="154">
        <f>COUNTIF(Z$2:Z373,CONCATENATE("V",AA373))</f>
        <v>0</v>
      </c>
      <c r="AJ373" s="154">
        <f>COUNTIF(Z$2:Z373,CONCATENATE("S",AA373))</f>
        <v>0</v>
      </c>
      <c r="AK373" s="154" t="e">
        <f t="shared" si="95"/>
        <v>#VALUE!</v>
      </c>
      <c r="AL373" s="154">
        <f>IF(AND(Times!J373="M",AJ373&gt;3),3, IF(AND(Times!J373="F",AJ373&gt;2),2,AJ373))</f>
        <v>0</v>
      </c>
      <c r="AM373" s="154" t="str">
        <f>IF(Times!J373="M",6, IF(Times!J373="F",4,""))</f>
        <v/>
      </c>
      <c r="AN373" s="154" t="str">
        <f t="shared" si="96"/>
        <v/>
      </c>
      <c r="AO373" s="154" t="str">
        <f t="shared" si="97"/>
        <v/>
      </c>
    </row>
    <row r="374" spans="26:41" x14ac:dyDescent="0.25">
      <c r="Z374" s="154" t="str">
        <f>CONCATENATE(AE374,Times!AD374)</f>
        <v/>
      </c>
      <c r="AA374" s="154" t="str">
        <f>Times!AD374</f>
        <v/>
      </c>
      <c r="AB374" s="154" t="e">
        <f>IF(AK374="Y",CONCATENATE(AA374,COUNTIFS($AK$2:AK374,"=Y",$AA$2:AA374,AA374)),"")</f>
        <v>#VALUE!</v>
      </c>
      <c r="AC374" s="154" t="str">
        <f>Times!K374</f>
        <v/>
      </c>
      <c r="AD374" s="154">
        <f>Times!G374</f>
        <v>68</v>
      </c>
      <c r="AE374" s="154" t="str">
        <f>IF(Times!D374&lt;&gt;"",IF(ISERR(SEARCH("V",Times!I374,1)),IF(ISERR(SEARCH("S",Times!I374,1)),"S","S"),"V"),"")</f>
        <v/>
      </c>
      <c r="AF374" s="161" t="str">
        <f>IF(Times!D374&lt;&gt;"",SUMIFS(Times!$G$2:G374,$AA$2:AA374,AA374,$AK$2:AK374,"Y"),"")</f>
        <v/>
      </c>
      <c r="AG374" s="154" t="str">
        <f>IF(Times!D374&lt;&gt;"",IF(AND(Times!J374="M",AI374+AL374=AM374,AK374="Y"),AF374,""),"")</f>
        <v/>
      </c>
      <c r="AH374" s="154" t="str">
        <f>IF(Times!D374&lt;&gt;"",IF(AND(Times!J374="F",AI374+AL374=AM374,AK374="Y"),AF374,""),"")</f>
        <v/>
      </c>
      <c r="AI374" s="154">
        <f>COUNTIF(Z$2:Z374,CONCATENATE("V",AA374))</f>
        <v>0</v>
      </c>
      <c r="AJ374" s="154">
        <f>COUNTIF(Z$2:Z374,CONCATENATE("S",AA374))</f>
        <v>0</v>
      </c>
      <c r="AK374" s="154" t="e">
        <f t="shared" si="95"/>
        <v>#VALUE!</v>
      </c>
      <c r="AL374" s="154">
        <f>IF(AND(Times!J374="M",AJ374&gt;3),3, IF(AND(Times!J374="F",AJ374&gt;2),2,AJ374))</f>
        <v>0</v>
      </c>
      <c r="AM374" s="154" t="str">
        <f>IF(Times!J374="M",6, IF(Times!J374="F",4,""))</f>
        <v/>
      </c>
      <c r="AN374" s="154" t="str">
        <f t="shared" si="96"/>
        <v/>
      </c>
      <c r="AO374" s="154" t="str">
        <f t="shared" si="97"/>
        <v/>
      </c>
    </row>
    <row r="375" spans="26:41" x14ac:dyDescent="0.25">
      <c r="Z375" s="154" t="str">
        <f>CONCATENATE(AE375,Times!AD375)</f>
        <v/>
      </c>
      <c r="AA375" s="154" t="str">
        <f>Times!AD375</f>
        <v/>
      </c>
      <c r="AB375" s="154" t="e">
        <f>IF(AK375="Y",CONCATENATE(AA375,COUNTIFS($AK$2:AK375,"=Y",$AA$2:AA375,AA375)),"")</f>
        <v>#VALUE!</v>
      </c>
      <c r="AC375" s="154" t="str">
        <f>Times!K375</f>
        <v/>
      </c>
      <c r="AD375" s="154">
        <f>Times!G375</f>
        <v>69</v>
      </c>
      <c r="AE375" s="154" t="str">
        <f>IF(Times!D375&lt;&gt;"",IF(ISERR(SEARCH("V",Times!I375,1)),IF(ISERR(SEARCH("S",Times!I375,1)),"S","S"),"V"),"")</f>
        <v/>
      </c>
      <c r="AF375" s="161" t="str">
        <f>IF(Times!D375&lt;&gt;"",SUMIFS(Times!$G$2:G375,$AA$2:AA375,AA375,$AK$2:AK375,"Y"),"")</f>
        <v/>
      </c>
      <c r="AG375" s="154" t="str">
        <f>IF(Times!D375&lt;&gt;"",IF(AND(Times!J375="M",AI375+AL375=AM375,AK375="Y"),AF375,""),"")</f>
        <v/>
      </c>
      <c r="AH375" s="154" t="str">
        <f>IF(Times!D375&lt;&gt;"",IF(AND(Times!J375="F",AI375+AL375=AM375,AK375="Y"),AF375,""),"")</f>
        <v/>
      </c>
      <c r="AI375" s="154">
        <f>COUNTIF(Z$2:Z375,CONCATENATE("V",AA375))</f>
        <v>0</v>
      </c>
      <c r="AJ375" s="154">
        <f>COUNTIF(Z$2:Z375,CONCATENATE("S",AA375))</f>
        <v>0</v>
      </c>
      <c r="AK375" s="154" t="e">
        <f t="shared" si="95"/>
        <v>#VALUE!</v>
      </c>
      <c r="AL375" s="154">
        <f>IF(AND(Times!J375="M",AJ375&gt;3),3, IF(AND(Times!J375="F",AJ375&gt;2),2,AJ375))</f>
        <v>0</v>
      </c>
      <c r="AM375" s="154" t="str">
        <f>IF(Times!J375="M",6, IF(Times!J375="F",4,""))</f>
        <v/>
      </c>
      <c r="AN375" s="154" t="str">
        <f t="shared" si="96"/>
        <v/>
      </c>
      <c r="AO375" s="154" t="str">
        <f t="shared" si="97"/>
        <v/>
      </c>
    </row>
    <row r="376" spans="26:41" x14ac:dyDescent="0.25">
      <c r="Z376" s="154" t="str">
        <f>CONCATENATE(AE376,Times!AD376)</f>
        <v/>
      </c>
      <c r="AA376" s="154" t="str">
        <f>Times!AD376</f>
        <v/>
      </c>
      <c r="AB376" s="154" t="e">
        <f>IF(AK376="Y",CONCATENATE(AA376,COUNTIFS($AK$2:AK376,"=Y",$AA$2:AA376,AA376)),"")</f>
        <v>#VALUE!</v>
      </c>
      <c r="AC376" s="154" t="str">
        <f>Times!K376</f>
        <v/>
      </c>
      <c r="AD376" s="154">
        <f>Times!G376</f>
        <v>70</v>
      </c>
      <c r="AE376" s="154" t="str">
        <f>IF(Times!D376&lt;&gt;"",IF(ISERR(SEARCH("V",Times!I376,1)),IF(ISERR(SEARCH("S",Times!I376,1)),"S","S"),"V"),"")</f>
        <v/>
      </c>
      <c r="AF376" s="161" t="str">
        <f>IF(Times!D376&lt;&gt;"",SUMIFS(Times!$G$2:G376,$AA$2:AA376,AA376,$AK$2:AK376,"Y"),"")</f>
        <v/>
      </c>
      <c r="AG376" s="154" t="str">
        <f>IF(Times!D376&lt;&gt;"",IF(AND(Times!J376="M",AI376+AL376=AM376,AK376="Y"),AF376,""),"")</f>
        <v/>
      </c>
      <c r="AH376" s="154" t="str">
        <f>IF(Times!D376&lt;&gt;"",IF(AND(Times!J376="F",AI376+AL376=AM376,AK376="Y"),AF376,""),"")</f>
        <v/>
      </c>
      <c r="AI376" s="154">
        <f>COUNTIF(Z$2:Z376,CONCATENATE("V",AA376))</f>
        <v>0</v>
      </c>
      <c r="AJ376" s="154">
        <f>COUNTIF(Z$2:Z376,CONCATENATE("S",AA376))</f>
        <v>0</v>
      </c>
      <c r="AK376" s="154" t="e">
        <f t="shared" si="95"/>
        <v>#VALUE!</v>
      </c>
      <c r="AL376" s="154">
        <f>IF(AND(Times!J376="M",AJ376&gt;3),3, IF(AND(Times!J376="F",AJ376&gt;2),2,AJ376))</f>
        <v>0</v>
      </c>
      <c r="AM376" s="154" t="str">
        <f>IF(Times!J376="M",6, IF(Times!J376="F",4,""))</f>
        <v/>
      </c>
      <c r="AN376" s="154" t="str">
        <f t="shared" si="96"/>
        <v/>
      </c>
      <c r="AO376" s="154" t="str">
        <f t="shared" si="97"/>
        <v/>
      </c>
    </row>
    <row r="377" spans="26:41" x14ac:dyDescent="0.25">
      <c r="Z377" s="154" t="str">
        <f>CONCATENATE(AE377,Times!AD377)</f>
        <v/>
      </c>
      <c r="AA377" s="154" t="str">
        <f>Times!AD377</f>
        <v/>
      </c>
      <c r="AB377" s="154" t="e">
        <f>IF(AK377="Y",CONCATENATE(AA377,COUNTIFS($AK$2:AK377,"=Y",$AA$2:AA377,AA377)),"")</f>
        <v>#VALUE!</v>
      </c>
      <c r="AC377" s="154" t="str">
        <f>Times!K377</f>
        <v/>
      </c>
      <c r="AD377" s="154">
        <f>Times!G377</f>
        <v>71</v>
      </c>
      <c r="AE377" s="154" t="str">
        <f>IF(Times!D377&lt;&gt;"",IF(ISERR(SEARCH("V",Times!I377,1)),IF(ISERR(SEARCH("S",Times!I377,1)),"S","S"),"V"),"")</f>
        <v/>
      </c>
      <c r="AF377" s="161" t="str">
        <f>IF(Times!D377&lt;&gt;"",SUMIFS(Times!$G$2:G377,$AA$2:AA377,AA377,$AK$2:AK377,"Y"),"")</f>
        <v/>
      </c>
      <c r="AG377" s="154" t="str">
        <f>IF(Times!D377&lt;&gt;"",IF(AND(Times!J377="M",AI377+AL377=AM377,AK377="Y"),AF377,""),"")</f>
        <v/>
      </c>
      <c r="AH377" s="154" t="str">
        <f>IF(Times!D377&lt;&gt;"",IF(AND(Times!J377="F",AI377+AL377=AM377,AK377="Y"),AF377,""),"")</f>
        <v/>
      </c>
      <c r="AI377" s="154">
        <f>COUNTIF(Z$2:Z377,CONCATENATE("V",AA377))</f>
        <v>0</v>
      </c>
      <c r="AJ377" s="154">
        <f>COUNTIF(Z$2:Z377,CONCATENATE("S",AA377))</f>
        <v>0</v>
      </c>
      <c r="AK377" s="154" t="e">
        <f t="shared" si="95"/>
        <v>#VALUE!</v>
      </c>
      <c r="AL377" s="154">
        <f>IF(AND(Times!J377="M",AJ377&gt;3),3, IF(AND(Times!J377="F",AJ377&gt;2),2,AJ377))</f>
        <v>0</v>
      </c>
      <c r="AM377" s="154" t="str">
        <f>IF(Times!J377="M",6, IF(Times!J377="F",4,""))</f>
        <v/>
      </c>
      <c r="AN377" s="154" t="str">
        <f t="shared" si="96"/>
        <v/>
      </c>
      <c r="AO377" s="154" t="str">
        <f t="shared" si="97"/>
        <v/>
      </c>
    </row>
    <row r="378" spans="26:41" x14ac:dyDescent="0.25">
      <c r="Z378" s="154" t="str">
        <f>CONCATENATE(AE378,Times!AD378)</f>
        <v/>
      </c>
      <c r="AA378" s="154" t="str">
        <f>Times!AD378</f>
        <v/>
      </c>
      <c r="AB378" s="154" t="e">
        <f>IF(AK378="Y",CONCATENATE(AA378,COUNTIFS($AK$2:AK378,"=Y",$AA$2:AA378,AA378)),"")</f>
        <v>#VALUE!</v>
      </c>
      <c r="AC378" s="154" t="str">
        <f>Times!K378</f>
        <v/>
      </c>
      <c r="AD378" s="154">
        <f>Times!G378</f>
        <v>72</v>
      </c>
      <c r="AE378" s="154" t="str">
        <f>IF(Times!D378&lt;&gt;"",IF(ISERR(SEARCH("V",Times!I378,1)),IF(ISERR(SEARCH("S",Times!I378,1)),"S","S"),"V"),"")</f>
        <v/>
      </c>
      <c r="AF378" s="161" t="str">
        <f>IF(Times!D378&lt;&gt;"",SUMIFS(Times!$G$2:G378,$AA$2:AA378,AA378,$AK$2:AK378,"Y"),"")</f>
        <v/>
      </c>
      <c r="AG378" s="154" t="str">
        <f>IF(Times!D378&lt;&gt;"",IF(AND(Times!J378="M",AI378+AL378=AM378,AK378="Y"),AF378,""),"")</f>
        <v/>
      </c>
      <c r="AH378" s="154" t="str">
        <f>IF(Times!D378&lt;&gt;"",IF(AND(Times!J378="F",AI378+AL378=AM378,AK378="Y"),AF378,""),"")</f>
        <v/>
      </c>
      <c r="AI378" s="154">
        <f>COUNTIF(Z$2:Z378,CONCATENATE("V",AA378))</f>
        <v>0</v>
      </c>
      <c r="AJ378" s="154">
        <f>COUNTIF(Z$2:Z378,CONCATENATE("S",AA378))</f>
        <v>0</v>
      </c>
      <c r="AK378" s="154" t="e">
        <f t="shared" si="95"/>
        <v>#VALUE!</v>
      </c>
      <c r="AL378" s="154">
        <f>IF(AND(Times!J378="M",AJ378&gt;3),3, IF(AND(Times!J378="F",AJ378&gt;2),2,AJ378))</f>
        <v>0</v>
      </c>
      <c r="AM378" s="154" t="str">
        <f>IF(Times!J378="M",6, IF(Times!J378="F",4,""))</f>
        <v/>
      </c>
      <c r="AN378" s="154" t="str">
        <f t="shared" si="96"/>
        <v/>
      </c>
      <c r="AO378" s="154" t="str">
        <f t="shared" si="97"/>
        <v/>
      </c>
    </row>
    <row r="379" spans="26:41" x14ac:dyDescent="0.25">
      <c r="Z379" s="154" t="str">
        <f>CONCATENATE(AE379,Times!AD379)</f>
        <v/>
      </c>
      <c r="AA379" s="154" t="str">
        <f>Times!AD379</f>
        <v/>
      </c>
      <c r="AB379" s="154" t="e">
        <f>IF(AK379="Y",CONCATENATE(AA379,COUNTIFS($AK$2:AK379,"=Y",$AA$2:AA379,AA379)),"")</f>
        <v>#VALUE!</v>
      </c>
      <c r="AC379" s="154" t="str">
        <f>Times!K379</f>
        <v/>
      </c>
      <c r="AD379" s="154">
        <f>Times!G379</f>
        <v>73</v>
      </c>
      <c r="AE379" s="154" t="str">
        <f>IF(Times!D379&lt;&gt;"",IF(ISERR(SEARCH("V",Times!I379,1)),IF(ISERR(SEARCH("S",Times!I379,1)),"S","S"),"V"),"")</f>
        <v/>
      </c>
      <c r="AF379" s="161" t="str">
        <f>IF(Times!D379&lt;&gt;"",SUMIFS(Times!$G$2:G379,$AA$2:AA379,AA379,$AK$2:AK379,"Y"),"")</f>
        <v/>
      </c>
      <c r="AG379" s="154" t="str">
        <f>IF(Times!D379&lt;&gt;"",IF(AND(Times!J379="M",AI379+AL379=AM379,AK379="Y"),AF379,""),"")</f>
        <v/>
      </c>
      <c r="AH379" s="154" t="str">
        <f>IF(Times!D379&lt;&gt;"",IF(AND(Times!J379="F",AI379+AL379=AM379,AK379="Y"),AF379,""),"")</f>
        <v/>
      </c>
      <c r="AI379" s="154">
        <f>COUNTIF(Z$2:Z379,CONCATENATE("V",AA379))</f>
        <v>0</v>
      </c>
      <c r="AJ379" s="154">
        <f>COUNTIF(Z$2:Z379,CONCATENATE("S",AA379))</f>
        <v>0</v>
      </c>
      <c r="AK379" s="154" t="e">
        <f t="shared" si="95"/>
        <v>#VALUE!</v>
      </c>
      <c r="AL379" s="154">
        <f>IF(AND(Times!J379="M",AJ379&gt;3),3, IF(AND(Times!J379="F",AJ379&gt;2),2,AJ379))</f>
        <v>0</v>
      </c>
      <c r="AM379" s="154" t="str">
        <f>IF(Times!J379="M",6, IF(Times!J379="F",4,""))</f>
        <v/>
      </c>
      <c r="AN379" s="154" t="str">
        <f t="shared" si="96"/>
        <v/>
      </c>
      <c r="AO379" s="154" t="str">
        <f t="shared" si="97"/>
        <v/>
      </c>
    </row>
    <row r="380" spans="26:41" x14ac:dyDescent="0.25">
      <c r="Z380" s="154" t="str">
        <f>CONCATENATE(AE380,Times!AD380)</f>
        <v/>
      </c>
      <c r="AA380" s="154" t="str">
        <f>Times!AD380</f>
        <v/>
      </c>
      <c r="AB380" s="154" t="e">
        <f>IF(AK380="Y",CONCATENATE(AA380,COUNTIFS($AK$2:AK380,"=Y",$AA$2:AA380,AA380)),"")</f>
        <v>#VALUE!</v>
      </c>
      <c r="AC380" s="154" t="str">
        <f>Times!K380</f>
        <v/>
      </c>
      <c r="AD380" s="154">
        <f>Times!G380</f>
        <v>74</v>
      </c>
      <c r="AE380" s="154" t="str">
        <f>IF(Times!D380&lt;&gt;"",IF(ISERR(SEARCH("V",Times!I380,1)),IF(ISERR(SEARCH("S",Times!I380,1)),"S","S"),"V"),"")</f>
        <v/>
      </c>
      <c r="AF380" s="161" t="str">
        <f>IF(Times!D380&lt;&gt;"",SUMIFS(Times!$G$2:G380,$AA$2:AA380,AA380,$AK$2:AK380,"Y"),"")</f>
        <v/>
      </c>
      <c r="AG380" s="154" t="str">
        <f>IF(Times!D380&lt;&gt;"",IF(AND(Times!J380="M",AI380+AL380=AM380,AK380="Y"),AF380,""),"")</f>
        <v/>
      </c>
      <c r="AH380" s="154" t="str">
        <f>IF(Times!D380&lt;&gt;"",IF(AND(Times!J380="F",AI380+AL380=AM380,AK380="Y"),AF380,""),"")</f>
        <v/>
      </c>
      <c r="AI380" s="154">
        <f>COUNTIF(Z$2:Z380,CONCATENATE("V",AA380))</f>
        <v>0</v>
      </c>
      <c r="AJ380" s="154">
        <f>COUNTIF(Z$2:Z380,CONCATENATE("S",AA380))</f>
        <v>0</v>
      </c>
      <c r="AK380" s="154" t="e">
        <f t="shared" si="95"/>
        <v>#VALUE!</v>
      </c>
      <c r="AL380" s="154">
        <f>IF(AND(Times!J380="M",AJ380&gt;3),3, IF(AND(Times!J380="F",AJ380&gt;2),2,AJ380))</f>
        <v>0</v>
      </c>
      <c r="AM380" s="154" t="str">
        <f>IF(Times!J380="M",6, IF(Times!J380="F",4,""))</f>
        <v/>
      </c>
      <c r="AN380" s="154" t="str">
        <f t="shared" si="96"/>
        <v/>
      </c>
      <c r="AO380" s="154" t="str">
        <f t="shared" si="97"/>
        <v/>
      </c>
    </row>
    <row r="381" spans="26:41" x14ac:dyDescent="0.25">
      <c r="Z381" s="154" t="str">
        <f>CONCATENATE(AE381,Times!AD381)</f>
        <v/>
      </c>
      <c r="AA381" s="154" t="str">
        <f>Times!AD381</f>
        <v/>
      </c>
      <c r="AB381" s="154" t="e">
        <f>IF(AK381="Y",CONCATENATE(AA381,COUNTIFS($AK$2:AK381,"=Y",$AA$2:AA381,AA381)),"")</f>
        <v>#VALUE!</v>
      </c>
      <c r="AC381" s="154" t="str">
        <f>Times!K381</f>
        <v/>
      </c>
      <c r="AD381" s="154">
        <f>Times!G381</f>
        <v>75</v>
      </c>
      <c r="AE381" s="154" t="str">
        <f>IF(Times!D381&lt;&gt;"",IF(ISERR(SEARCH("V",Times!I381,1)),IF(ISERR(SEARCH("S",Times!I381,1)),"S","S"),"V"),"")</f>
        <v/>
      </c>
      <c r="AF381" s="161" t="str">
        <f>IF(Times!D381&lt;&gt;"",SUMIFS(Times!$G$2:G381,$AA$2:AA381,AA381,$AK$2:AK381,"Y"),"")</f>
        <v/>
      </c>
      <c r="AG381" s="154" t="str">
        <f>IF(Times!D381&lt;&gt;"",IF(AND(Times!J381="M",AI381+AL381=AM381,AK381="Y"),AF381,""),"")</f>
        <v/>
      </c>
      <c r="AH381" s="154" t="str">
        <f>IF(Times!D381&lt;&gt;"",IF(AND(Times!J381="F",AI381+AL381=AM381,AK381="Y"),AF381,""),"")</f>
        <v/>
      </c>
      <c r="AI381" s="154">
        <f>COUNTIF(Z$2:Z381,CONCATENATE("V",AA381))</f>
        <v>0</v>
      </c>
      <c r="AJ381" s="154">
        <f>COUNTIF(Z$2:Z381,CONCATENATE("S",AA381))</f>
        <v>0</v>
      </c>
      <c r="AK381" s="154" t="e">
        <f t="shared" si="95"/>
        <v>#VALUE!</v>
      </c>
      <c r="AL381" s="154">
        <f>IF(AND(Times!J381="M",AJ381&gt;3),3, IF(AND(Times!J381="F",AJ381&gt;2),2,AJ381))</f>
        <v>0</v>
      </c>
      <c r="AM381" s="154" t="str">
        <f>IF(Times!J381="M",6, IF(Times!J381="F",4,""))</f>
        <v/>
      </c>
      <c r="AN381" s="154" t="str">
        <f t="shared" si="96"/>
        <v/>
      </c>
      <c r="AO381" s="154" t="str">
        <f t="shared" si="97"/>
        <v/>
      </c>
    </row>
    <row r="382" spans="26:41" x14ac:dyDescent="0.25">
      <c r="Z382" s="154" t="str">
        <f>CONCATENATE(AE382,Times!AD382)</f>
        <v/>
      </c>
      <c r="AA382" s="154" t="str">
        <f>Times!AD382</f>
        <v/>
      </c>
      <c r="AB382" s="154" t="e">
        <f>IF(AK382="Y",CONCATENATE(AA382,COUNTIFS($AK$2:AK382,"=Y",$AA$2:AA382,AA382)),"")</f>
        <v>#VALUE!</v>
      </c>
      <c r="AC382" s="154" t="str">
        <f>Times!K382</f>
        <v/>
      </c>
      <c r="AD382" s="154">
        <f>Times!G382</f>
        <v>76</v>
      </c>
      <c r="AE382" s="154" t="str">
        <f>IF(Times!D382&lt;&gt;"",IF(ISERR(SEARCH("V",Times!I382,1)),IF(ISERR(SEARCH("S",Times!I382,1)),"S","S"),"V"),"")</f>
        <v/>
      </c>
      <c r="AF382" s="161" t="str">
        <f>IF(Times!D382&lt;&gt;"",SUMIFS(Times!$G$2:G382,$AA$2:AA382,AA382,$AK$2:AK382,"Y"),"")</f>
        <v/>
      </c>
      <c r="AG382" s="154" t="str">
        <f>IF(Times!D382&lt;&gt;"",IF(AND(Times!J382="M",AI382+AL382=AM382,AK382="Y"),AF382,""),"")</f>
        <v/>
      </c>
      <c r="AH382" s="154" t="str">
        <f>IF(Times!D382&lt;&gt;"",IF(AND(Times!J382="F",AI382+AL382=AM382,AK382="Y"),AF382,""),"")</f>
        <v/>
      </c>
      <c r="AI382" s="154">
        <f>COUNTIF(Z$2:Z382,CONCATENATE("V",AA382))</f>
        <v>0</v>
      </c>
      <c r="AJ382" s="154">
        <f>COUNTIF(Z$2:Z382,CONCATENATE("S",AA382))</f>
        <v>0</v>
      </c>
      <c r="AK382" s="154" t="e">
        <f t="shared" si="95"/>
        <v>#VALUE!</v>
      </c>
      <c r="AL382" s="154">
        <f>IF(AND(Times!J382="M",AJ382&gt;3),3, IF(AND(Times!J382="F",AJ382&gt;2),2,AJ382))</f>
        <v>0</v>
      </c>
      <c r="AM382" s="154" t="str">
        <f>IF(Times!J382="M",6, IF(Times!J382="F",4,""))</f>
        <v/>
      </c>
      <c r="AN382" s="154" t="str">
        <f t="shared" si="96"/>
        <v/>
      </c>
      <c r="AO382" s="154" t="str">
        <f t="shared" si="97"/>
        <v/>
      </c>
    </row>
    <row r="383" spans="26:41" x14ac:dyDescent="0.25">
      <c r="Z383" s="154" t="str">
        <f>CONCATENATE(AE383,Times!AD383)</f>
        <v/>
      </c>
      <c r="AA383" s="154" t="str">
        <f>Times!AD383</f>
        <v/>
      </c>
      <c r="AB383" s="154" t="e">
        <f>IF(AK383="Y",CONCATENATE(AA383,COUNTIFS($AK$2:AK383,"=Y",$AA$2:AA383,AA383)),"")</f>
        <v>#VALUE!</v>
      </c>
      <c r="AC383" s="154" t="str">
        <f>Times!K383</f>
        <v/>
      </c>
      <c r="AD383" s="154">
        <f>Times!G383</f>
        <v>77</v>
      </c>
      <c r="AE383" s="154" t="str">
        <f>IF(Times!D383&lt;&gt;"",IF(ISERR(SEARCH("V",Times!I383,1)),IF(ISERR(SEARCH("S",Times!I383,1)),"S","S"),"V"),"")</f>
        <v/>
      </c>
      <c r="AF383" s="161" t="str">
        <f>IF(Times!D383&lt;&gt;"",SUMIFS(Times!$G$2:G383,$AA$2:AA383,AA383,$AK$2:AK383,"Y"),"")</f>
        <v/>
      </c>
      <c r="AG383" s="154" t="str">
        <f>IF(Times!D383&lt;&gt;"",IF(AND(Times!J383="M",AI383+AL383=AM383,AK383="Y"),AF383,""),"")</f>
        <v/>
      </c>
      <c r="AH383" s="154" t="str">
        <f>IF(Times!D383&lt;&gt;"",IF(AND(Times!J383="F",AI383+AL383=AM383,AK383="Y"),AF383,""),"")</f>
        <v/>
      </c>
      <c r="AI383" s="154">
        <f>COUNTIF(Z$2:Z383,CONCATENATE("V",AA383))</f>
        <v>0</v>
      </c>
      <c r="AJ383" s="154">
        <f>COUNTIF(Z$2:Z383,CONCATENATE("S",AA383))</f>
        <v>0</v>
      </c>
      <c r="AK383" s="154" t="e">
        <f t="shared" si="95"/>
        <v>#VALUE!</v>
      </c>
      <c r="AL383" s="154">
        <f>IF(AND(Times!J383="M",AJ383&gt;3),3, IF(AND(Times!J383="F",AJ383&gt;2),2,AJ383))</f>
        <v>0</v>
      </c>
      <c r="AM383" s="154" t="str">
        <f>IF(Times!J383="M",6, IF(Times!J383="F",4,""))</f>
        <v/>
      </c>
      <c r="AN383" s="154" t="str">
        <f t="shared" si="96"/>
        <v/>
      </c>
      <c r="AO383" s="154" t="str">
        <f t="shared" si="97"/>
        <v/>
      </c>
    </row>
    <row r="384" spans="26:41" x14ac:dyDescent="0.25">
      <c r="Z384" s="154" t="str">
        <f>CONCATENATE(AE384,Times!AD384)</f>
        <v/>
      </c>
      <c r="AA384" s="154" t="str">
        <f>Times!AD384</f>
        <v/>
      </c>
      <c r="AB384" s="154" t="e">
        <f>IF(AK384="Y",CONCATENATE(AA384,COUNTIFS($AK$2:AK384,"=Y",$AA$2:AA384,AA384)),"")</f>
        <v>#VALUE!</v>
      </c>
      <c r="AC384" s="154" t="str">
        <f>Times!K384</f>
        <v/>
      </c>
      <c r="AD384" s="154">
        <f>Times!G384</f>
        <v>78</v>
      </c>
      <c r="AE384" s="154" t="str">
        <f>IF(Times!D384&lt;&gt;"",IF(ISERR(SEARCH("V",Times!I384,1)),IF(ISERR(SEARCH("S",Times!I384,1)),"S","S"),"V"),"")</f>
        <v/>
      </c>
      <c r="AF384" s="161" t="str">
        <f>IF(Times!D384&lt;&gt;"",SUMIFS(Times!$G$2:G384,$AA$2:AA384,AA384,$AK$2:AK384,"Y"),"")</f>
        <v/>
      </c>
      <c r="AG384" s="154" t="str">
        <f>IF(Times!D384&lt;&gt;"",IF(AND(Times!J384="M",AI384+AL384=AM384,AK384="Y"),AF384,""),"")</f>
        <v/>
      </c>
      <c r="AH384" s="154" t="str">
        <f>IF(Times!D384&lt;&gt;"",IF(AND(Times!J384="F",AI384+AL384=AM384,AK384="Y"),AF384,""),"")</f>
        <v/>
      </c>
      <c r="AI384" s="154">
        <f>COUNTIF(Z$2:Z384,CONCATENATE("V",AA384))</f>
        <v>0</v>
      </c>
      <c r="AJ384" s="154">
        <f>COUNTIF(Z$2:Z384,CONCATENATE("S",AA384))</f>
        <v>0</v>
      </c>
      <c r="AK384" s="154" t="e">
        <f t="shared" si="95"/>
        <v>#VALUE!</v>
      </c>
      <c r="AL384" s="154">
        <f>IF(AND(Times!J384="M",AJ384&gt;3),3, IF(AND(Times!J384="F",AJ384&gt;2),2,AJ384))</f>
        <v>0</v>
      </c>
      <c r="AM384" s="154" t="str">
        <f>IF(Times!J384="M",6, IF(Times!J384="F",4,""))</f>
        <v/>
      </c>
      <c r="AN384" s="154" t="str">
        <f t="shared" si="96"/>
        <v/>
      </c>
      <c r="AO384" s="154" t="str">
        <f t="shared" si="97"/>
        <v/>
      </c>
    </row>
    <row r="385" spans="26:41" x14ac:dyDescent="0.25">
      <c r="Z385" s="154" t="str">
        <f>CONCATENATE(AE385,Times!AD385)</f>
        <v/>
      </c>
      <c r="AA385" s="154" t="str">
        <f>Times!AD385</f>
        <v/>
      </c>
      <c r="AB385" s="154" t="e">
        <f>IF(AK385="Y",CONCATENATE(AA385,COUNTIFS($AK$2:AK385,"=Y",$AA$2:AA385,AA385)),"")</f>
        <v>#VALUE!</v>
      </c>
      <c r="AC385" s="154" t="str">
        <f>Times!K385</f>
        <v/>
      </c>
      <c r="AD385" s="154">
        <f>Times!G385</f>
        <v>79</v>
      </c>
      <c r="AE385" s="154" t="str">
        <f>IF(Times!D385&lt;&gt;"",IF(ISERR(SEARCH("V",Times!I385,1)),IF(ISERR(SEARCH("S",Times!I385,1)),"S","S"),"V"),"")</f>
        <v/>
      </c>
      <c r="AF385" s="161" t="str">
        <f>IF(Times!D385&lt;&gt;"",SUMIFS(Times!$G$2:G385,$AA$2:AA385,AA385,$AK$2:AK385,"Y"),"")</f>
        <v/>
      </c>
      <c r="AG385" s="154" t="str">
        <f>IF(Times!D385&lt;&gt;"",IF(AND(Times!J385="M",AI385+AL385=AM385,AK385="Y"),AF385,""),"")</f>
        <v/>
      </c>
      <c r="AH385" s="154" t="str">
        <f>IF(Times!D385&lt;&gt;"",IF(AND(Times!J385="F",AI385+AL385=AM385,AK385="Y"),AF385,""),"")</f>
        <v/>
      </c>
      <c r="AI385" s="154">
        <f>COUNTIF(Z$2:Z385,CONCATENATE("V",AA385))</f>
        <v>0</v>
      </c>
      <c r="AJ385" s="154">
        <f>COUNTIF(Z$2:Z385,CONCATENATE("S",AA385))</f>
        <v>0</v>
      </c>
      <c r="AK385" s="154" t="e">
        <f t="shared" si="95"/>
        <v>#VALUE!</v>
      </c>
      <c r="AL385" s="154">
        <f>IF(AND(Times!J385="M",AJ385&gt;3),3, IF(AND(Times!J385="F",AJ385&gt;2),2,AJ385))</f>
        <v>0</v>
      </c>
      <c r="AM385" s="154" t="str">
        <f>IF(Times!J385="M",6, IF(Times!J385="F",4,""))</f>
        <v/>
      </c>
      <c r="AN385" s="154" t="str">
        <f t="shared" si="96"/>
        <v/>
      </c>
      <c r="AO385" s="154" t="str">
        <f t="shared" si="97"/>
        <v/>
      </c>
    </row>
    <row r="386" spans="26:41" x14ac:dyDescent="0.25">
      <c r="Z386" s="154" t="str">
        <f>CONCATENATE(AE386,Times!AD386)</f>
        <v/>
      </c>
      <c r="AA386" s="154" t="str">
        <f>Times!AD386</f>
        <v/>
      </c>
      <c r="AB386" s="154" t="e">
        <f>IF(AK386="Y",CONCATENATE(AA386,COUNTIFS($AK$2:AK386,"=Y",$AA$2:AA386,AA386)),"")</f>
        <v>#VALUE!</v>
      </c>
      <c r="AC386" s="154" t="str">
        <f>Times!K386</f>
        <v/>
      </c>
      <c r="AD386" s="154">
        <f>Times!G386</f>
        <v>80</v>
      </c>
      <c r="AE386" s="154" t="str">
        <f>IF(Times!D386&lt;&gt;"",IF(ISERR(SEARCH("V",Times!I386,1)),IF(ISERR(SEARCH("S",Times!I386,1)),"S","S"),"V"),"")</f>
        <v/>
      </c>
      <c r="AF386" s="161" t="str">
        <f>IF(Times!D386&lt;&gt;"",SUMIFS(Times!$G$2:G386,$AA$2:AA386,AA386,$AK$2:AK386,"Y"),"")</f>
        <v/>
      </c>
      <c r="AG386" s="154" t="str">
        <f>IF(Times!D386&lt;&gt;"",IF(AND(Times!J386="M",AI386+AL386=AM386,AK386="Y"),AF386,""),"")</f>
        <v/>
      </c>
      <c r="AH386" s="154" t="str">
        <f>IF(Times!D386&lt;&gt;"",IF(AND(Times!J386="F",AI386+AL386=AM386,AK386="Y"),AF386,""),"")</f>
        <v/>
      </c>
      <c r="AI386" s="154">
        <f>COUNTIF(Z$2:Z386,CONCATENATE("V",AA386))</f>
        <v>0</v>
      </c>
      <c r="AJ386" s="154">
        <f>COUNTIF(Z$2:Z386,CONCATENATE("S",AA386))</f>
        <v>0</v>
      </c>
      <c r="AK386" s="154" t="e">
        <f t="shared" si="95"/>
        <v>#VALUE!</v>
      </c>
      <c r="AL386" s="154">
        <f>IF(AND(Times!J386="M",AJ386&gt;3),3, IF(AND(Times!J386="F",AJ386&gt;2),2,AJ386))</f>
        <v>0</v>
      </c>
      <c r="AM386" s="154" t="str">
        <f>IF(Times!J386="M",6, IF(Times!J386="F",4,""))</f>
        <v/>
      </c>
      <c r="AN386" s="154" t="str">
        <f t="shared" si="96"/>
        <v/>
      </c>
      <c r="AO386" s="154" t="str">
        <f t="shared" si="97"/>
        <v/>
      </c>
    </row>
    <row r="387" spans="26:41" x14ac:dyDescent="0.25">
      <c r="Z387" s="154" t="str">
        <f>CONCATENATE(AE387,Times!AD387)</f>
        <v/>
      </c>
      <c r="AA387" s="154" t="str">
        <f>Times!AD387</f>
        <v/>
      </c>
      <c r="AB387" s="154" t="e">
        <f>IF(AK387="Y",CONCATENATE(AA387,COUNTIFS($AK$2:AK387,"=Y",$AA$2:AA387,AA387)),"")</f>
        <v>#VALUE!</v>
      </c>
      <c r="AC387" s="154" t="str">
        <f>Times!K387</f>
        <v/>
      </c>
      <c r="AD387" s="154">
        <f>Times!G387</f>
        <v>81</v>
      </c>
      <c r="AE387" s="154" t="str">
        <f>IF(Times!D387&lt;&gt;"",IF(ISERR(SEARCH("V",Times!I387,1)),IF(ISERR(SEARCH("S",Times!I387,1)),"S","S"),"V"),"")</f>
        <v/>
      </c>
      <c r="AF387" s="161" t="str">
        <f>IF(Times!D387&lt;&gt;"",SUMIFS(Times!$G$2:G387,$AA$2:AA387,AA387,$AK$2:AK387,"Y"),"")</f>
        <v/>
      </c>
      <c r="AG387" s="154" t="str">
        <f>IF(Times!D387&lt;&gt;"",IF(AND(Times!J387="M",AI387+AL387=AM387,AK387="Y"),AF387,""),"")</f>
        <v/>
      </c>
      <c r="AH387" s="154" t="str">
        <f>IF(Times!D387&lt;&gt;"",IF(AND(Times!J387="F",AI387+AL387=AM387,AK387="Y"),AF387,""),"")</f>
        <v/>
      </c>
      <c r="AI387" s="154">
        <f>COUNTIF(Z$2:Z387,CONCATENATE("V",AA387))</f>
        <v>0</v>
      </c>
      <c r="AJ387" s="154">
        <f>COUNTIF(Z$2:Z387,CONCATENATE("S",AA387))</f>
        <v>0</v>
      </c>
      <c r="AK387" s="154" t="e">
        <f t="shared" ref="AK387:AK450" si="98">IF(AND(AE387="V",AI387&lt;=AM387-AL387),"Y",IF(AND(AE387="S",AJ387&lt;=AM387/2,AJ387&lt;=AM387-AI387),"Y","N"))</f>
        <v>#VALUE!</v>
      </c>
      <c r="AL387" s="154">
        <f>IF(AND(Times!J387="M",AJ387&gt;3),3, IF(AND(Times!J387="F",AJ387&gt;2),2,AJ387))</f>
        <v>0</v>
      </c>
      <c r="AM387" s="154" t="str">
        <f>IF(Times!J387="M",6, IF(Times!J387="F",4,""))</f>
        <v/>
      </c>
      <c r="AN387" s="154" t="str">
        <f t="shared" ref="AN387:AN450" si="99">IF(AG387&lt;&gt;"",RANK(AG387,AG$2:AG$501,1),"")</f>
        <v/>
      </c>
      <c r="AO387" s="154" t="str">
        <f t="shared" ref="AO387:AO450" si="100">IF(AH387&lt;&gt;"",RANK(AH387,AH$2:AH$501,1),"")</f>
        <v/>
      </c>
    </row>
    <row r="388" spans="26:41" x14ac:dyDescent="0.25">
      <c r="Z388" s="154" t="str">
        <f>CONCATENATE(AE388,Times!AD388)</f>
        <v/>
      </c>
      <c r="AA388" s="154" t="str">
        <f>Times!AD388</f>
        <v/>
      </c>
      <c r="AB388" s="154" t="e">
        <f>IF(AK388="Y",CONCATENATE(AA388,COUNTIFS($AK$2:AK388,"=Y",$AA$2:AA388,AA388)),"")</f>
        <v>#VALUE!</v>
      </c>
      <c r="AC388" s="154" t="str">
        <f>Times!K388</f>
        <v/>
      </c>
      <c r="AD388" s="154">
        <f>Times!G388</f>
        <v>82</v>
      </c>
      <c r="AE388" s="154" t="str">
        <f>IF(Times!D388&lt;&gt;"",IF(ISERR(SEARCH("V",Times!I388,1)),IF(ISERR(SEARCH("S",Times!I388,1)),"S","S"),"V"),"")</f>
        <v/>
      </c>
      <c r="AF388" s="161" t="str">
        <f>IF(Times!D388&lt;&gt;"",SUMIFS(Times!$G$2:G388,$AA$2:AA388,AA388,$AK$2:AK388,"Y"),"")</f>
        <v/>
      </c>
      <c r="AG388" s="154" t="str">
        <f>IF(Times!D388&lt;&gt;"",IF(AND(Times!J388="M",AI388+AL388=AM388,AK388="Y"),AF388,""),"")</f>
        <v/>
      </c>
      <c r="AH388" s="154" t="str">
        <f>IF(Times!D388&lt;&gt;"",IF(AND(Times!J388="F",AI388+AL388=AM388,AK388="Y"),AF388,""),"")</f>
        <v/>
      </c>
      <c r="AI388" s="154">
        <f>COUNTIF(Z$2:Z388,CONCATENATE("V",AA388))</f>
        <v>0</v>
      </c>
      <c r="AJ388" s="154">
        <f>COUNTIF(Z$2:Z388,CONCATENATE("S",AA388))</f>
        <v>0</v>
      </c>
      <c r="AK388" s="154" t="e">
        <f t="shared" si="98"/>
        <v>#VALUE!</v>
      </c>
      <c r="AL388" s="154">
        <f>IF(AND(Times!J388="M",AJ388&gt;3),3, IF(AND(Times!J388="F",AJ388&gt;2),2,AJ388))</f>
        <v>0</v>
      </c>
      <c r="AM388" s="154" t="str">
        <f>IF(Times!J388="M",6, IF(Times!J388="F",4,""))</f>
        <v/>
      </c>
      <c r="AN388" s="154" t="str">
        <f t="shared" si="99"/>
        <v/>
      </c>
      <c r="AO388" s="154" t="str">
        <f t="shared" si="100"/>
        <v/>
      </c>
    </row>
    <row r="389" spans="26:41" x14ac:dyDescent="0.25">
      <c r="Z389" s="154" t="str">
        <f>CONCATENATE(AE389,Times!AD389)</f>
        <v/>
      </c>
      <c r="AA389" s="154" t="str">
        <f>Times!AD389</f>
        <v/>
      </c>
      <c r="AB389" s="154" t="e">
        <f>IF(AK389="Y",CONCATENATE(AA389,COUNTIFS($AK$2:AK389,"=Y",$AA$2:AA389,AA389)),"")</f>
        <v>#VALUE!</v>
      </c>
      <c r="AC389" s="154" t="str">
        <f>Times!K389</f>
        <v/>
      </c>
      <c r="AD389" s="154">
        <f>Times!G389</f>
        <v>83</v>
      </c>
      <c r="AE389" s="154" t="str">
        <f>IF(Times!D389&lt;&gt;"",IF(ISERR(SEARCH("V",Times!I389,1)),IF(ISERR(SEARCH("S",Times!I389,1)),"S","S"),"V"),"")</f>
        <v/>
      </c>
      <c r="AF389" s="161" t="str">
        <f>IF(Times!D389&lt;&gt;"",SUMIFS(Times!$G$2:G389,$AA$2:AA389,AA389,$AK$2:AK389,"Y"),"")</f>
        <v/>
      </c>
      <c r="AG389" s="154" t="str">
        <f>IF(Times!D389&lt;&gt;"",IF(AND(Times!J389="M",AI389+AL389=AM389,AK389="Y"),AF389,""),"")</f>
        <v/>
      </c>
      <c r="AH389" s="154" t="str">
        <f>IF(Times!D389&lt;&gt;"",IF(AND(Times!J389="F",AI389+AL389=AM389,AK389="Y"),AF389,""),"")</f>
        <v/>
      </c>
      <c r="AI389" s="154">
        <f>COUNTIF(Z$2:Z389,CONCATENATE("V",AA389))</f>
        <v>0</v>
      </c>
      <c r="AJ389" s="154">
        <f>COUNTIF(Z$2:Z389,CONCATENATE("S",AA389))</f>
        <v>0</v>
      </c>
      <c r="AK389" s="154" t="e">
        <f t="shared" si="98"/>
        <v>#VALUE!</v>
      </c>
      <c r="AL389" s="154">
        <f>IF(AND(Times!J389="M",AJ389&gt;3),3, IF(AND(Times!J389="F",AJ389&gt;2),2,AJ389))</f>
        <v>0</v>
      </c>
      <c r="AM389" s="154" t="str">
        <f>IF(Times!J389="M",6, IF(Times!J389="F",4,""))</f>
        <v/>
      </c>
      <c r="AN389" s="154" t="str">
        <f t="shared" si="99"/>
        <v/>
      </c>
      <c r="AO389" s="154" t="str">
        <f t="shared" si="100"/>
        <v/>
      </c>
    </row>
    <row r="390" spans="26:41" x14ac:dyDescent="0.25">
      <c r="Z390" s="154" t="str">
        <f>CONCATENATE(AE390,Times!AD390)</f>
        <v/>
      </c>
      <c r="AA390" s="154" t="str">
        <f>Times!AD390</f>
        <v/>
      </c>
      <c r="AB390" s="154" t="e">
        <f>IF(AK390="Y",CONCATENATE(AA390,COUNTIFS($AK$2:AK390,"=Y",$AA$2:AA390,AA390)),"")</f>
        <v>#VALUE!</v>
      </c>
      <c r="AC390" s="154" t="str">
        <f>Times!K390</f>
        <v/>
      </c>
      <c r="AD390" s="154">
        <f>Times!G390</f>
        <v>84</v>
      </c>
      <c r="AE390" s="154" t="str">
        <f>IF(Times!D390&lt;&gt;"",IF(ISERR(SEARCH("V",Times!I390,1)),IF(ISERR(SEARCH("S",Times!I390,1)),"S","S"),"V"),"")</f>
        <v/>
      </c>
      <c r="AF390" s="161" t="str">
        <f>IF(Times!D390&lt;&gt;"",SUMIFS(Times!$G$2:G390,$AA$2:AA390,AA390,$AK$2:AK390,"Y"),"")</f>
        <v/>
      </c>
      <c r="AG390" s="154" t="str">
        <f>IF(Times!D390&lt;&gt;"",IF(AND(Times!J390="M",AI390+AL390=AM390,AK390="Y"),AF390,""),"")</f>
        <v/>
      </c>
      <c r="AH390" s="154" t="str">
        <f>IF(Times!D390&lt;&gt;"",IF(AND(Times!J390="F",AI390+AL390=AM390,AK390="Y"),AF390,""),"")</f>
        <v/>
      </c>
      <c r="AI390" s="154">
        <f>COUNTIF(Z$2:Z390,CONCATENATE("V",AA390))</f>
        <v>0</v>
      </c>
      <c r="AJ390" s="154">
        <f>COUNTIF(Z$2:Z390,CONCATENATE("S",AA390))</f>
        <v>0</v>
      </c>
      <c r="AK390" s="154" t="e">
        <f t="shared" si="98"/>
        <v>#VALUE!</v>
      </c>
      <c r="AL390" s="154">
        <f>IF(AND(Times!J390="M",AJ390&gt;3),3, IF(AND(Times!J390="F",AJ390&gt;2),2,AJ390))</f>
        <v>0</v>
      </c>
      <c r="AM390" s="154" t="str">
        <f>IF(Times!J390="M",6, IF(Times!J390="F",4,""))</f>
        <v/>
      </c>
      <c r="AN390" s="154" t="str">
        <f t="shared" si="99"/>
        <v/>
      </c>
      <c r="AO390" s="154" t="str">
        <f t="shared" si="100"/>
        <v/>
      </c>
    </row>
    <row r="391" spans="26:41" x14ac:dyDescent="0.25">
      <c r="Z391" s="154" t="str">
        <f>CONCATENATE(AE391,Times!AD391)</f>
        <v/>
      </c>
      <c r="AA391" s="154" t="str">
        <f>Times!AD391</f>
        <v/>
      </c>
      <c r="AB391" s="154" t="e">
        <f>IF(AK391="Y",CONCATENATE(AA391,COUNTIFS($AK$2:AK391,"=Y",$AA$2:AA391,AA391)),"")</f>
        <v>#VALUE!</v>
      </c>
      <c r="AC391" s="154" t="str">
        <f>Times!K391</f>
        <v/>
      </c>
      <c r="AD391" s="154">
        <f>Times!G391</f>
        <v>85</v>
      </c>
      <c r="AE391" s="154" t="str">
        <f>IF(Times!D391&lt;&gt;"",IF(ISERR(SEARCH("V",Times!I391,1)),IF(ISERR(SEARCH("S",Times!I391,1)),"S","S"),"V"),"")</f>
        <v/>
      </c>
      <c r="AF391" s="161" t="str">
        <f>IF(Times!D391&lt;&gt;"",SUMIFS(Times!$G$2:G391,$AA$2:AA391,AA391,$AK$2:AK391,"Y"),"")</f>
        <v/>
      </c>
      <c r="AG391" s="154" t="str">
        <f>IF(Times!D391&lt;&gt;"",IF(AND(Times!J391="M",AI391+AL391=AM391,AK391="Y"),AF391,""),"")</f>
        <v/>
      </c>
      <c r="AH391" s="154" t="str">
        <f>IF(Times!D391&lt;&gt;"",IF(AND(Times!J391="F",AI391+AL391=AM391,AK391="Y"),AF391,""),"")</f>
        <v/>
      </c>
      <c r="AI391" s="154">
        <f>COUNTIF(Z$2:Z391,CONCATENATE("V",AA391))</f>
        <v>0</v>
      </c>
      <c r="AJ391" s="154">
        <f>COUNTIF(Z$2:Z391,CONCATENATE("S",AA391))</f>
        <v>0</v>
      </c>
      <c r="AK391" s="154" t="e">
        <f t="shared" si="98"/>
        <v>#VALUE!</v>
      </c>
      <c r="AL391" s="154">
        <f>IF(AND(Times!J391="M",AJ391&gt;3),3, IF(AND(Times!J391="F",AJ391&gt;2),2,AJ391))</f>
        <v>0</v>
      </c>
      <c r="AM391" s="154" t="str">
        <f>IF(Times!J391="M",6, IF(Times!J391="F",4,""))</f>
        <v/>
      </c>
      <c r="AN391" s="154" t="str">
        <f t="shared" si="99"/>
        <v/>
      </c>
      <c r="AO391" s="154" t="str">
        <f t="shared" si="100"/>
        <v/>
      </c>
    </row>
    <row r="392" spans="26:41" x14ac:dyDescent="0.25">
      <c r="Z392" s="154" t="str">
        <f>CONCATENATE(AE392,Times!AD392)</f>
        <v/>
      </c>
      <c r="AA392" s="154" t="str">
        <f>Times!AD392</f>
        <v/>
      </c>
      <c r="AB392" s="154" t="e">
        <f>IF(AK392="Y",CONCATENATE(AA392,COUNTIFS($AK$2:AK392,"=Y",$AA$2:AA392,AA392)),"")</f>
        <v>#VALUE!</v>
      </c>
      <c r="AC392" s="154" t="str">
        <f>Times!K392</f>
        <v/>
      </c>
      <c r="AD392" s="154">
        <f>Times!G392</f>
        <v>86</v>
      </c>
      <c r="AE392" s="154" t="str">
        <f>IF(Times!D392&lt;&gt;"",IF(ISERR(SEARCH("V",Times!I392,1)),IF(ISERR(SEARCH("S",Times!I392,1)),"S","S"),"V"),"")</f>
        <v/>
      </c>
      <c r="AF392" s="161" t="str">
        <f>IF(Times!D392&lt;&gt;"",SUMIFS(Times!$G$2:G392,$AA$2:AA392,AA392,$AK$2:AK392,"Y"),"")</f>
        <v/>
      </c>
      <c r="AG392" s="154" t="str">
        <f>IF(Times!D392&lt;&gt;"",IF(AND(Times!J392="M",AI392+AL392=AM392,AK392="Y"),AF392,""),"")</f>
        <v/>
      </c>
      <c r="AH392" s="154" t="str">
        <f>IF(Times!D392&lt;&gt;"",IF(AND(Times!J392="F",AI392+AL392=AM392,AK392="Y"),AF392,""),"")</f>
        <v/>
      </c>
      <c r="AI392" s="154">
        <f>COUNTIF(Z$2:Z392,CONCATENATE("V",AA392))</f>
        <v>0</v>
      </c>
      <c r="AJ392" s="154">
        <f>COUNTIF(Z$2:Z392,CONCATENATE("S",AA392))</f>
        <v>0</v>
      </c>
      <c r="AK392" s="154" t="e">
        <f t="shared" si="98"/>
        <v>#VALUE!</v>
      </c>
      <c r="AL392" s="154">
        <f>IF(AND(Times!J392="M",AJ392&gt;3),3, IF(AND(Times!J392="F",AJ392&gt;2),2,AJ392))</f>
        <v>0</v>
      </c>
      <c r="AM392" s="154" t="str">
        <f>IF(Times!J392="M",6, IF(Times!J392="F",4,""))</f>
        <v/>
      </c>
      <c r="AN392" s="154" t="str">
        <f t="shared" si="99"/>
        <v/>
      </c>
      <c r="AO392" s="154" t="str">
        <f t="shared" si="100"/>
        <v/>
      </c>
    </row>
    <row r="393" spans="26:41" x14ac:dyDescent="0.25">
      <c r="Z393" s="154" t="str">
        <f>CONCATENATE(AE393,Times!AD393)</f>
        <v/>
      </c>
      <c r="AA393" s="154" t="str">
        <f>Times!AD393</f>
        <v/>
      </c>
      <c r="AB393" s="154" t="e">
        <f>IF(AK393="Y",CONCATENATE(AA393,COUNTIFS($AK$2:AK393,"=Y",$AA$2:AA393,AA393)),"")</f>
        <v>#VALUE!</v>
      </c>
      <c r="AC393" s="154" t="str">
        <f>Times!K393</f>
        <v/>
      </c>
      <c r="AD393" s="154">
        <f>Times!G393</f>
        <v>87</v>
      </c>
      <c r="AE393" s="154" t="str">
        <f>IF(Times!D393&lt;&gt;"",IF(ISERR(SEARCH("V",Times!I393,1)),IF(ISERR(SEARCH("S",Times!I393,1)),"S","S"),"V"),"")</f>
        <v/>
      </c>
      <c r="AF393" s="161" t="str">
        <f>IF(Times!D393&lt;&gt;"",SUMIFS(Times!$G$2:G393,$AA$2:AA393,AA393,$AK$2:AK393,"Y"),"")</f>
        <v/>
      </c>
      <c r="AG393" s="154" t="str">
        <f>IF(Times!D393&lt;&gt;"",IF(AND(Times!J393="M",AI393+AL393=AM393,AK393="Y"),AF393,""),"")</f>
        <v/>
      </c>
      <c r="AH393" s="154" t="str">
        <f>IF(Times!D393&lt;&gt;"",IF(AND(Times!J393="F",AI393+AL393=AM393,AK393="Y"),AF393,""),"")</f>
        <v/>
      </c>
      <c r="AI393" s="154">
        <f>COUNTIF(Z$2:Z393,CONCATENATE("V",AA393))</f>
        <v>0</v>
      </c>
      <c r="AJ393" s="154">
        <f>COUNTIF(Z$2:Z393,CONCATENATE("S",AA393))</f>
        <v>0</v>
      </c>
      <c r="AK393" s="154" t="e">
        <f t="shared" si="98"/>
        <v>#VALUE!</v>
      </c>
      <c r="AL393" s="154">
        <f>IF(AND(Times!J393="M",AJ393&gt;3),3, IF(AND(Times!J393="F",AJ393&gt;2),2,AJ393))</f>
        <v>0</v>
      </c>
      <c r="AM393" s="154" t="str">
        <f>IF(Times!J393="M",6, IF(Times!J393="F",4,""))</f>
        <v/>
      </c>
      <c r="AN393" s="154" t="str">
        <f t="shared" si="99"/>
        <v/>
      </c>
      <c r="AO393" s="154" t="str">
        <f t="shared" si="100"/>
        <v/>
      </c>
    </row>
    <row r="394" spans="26:41" x14ac:dyDescent="0.25">
      <c r="Z394" s="154" t="str">
        <f>CONCATENATE(AE394,Times!AD394)</f>
        <v/>
      </c>
      <c r="AA394" s="154" t="str">
        <f>Times!AD394</f>
        <v/>
      </c>
      <c r="AB394" s="154" t="e">
        <f>IF(AK394="Y",CONCATENATE(AA394,COUNTIFS($AK$2:AK394,"=Y",$AA$2:AA394,AA394)),"")</f>
        <v>#VALUE!</v>
      </c>
      <c r="AC394" s="154" t="str">
        <f>Times!K394</f>
        <v/>
      </c>
      <c r="AD394" s="154">
        <f>Times!G394</f>
        <v>88</v>
      </c>
      <c r="AE394" s="154" t="str">
        <f>IF(Times!D394&lt;&gt;"",IF(ISERR(SEARCH("V",Times!I394,1)),IF(ISERR(SEARCH("S",Times!I394,1)),"S","S"),"V"),"")</f>
        <v/>
      </c>
      <c r="AF394" s="161" t="str">
        <f>IF(Times!D394&lt;&gt;"",SUMIFS(Times!$G$2:G394,$AA$2:AA394,AA394,$AK$2:AK394,"Y"),"")</f>
        <v/>
      </c>
      <c r="AG394" s="154" t="str">
        <f>IF(Times!D394&lt;&gt;"",IF(AND(Times!J394="M",AI394+AL394=AM394,AK394="Y"),AF394,""),"")</f>
        <v/>
      </c>
      <c r="AH394" s="154" t="str">
        <f>IF(Times!D394&lt;&gt;"",IF(AND(Times!J394="F",AI394+AL394=AM394,AK394="Y"),AF394,""),"")</f>
        <v/>
      </c>
      <c r="AI394" s="154">
        <f>COUNTIF(Z$2:Z394,CONCATENATE("V",AA394))</f>
        <v>0</v>
      </c>
      <c r="AJ394" s="154">
        <f>COUNTIF(Z$2:Z394,CONCATENATE("S",AA394))</f>
        <v>0</v>
      </c>
      <c r="AK394" s="154" t="e">
        <f t="shared" si="98"/>
        <v>#VALUE!</v>
      </c>
      <c r="AL394" s="154">
        <f>IF(AND(Times!J394="M",AJ394&gt;3),3, IF(AND(Times!J394="F",AJ394&gt;2),2,AJ394))</f>
        <v>0</v>
      </c>
      <c r="AM394" s="154" t="str">
        <f>IF(Times!J394="M",6, IF(Times!J394="F",4,""))</f>
        <v/>
      </c>
      <c r="AN394" s="154" t="str">
        <f t="shared" si="99"/>
        <v/>
      </c>
      <c r="AO394" s="154" t="str">
        <f t="shared" si="100"/>
        <v/>
      </c>
    </row>
    <row r="395" spans="26:41" x14ac:dyDescent="0.25">
      <c r="Z395" s="154" t="str">
        <f>CONCATENATE(AE395,Times!AD395)</f>
        <v/>
      </c>
      <c r="AA395" s="154" t="str">
        <f>Times!AD395</f>
        <v/>
      </c>
      <c r="AB395" s="154" t="e">
        <f>IF(AK395="Y",CONCATENATE(AA395,COUNTIFS($AK$2:AK395,"=Y",$AA$2:AA395,AA395)),"")</f>
        <v>#VALUE!</v>
      </c>
      <c r="AC395" s="154" t="str">
        <f>Times!K395</f>
        <v/>
      </c>
      <c r="AD395" s="154">
        <f>Times!G395</f>
        <v>89</v>
      </c>
      <c r="AE395" s="154" t="str">
        <f>IF(Times!D395&lt;&gt;"",IF(ISERR(SEARCH("V",Times!I395,1)),IF(ISERR(SEARCH("S",Times!I395,1)),"S","S"),"V"),"")</f>
        <v/>
      </c>
      <c r="AF395" s="161" t="str">
        <f>IF(Times!D395&lt;&gt;"",SUMIFS(Times!$G$2:G395,$AA$2:AA395,AA395,$AK$2:AK395,"Y"),"")</f>
        <v/>
      </c>
      <c r="AG395" s="154" t="str">
        <f>IF(Times!D395&lt;&gt;"",IF(AND(Times!J395="M",AI395+AL395=AM395,AK395="Y"),AF395,""),"")</f>
        <v/>
      </c>
      <c r="AH395" s="154" t="str">
        <f>IF(Times!D395&lt;&gt;"",IF(AND(Times!J395="F",AI395+AL395=AM395,AK395="Y"),AF395,""),"")</f>
        <v/>
      </c>
      <c r="AI395" s="154">
        <f>COUNTIF(Z$2:Z395,CONCATENATE("V",AA395))</f>
        <v>0</v>
      </c>
      <c r="AJ395" s="154">
        <f>COUNTIF(Z$2:Z395,CONCATENATE("S",AA395))</f>
        <v>0</v>
      </c>
      <c r="AK395" s="154" t="e">
        <f t="shared" si="98"/>
        <v>#VALUE!</v>
      </c>
      <c r="AL395" s="154">
        <f>IF(AND(Times!J395="M",AJ395&gt;3),3, IF(AND(Times!J395="F",AJ395&gt;2),2,AJ395))</f>
        <v>0</v>
      </c>
      <c r="AM395" s="154" t="str">
        <f>IF(Times!J395="M",6, IF(Times!J395="F",4,""))</f>
        <v/>
      </c>
      <c r="AN395" s="154" t="str">
        <f t="shared" si="99"/>
        <v/>
      </c>
      <c r="AO395" s="154" t="str">
        <f t="shared" si="100"/>
        <v/>
      </c>
    </row>
    <row r="396" spans="26:41" x14ac:dyDescent="0.25">
      <c r="Z396" s="154" t="str">
        <f>CONCATENATE(AE396,Times!AD396)</f>
        <v/>
      </c>
      <c r="AA396" s="154" t="str">
        <f>Times!AD396</f>
        <v/>
      </c>
      <c r="AB396" s="154" t="e">
        <f>IF(AK396="Y",CONCATENATE(AA396,COUNTIFS($AK$2:AK396,"=Y",$AA$2:AA396,AA396)),"")</f>
        <v>#VALUE!</v>
      </c>
      <c r="AC396" s="154" t="str">
        <f>Times!K396</f>
        <v/>
      </c>
      <c r="AD396" s="154">
        <f>Times!G396</f>
        <v>90</v>
      </c>
      <c r="AE396" s="154" t="str">
        <f>IF(Times!D396&lt;&gt;"",IF(ISERR(SEARCH("V",Times!I396,1)),IF(ISERR(SEARCH("S",Times!I396,1)),"S","S"),"V"),"")</f>
        <v/>
      </c>
      <c r="AF396" s="161" t="str">
        <f>IF(Times!D396&lt;&gt;"",SUMIFS(Times!$G$2:G396,$AA$2:AA396,AA396,$AK$2:AK396,"Y"),"")</f>
        <v/>
      </c>
      <c r="AG396" s="154" t="str">
        <f>IF(Times!D396&lt;&gt;"",IF(AND(Times!J396="M",AI396+AL396=AM396,AK396="Y"),AF396,""),"")</f>
        <v/>
      </c>
      <c r="AH396" s="154" t="str">
        <f>IF(Times!D396&lt;&gt;"",IF(AND(Times!J396="F",AI396+AL396=AM396,AK396="Y"),AF396,""),"")</f>
        <v/>
      </c>
      <c r="AI396" s="154">
        <f>COUNTIF(Z$2:Z396,CONCATENATE("V",AA396))</f>
        <v>0</v>
      </c>
      <c r="AJ396" s="154">
        <f>COUNTIF(Z$2:Z396,CONCATENATE("S",AA396))</f>
        <v>0</v>
      </c>
      <c r="AK396" s="154" t="e">
        <f t="shared" si="98"/>
        <v>#VALUE!</v>
      </c>
      <c r="AL396" s="154">
        <f>IF(AND(Times!J396="M",AJ396&gt;3),3, IF(AND(Times!J396="F",AJ396&gt;2),2,AJ396))</f>
        <v>0</v>
      </c>
      <c r="AM396" s="154" t="str">
        <f>IF(Times!J396="M",6, IF(Times!J396="F",4,""))</f>
        <v/>
      </c>
      <c r="AN396" s="154" t="str">
        <f t="shared" si="99"/>
        <v/>
      </c>
      <c r="AO396" s="154" t="str">
        <f t="shared" si="100"/>
        <v/>
      </c>
    </row>
    <row r="397" spans="26:41" x14ac:dyDescent="0.25">
      <c r="Z397" s="154" t="str">
        <f>CONCATENATE(AE397,Times!AD397)</f>
        <v/>
      </c>
      <c r="AA397" s="154" t="str">
        <f>Times!AD397</f>
        <v/>
      </c>
      <c r="AB397" s="154" t="e">
        <f>IF(AK397="Y",CONCATENATE(AA397,COUNTIFS($AK$2:AK397,"=Y",$AA$2:AA397,AA397)),"")</f>
        <v>#VALUE!</v>
      </c>
      <c r="AC397" s="154" t="str">
        <f>Times!K397</f>
        <v/>
      </c>
      <c r="AD397" s="154">
        <f>Times!G397</f>
        <v>91</v>
      </c>
      <c r="AE397" s="154" t="str">
        <f>IF(Times!D397&lt;&gt;"",IF(ISERR(SEARCH("V",Times!I397,1)),IF(ISERR(SEARCH("S",Times!I397,1)),"S","S"),"V"),"")</f>
        <v/>
      </c>
      <c r="AF397" s="161" t="str">
        <f>IF(Times!D397&lt;&gt;"",SUMIFS(Times!$G$2:G397,$AA$2:AA397,AA397,$AK$2:AK397,"Y"),"")</f>
        <v/>
      </c>
      <c r="AG397" s="154" t="str">
        <f>IF(Times!D397&lt;&gt;"",IF(AND(Times!J397="M",AI397+AL397=AM397,AK397="Y"),AF397,""),"")</f>
        <v/>
      </c>
      <c r="AH397" s="154" t="str">
        <f>IF(Times!D397&lt;&gt;"",IF(AND(Times!J397="F",AI397+AL397=AM397,AK397="Y"),AF397,""),"")</f>
        <v/>
      </c>
      <c r="AI397" s="154">
        <f>COUNTIF(Z$2:Z397,CONCATENATE("V",AA397))</f>
        <v>0</v>
      </c>
      <c r="AJ397" s="154">
        <f>COUNTIF(Z$2:Z397,CONCATENATE("S",AA397))</f>
        <v>0</v>
      </c>
      <c r="AK397" s="154" t="e">
        <f t="shared" si="98"/>
        <v>#VALUE!</v>
      </c>
      <c r="AL397" s="154">
        <f>IF(AND(Times!J397="M",AJ397&gt;3),3, IF(AND(Times!J397="F",AJ397&gt;2),2,AJ397))</f>
        <v>0</v>
      </c>
      <c r="AM397" s="154" t="str">
        <f>IF(Times!J397="M",6, IF(Times!J397="F",4,""))</f>
        <v/>
      </c>
      <c r="AN397" s="154" t="str">
        <f t="shared" si="99"/>
        <v/>
      </c>
      <c r="AO397" s="154" t="str">
        <f t="shared" si="100"/>
        <v/>
      </c>
    </row>
    <row r="398" spans="26:41" x14ac:dyDescent="0.25">
      <c r="Z398" s="154" t="str">
        <f>CONCATENATE(AE398,Times!AD398)</f>
        <v/>
      </c>
      <c r="AA398" s="154" t="str">
        <f>Times!AD398</f>
        <v/>
      </c>
      <c r="AB398" s="154" t="e">
        <f>IF(AK398="Y",CONCATENATE(AA398,COUNTIFS($AK$2:AK398,"=Y",$AA$2:AA398,AA398)),"")</f>
        <v>#VALUE!</v>
      </c>
      <c r="AC398" s="154" t="str">
        <f>Times!K398</f>
        <v/>
      </c>
      <c r="AD398" s="154">
        <f>Times!G398</f>
        <v>92</v>
      </c>
      <c r="AE398" s="154" t="str">
        <f>IF(Times!D398&lt;&gt;"",IF(ISERR(SEARCH("V",Times!I398,1)),IF(ISERR(SEARCH("S",Times!I398,1)),"S","S"),"V"),"")</f>
        <v/>
      </c>
      <c r="AF398" s="161" t="str">
        <f>IF(Times!D398&lt;&gt;"",SUMIFS(Times!$G$2:G398,$AA$2:AA398,AA398,$AK$2:AK398,"Y"),"")</f>
        <v/>
      </c>
      <c r="AG398" s="154" t="str">
        <f>IF(Times!D398&lt;&gt;"",IF(AND(Times!J398="M",AI398+AL398=AM398,AK398="Y"),AF398,""),"")</f>
        <v/>
      </c>
      <c r="AH398" s="154" t="str">
        <f>IF(Times!D398&lt;&gt;"",IF(AND(Times!J398="F",AI398+AL398=AM398,AK398="Y"),AF398,""),"")</f>
        <v/>
      </c>
      <c r="AI398" s="154">
        <f>COUNTIF(Z$2:Z398,CONCATENATE("V",AA398))</f>
        <v>0</v>
      </c>
      <c r="AJ398" s="154">
        <f>COUNTIF(Z$2:Z398,CONCATENATE("S",AA398))</f>
        <v>0</v>
      </c>
      <c r="AK398" s="154" t="e">
        <f t="shared" si="98"/>
        <v>#VALUE!</v>
      </c>
      <c r="AL398" s="154">
        <f>IF(AND(Times!J398="M",AJ398&gt;3),3, IF(AND(Times!J398="F",AJ398&gt;2),2,AJ398))</f>
        <v>0</v>
      </c>
      <c r="AM398" s="154" t="str">
        <f>IF(Times!J398="M",6, IF(Times!J398="F",4,""))</f>
        <v/>
      </c>
      <c r="AN398" s="154" t="str">
        <f t="shared" si="99"/>
        <v/>
      </c>
      <c r="AO398" s="154" t="str">
        <f t="shared" si="100"/>
        <v/>
      </c>
    </row>
    <row r="399" spans="26:41" x14ac:dyDescent="0.25">
      <c r="Z399" s="154" t="str">
        <f>CONCATENATE(AE399,Times!AD399)</f>
        <v/>
      </c>
      <c r="AA399" s="154" t="str">
        <f>Times!AD399</f>
        <v/>
      </c>
      <c r="AB399" s="154" t="e">
        <f>IF(AK399="Y",CONCATENATE(AA399,COUNTIFS($AK$2:AK399,"=Y",$AA$2:AA399,AA399)),"")</f>
        <v>#VALUE!</v>
      </c>
      <c r="AC399" s="154" t="str">
        <f>Times!K399</f>
        <v/>
      </c>
      <c r="AD399" s="154">
        <f>Times!G399</f>
        <v>93</v>
      </c>
      <c r="AE399" s="154" t="str">
        <f>IF(Times!D399&lt;&gt;"",IF(ISERR(SEARCH("V",Times!I399,1)),IF(ISERR(SEARCH("S",Times!I399,1)),"S","S"),"V"),"")</f>
        <v/>
      </c>
      <c r="AF399" s="161" t="str">
        <f>IF(Times!D399&lt;&gt;"",SUMIFS(Times!$G$2:G399,$AA$2:AA399,AA399,$AK$2:AK399,"Y"),"")</f>
        <v/>
      </c>
      <c r="AG399" s="154" t="str">
        <f>IF(Times!D399&lt;&gt;"",IF(AND(Times!J399="M",AI399+AL399=AM399,AK399="Y"),AF399,""),"")</f>
        <v/>
      </c>
      <c r="AH399" s="154" t="str">
        <f>IF(Times!D399&lt;&gt;"",IF(AND(Times!J399="F",AI399+AL399=AM399,AK399="Y"),AF399,""),"")</f>
        <v/>
      </c>
      <c r="AI399" s="154">
        <f>COUNTIF(Z$2:Z399,CONCATENATE("V",AA399))</f>
        <v>0</v>
      </c>
      <c r="AJ399" s="154">
        <f>COUNTIF(Z$2:Z399,CONCATENATE("S",AA399))</f>
        <v>0</v>
      </c>
      <c r="AK399" s="154" t="e">
        <f t="shared" si="98"/>
        <v>#VALUE!</v>
      </c>
      <c r="AL399" s="154">
        <f>IF(AND(Times!J399="M",AJ399&gt;3),3, IF(AND(Times!J399="F",AJ399&gt;2),2,AJ399))</f>
        <v>0</v>
      </c>
      <c r="AM399" s="154" t="str">
        <f>IF(Times!J399="M",6, IF(Times!J399="F",4,""))</f>
        <v/>
      </c>
      <c r="AN399" s="154" t="str">
        <f t="shared" si="99"/>
        <v/>
      </c>
      <c r="AO399" s="154" t="str">
        <f t="shared" si="100"/>
        <v/>
      </c>
    </row>
    <row r="400" spans="26:41" x14ac:dyDescent="0.25">
      <c r="Z400" s="154" t="str">
        <f>CONCATENATE(AE400,Times!AD400)</f>
        <v/>
      </c>
      <c r="AA400" s="154" t="str">
        <f>Times!AD400</f>
        <v/>
      </c>
      <c r="AB400" s="154" t="e">
        <f>IF(AK400="Y",CONCATENATE(AA400,COUNTIFS($AK$2:AK400,"=Y",$AA$2:AA400,AA400)),"")</f>
        <v>#VALUE!</v>
      </c>
      <c r="AC400" s="154" t="str">
        <f>Times!K400</f>
        <v/>
      </c>
      <c r="AD400" s="154">
        <f>Times!G400</f>
        <v>94</v>
      </c>
      <c r="AE400" s="154" t="str">
        <f>IF(Times!D400&lt;&gt;"",IF(ISERR(SEARCH("V",Times!I400,1)),IF(ISERR(SEARCH("S",Times!I400,1)),"S","S"),"V"),"")</f>
        <v/>
      </c>
      <c r="AF400" s="161" t="str">
        <f>IF(Times!D400&lt;&gt;"",SUMIFS(Times!$G$2:G400,$AA$2:AA400,AA400,$AK$2:AK400,"Y"),"")</f>
        <v/>
      </c>
      <c r="AG400" s="154" t="str">
        <f>IF(Times!D400&lt;&gt;"",IF(AND(Times!J400="M",AI400+AL400=AM400,AK400="Y"),AF400,""),"")</f>
        <v/>
      </c>
      <c r="AH400" s="154" t="str">
        <f>IF(Times!D400&lt;&gt;"",IF(AND(Times!J400="F",AI400+AL400=AM400,AK400="Y"),AF400,""),"")</f>
        <v/>
      </c>
      <c r="AI400" s="154">
        <f>COUNTIF(Z$2:Z400,CONCATENATE("V",AA400))</f>
        <v>0</v>
      </c>
      <c r="AJ400" s="154">
        <f>COUNTIF(Z$2:Z400,CONCATENATE("S",AA400))</f>
        <v>0</v>
      </c>
      <c r="AK400" s="154" t="e">
        <f t="shared" si="98"/>
        <v>#VALUE!</v>
      </c>
      <c r="AL400" s="154">
        <f>IF(AND(Times!J400="M",AJ400&gt;3),3, IF(AND(Times!J400="F",AJ400&gt;2),2,AJ400))</f>
        <v>0</v>
      </c>
      <c r="AM400" s="154" t="str">
        <f>IF(Times!J400="M",6, IF(Times!J400="F",4,""))</f>
        <v/>
      </c>
      <c r="AN400" s="154" t="str">
        <f t="shared" si="99"/>
        <v/>
      </c>
      <c r="AO400" s="154" t="str">
        <f t="shared" si="100"/>
        <v/>
      </c>
    </row>
    <row r="401" spans="26:41" x14ac:dyDescent="0.25">
      <c r="Z401" s="154" t="str">
        <f>CONCATENATE(AE401,Times!AD401)</f>
        <v/>
      </c>
      <c r="AA401" s="154" t="str">
        <f>Times!AD401</f>
        <v/>
      </c>
      <c r="AB401" s="154" t="e">
        <f>IF(AK401="Y",CONCATENATE(AA401,COUNTIFS($AK$2:AK401,"=Y",$AA$2:AA401,AA401)),"")</f>
        <v>#VALUE!</v>
      </c>
      <c r="AC401" s="154" t="str">
        <f>Times!K401</f>
        <v/>
      </c>
      <c r="AD401" s="154">
        <f>Times!G401</f>
        <v>95</v>
      </c>
      <c r="AE401" s="154" t="str">
        <f>IF(Times!D401&lt;&gt;"",IF(ISERR(SEARCH("V",Times!I401,1)),IF(ISERR(SEARCH("S",Times!I401,1)),"S","S"),"V"),"")</f>
        <v/>
      </c>
      <c r="AF401" s="161" t="str">
        <f>IF(Times!D401&lt;&gt;"",SUMIFS(Times!$G$2:G401,$AA$2:AA401,AA401,$AK$2:AK401,"Y"),"")</f>
        <v/>
      </c>
      <c r="AG401" s="154" t="str">
        <f>IF(Times!D401&lt;&gt;"",IF(AND(Times!J401="M",AI401+AL401=AM401,AK401="Y"),AF401,""),"")</f>
        <v/>
      </c>
      <c r="AH401" s="154" t="str">
        <f>IF(Times!D401&lt;&gt;"",IF(AND(Times!J401="F",AI401+AL401=AM401,AK401="Y"),AF401,""),"")</f>
        <v/>
      </c>
      <c r="AI401" s="154">
        <f>COUNTIF(Z$2:Z401,CONCATENATE("V",AA401))</f>
        <v>0</v>
      </c>
      <c r="AJ401" s="154">
        <f>COUNTIF(Z$2:Z401,CONCATENATE("S",AA401))</f>
        <v>0</v>
      </c>
      <c r="AK401" s="154" t="e">
        <f t="shared" si="98"/>
        <v>#VALUE!</v>
      </c>
      <c r="AL401" s="154">
        <f>IF(AND(Times!J401="M",AJ401&gt;3),3, IF(AND(Times!J401="F",AJ401&gt;2),2,AJ401))</f>
        <v>0</v>
      </c>
      <c r="AM401" s="154" t="str">
        <f>IF(Times!J401="M",6, IF(Times!J401="F",4,""))</f>
        <v/>
      </c>
      <c r="AN401" s="154" t="str">
        <f t="shared" si="99"/>
        <v/>
      </c>
      <c r="AO401" s="154" t="str">
        <f t="shared" si="100"/>
        <v/>
      </c>
    </row>
    <row r="402" spans="26:41" x14ac:dyDescent="0.25">
      <c r="Z402" s="154" t="str">
        <f>CONCATENATE(AE402,Times!AD402)</f>
        <v/>
      </c>
      <c r="AA402" s="154" t="str">
        <f>Times!AD402</f>
        <v/>
      </c>
      <c r="AB402" s="154" t="e">
        <f>IF(AK402="Y",CONCATENATE(AA402,COUNTIFS($AK$2:AK402,"=Y",$AA$2:AA402,AA402)),"")</f>
        <v>#VALUE!</v>
      </c>
      <c r="AC402" s="154" t="str">
        <f>Times!K402</f>
        <v/>
      </c>
      <c r="AD402" s="154">
        <f>Times!G402</f>
        <v>96</v>
      </c>
      <c r="AE402" s="154" t="str">
        <f>IF(Times!D402&lt;&gt;"",IF(ISERR(SEARCH("V",Times!I402,1)),IF(ISERR(SEARCH("S",Times!I402,1)),"S","S"),"V"),"")</f>
        <v/>
      </c>
      <c r="AF402" s="161" t="str">
        <f>IF(Times!D402&lt;&gt;"",SUMIFS(Times!$G$2:G402,$AA$2:AA402,AA402,$AK$2:AK402,"Y"),"")</f>
        <v/>
      </c>
      <c r="AG402" s="154" t="str">
        <f>IF(Times!D402&lt;&gt;"",IF(AND(Times!J402="M",AI402+AL402=AM402,AK402="Y"),AF402,""),"")</f>
        <v/>
      </c>
      <c r="AH402" s="154" t="str">
        <f>IF(Times!D402&lt;&gt;"",IF(AND(Times!J402="F",AI402+AL402=AM402,AK402="Y"),AF402,""),"")</f>
        <v/>
      </c>
      <c r="AI402" s="154">
        <f>COUNTIF(Z$2:Z402,CONCATENATE("V",AA402))</f>
        <v>0</v>
      </c>
      <c r="AJ402" s="154">
        <f>COUNTIF(Z$2:Z402,CONCATENATE("S",AA402))</f>
        <v>0</v>
      </c>
      <c r="AK402" s="154" t="e">
        <f t="shared" si="98"/>
        <v>#VALUE!</v>
      </c>
      <c r="AL402" s="154">
        <f>IF(AND(Times!J402="M",AJ402&gt;3),3, IF(AND(Times!J402="F",AJ402&gt;2),2,AJ402))</f>
        <v>0</v>
      </c>
      <c r="AM402" s="154" t="str">
        <f>IF(Times!J402="M",6, IF(Times!J402="F",4,""))</f>
        <v/>
      </c>
      <c r="AN402" s="154" t="str">
        <f t="shared" si="99"/>
        <v/>
      </c>
      <c r="AO402" s="154" t="str">
        <f t="shared" si="100"/>
        <v/>
      </c>
    </row>
    <row r="403" spans="26:41" x14ac:dyDescent="0.25">
      <c r="Z403" s="154" t="str">
        <f>CONCATENATE(AE403,Times!AD403)</f>
        <v/>
      </c>
      <c r="AA403" s="154" t="str">
        <f>Times!AD403</f>
        <v/>
      </c>
      <c r="AB403" s="154" t="e">
        <f>IF(AK403="Y",CONCATENATE(AA403,COUNTIFS($AK$2:AK403,"=Y",$AA$2:AA403,AA403)),"")</f>
        <v>#VALUE!</v>
      </c>
      <c r="AC403" s="154" t="str">
        <f>Times!K403</f>
        <v/>
      </c>
      <c r="AD403" s="154">
        <f>Times!G403</f>
        <v>97</v>
      </c>
      <c r="AE403" s="154" t="str">
        <f>IF(Times!D403&lt;&gt;"",IF(ISERR(SEARCH("V",Times!I403,1)),IF(ISERR(SEARCH("S",Times!I403,1)),"S","S"),"V"),"")</f>
        <v/>
      </c>
      <c r="AF403" s="161" t="str">
        <f>IF(Times!D403&lt;&gt;"",SUMIFS(Times!$G$2:G403,$AA$2:AA403,AA403,$AK$2:AK403,"Y"),"")</f>
        <v/>
      </c>
      <c r="AG403" s="154" t="str">
        <f>IF(Times!D403&lt;&gt;"",IF(AND(Times!J403="M",AI403+AL403=AM403,AK403="Y"),AF403,""),"")</f>
        <v/>
      </c>
      <c r="AH403" s="154" t="str">
        <f>IF(Times!D403&lt;&gt;"",IF(AND(Times!J403="F",AI403+AL403=AM403,AK403="Y"),AF403,""),"")</f>
        <v/>
      </c>
      <c r="AI403" s="154">
        <f>COUNTIF(Z$2:Z403,CONCATENATE("V",AA403))</f>
        <v>0</v>
      </c>
      <c r="AJ403" s="154">
        <f>COUNTIF(Z$2:Z403,CONCATENATE("S",AA403))</f>
        <v>0</v>
      </c>
      <c r="AK403" s="154" t="e">
        <f t="shared" si="98"/>
        <v>#VALUE!</v>
      </c>
      <c r="AL403" s="154">
        <f>IF(AND(Times!J403="M",AJ403&gt;3),3, IF(AND(Times!J403="F",AJ403&gt;2),2,AJ403))</f>
        <v>0</v>
      </c>
      <c r="AM403" s="154" t="str">
        <f>IF(Times!J403="M",6, IF(Times!J403="F",4,""))</f>
        <v/>
      </c>
      <c r="AN403" s="154" t="str">
        <f t="shared" si="99"/>
        <v/>
      </c>
      <c r="AO403" s="154" t="str">
        <f t="shared" si="100"/>
        <v/>
      </c>
    </row>
    <row r="404" spans="26:41" x14ac:dyDescent="0.25">
      <c r="Z404" s="154" t="str">
        <f>CONCATENATE(AE404,Times!AD404)</f>
        <v/>
      </c>
      <c r="AA404" s="154" t="str">
        <f>Times!AD404</f>
        <v/>
      </c>
      <c r="AB404" s="154" t="e">
        <f>IF(AK404="Y",CONCATENATE(AA404,COUNTIFS($AK$2:AK404,"=Y",$AA$2:AA404,AA404)),"")</f>
        <v>#VALUE!</v>
      </c>
      <c r="AC404" s="154" t="str">
        <f>Times!K404</f>
        <v/>
      </c>
      <c r="AD404" s="154">
        <f>Times!G404</f>
        <v>98</v>
      </c>
      <c r="AE404" s="154" t="str">
        <f>IF(Times!D404&lt;&gt;"",IF(ISERR(SEARCH("V",Times!I404,1)),IF(ISERR(SEARCH("S",Times!I404,1)),"S","S"),"V"),"")</f>
        <v/>
      </c>
      <c r="AF404" s="161" t="str">
        <f>IF(Times!D404&lt;&gt;"",SUMIFS(Times!$G$2:G404,$AA$2:AA404,AA404,$AK$2:AK404,"Y"),"")</f>
        <v/>
      </c>
      <c r="AG404" s="154" t="str">
        <f>IF(Times!D404&lt;&gt;"",IF(AND(Times!J404="M",AI404+AL404=AM404,AK404="Y"),AF404,""),"")</f>
        <v/>
      </c>
      <c r="AH404" s="154" t="str">
        <f>IF(Times!D404&lt;&gt;"",IF(AND(Times!J404="F",AI404+AL404=AM404,AK404="Y"),AF404,""),"")</f>
        <v/>
      </c>
      <c r="AI404" s="154">
        <f>COUNTIF(Z$2:Z404,CONCATENATE("V",AA404))</f>
        <v>0</v>
      </c>
      <c r="AJ404" s="154">
        <f>COUNTIF(Z$2:Z404,CONCATENATE("S",AA404))</f>
        <v>0</v>
      </c>
      <c r="AK404" s="154" t="e">
        <f t="shared" si="98"/>
        <v>#VALUE!</v>
      </c>
      <c r="AL404" s="154">
        <f>IF(AND(Times!J404="M",AJ404&gt;3),3, IF(AND(Times!J404="F",AJ404&gt;2),2,AJ404))</f>
        <v>0</v>
      </c>
      <c r="AM404" s="154" t="str">
        <f>IF(Times!J404="M",6, IF(Times!J404="F",4,""))</f>
        <v/>
      </c>
      <c r="AN404" s="154" t="str">
        <f t="shared" si="99"/>
        <v/>
      </c>
      <c r="AO404" s="154" t="str">
        <f t="shared" si="100"/>
        <v/>
      </c>
    </row>
    <row r="405" spans="26:41" x14ac:dyDescent="0.25">
      <c r="Z405" s="154" t="str">
        <f>CONCATENATE(AE405,Times!AD405)</f>
        <v/>
      </c>
      <c r="AA405" s="154" t="str">
        <f>Times!AD405</f>
        <v/>
      </c>
      <c r="AB405" s="154" t="e">
        <f>IF(AK405="Y",CONCATENATE(AA405,COUNTIFS($AK$2:AK405,"=Y",$AA$2:AA405,AA405)),"")</f>
        <v>#VALUE!</v>
      </c>
      <c r="AC405" s="154" t="str">
        <f>Times!K405</f>
        <v/>
      </c>
      <c r="AD405" s="154">
        <f>Times!G405</f>
        <v>99</v>
      </c>
      <c r="AE405" s="154" t="str">
        <f>IF(Times!D405&lt;&gt;"",IF(ISERR(SEARCH("V",Times!I405,1)),IF(ISERR(SEARCH("S",Times!I405,1)),"S","S"),"V"),"")</f>
        <v/>
      </c>
      <c r="AF405" s="161" t="str">
        <f>IF(Times!D405&lt;&gt;"",SUMIFS(Times!$G$2:G405,$AA$2:AA405,AA405,$AK$2:AK405,"Y"),"")</f>
        <v/>
      </c>
      <c r="AG405" s="154" t="str">
        <f>IF(Times!D405&lt;&gt;"",IF(AND(Times!J405="M",AI405+AL405=AM405,AK405="Y"),AF405,""),"")</f>
        <v/>
      </c>
      <c r="AH405" s="154" t="str">
        <f>IF(Times!D405&lt;&gt;"",IF(AND(Times!J405="F",AI405+AL405=AM405,AK405="Y"),AF405,""),"")</f>
        <v/>
      </c>
      <c r="AI405" s="154">
        <f>COUNTIF(Z$2:Z405,CONCATENATE("V",AA405))</f>
        <v>0</v>
      </c>
      <c r="AJ405" s="154">
        <f>COUNTIF(Z$2:Z405,CONCATENATE("S",AA405))</f>
        <v>0</v>
      </c>
      <c r="AK405" s="154" t="e">
        <f t="shared" si="98"/>
        <v>#VALUE!</v>
      </c>
      <c r="AL405" s="154">
        <f>IF(AND(Times!J405="M",AJ405&gt;3),3, IF(AND(Times!J405="F",AJ405&gt;2),2,AJ405))</f>
        <v>0</v>
      </c>
      <c r="AM405" s="154" t="str">
        <f>IF(Times!J405="M",6, IF(Times!J405="F",4,""))</f>
        <v/>
      </c>
      <c r="AN405" s="154" t="str">
        <f t="shared" si="99"/>
        <v/>
      </c>
      <c r="AO405" s="154" t="str">
        <f t="shared" si="100"/>
        <v/>
      </c>
    </row>
    <row r="406" spans="26:41" x14ac:dyDescent="0.25">
      <c r="Z406" s="154" t="str">
        <f>CONCATENATE(AE406,Times!AD406)</f>
        <v/>
      </c>
      <c r="AA406" s="154" t="str">
        <f>Times!AD406</f>
        <v/>
      </c>
      <c r="AB406" s="154" t="e">
        <f>IF(AK406="Y",CONCATENATE(AA406,COUNTIFS($AK$2:AK406,"=Y",$AA$2:AA406,AA406)),"")</f>
        <v>#VALUE!</v>
      </c>
      <c r="AC406" s="154" t="str">
        <f>Times!K406</f>
        <v/>
      </c>
      <c r="AD406" s="154">
        <f>Times!G406</f>
        <v>100</v>
      </c>
      <c r="AE406" s="154" t="str">
        <f>IF(Times!D406&lt;&gt;"",IF(ISERR(SEARCH("V",Times!I406,1)),IF(ISERR(SEARCH("S",Times!I406,1)),"S","S"),"V"),"")</f>
        <v/>
      </c>
      <c r="AF406" s="161" t="str">
        <f>IF(Times!D406&lt;&gt;"",SUMIFS(Times!$G$2:G406,$AA$2:AA406,AA406,$AK$2:AK406,"Y"),"")</f>
        <v/>
      </c>
      <c r="AG406" s="154" t="str">
        <f>IF(Times!D406&lt;&gt;"",IF(AND(Times!J406="M",AI406+AL406=AM406,AK406="Y"),AF406,""),"")</f>
        <v/>
      </c>
      <c r="AH406" s="154" t="str">
        <f>IF(Times!D406&lt;&gt;"",IF(AND(Times!J406="F",AI406+AL406=AM406,AK406="Y"),AF406,""),"")</f>
        <v/>
      </c>
      <c r="AI406" s="154">
        <f>COUNTIF(Z$2:Z406,CONCATENATE("V",AA406))</f>
        <v>0</v>
      </c>
      <c r="AJ406" s="154">
        <f>COUNTIF(Z$2:Z406,CONCATENATE("S",AA406))</f>
        <v>0</v>
      </c>
      <c r="AK406" s="154" t="e">
        <f t="shared" si="98"/>
        <v>#VALUE!</v>
      </c>
      <c r="AL406" s="154">
        <f>IF(AND(Times!J406="M",AJ406&gt;3),3, IF(AND(Times!J406="F",AJ406&gt;2),2,AJ406))</f>
        <v>0</v>
      </c>
      <c r="AM406" s="154" t="str">
        <f>IF(Times!J406="M",6, IF(Times!J406="F",4,""))</f>
        <v/>
      </c>
      <c r="AN406" s="154" t="str">
        <f t="shared" si="99"/>
        <v/>
      </c>
      <c r="AO406" s="154" t="str">
        <f t="shared" si="100"/>
        <v/>
      </c>
    </row>
    <row r="407" spans="26:41" x14ac:dyDescent="0.25">
      <c r="Z407" s="154" t="str">
        <f>CONCATENATE(AE407,Times!AD407)</f>
        <v/>
      </c>
      <c r="AA407" s="154" t="str">
        <f>Times!AD407</f>
        <v/>
      </c>
      <c r="AB407" s="154" t="e">
        <f>IF(AK407="Y",CONCATENATE(AA407,COUNTIFS($AK$2:AK407,"=Y",$AA$2:AA407,AA407)),"")</f>
        <v>#VALUE!</v>
      </c>
      <c r="AC407" s="154" t="str">
        <f>Times!K407</f>
        <v/>
      </c>
      <c r="AD407" s="154">
        <f>Times!G407</f>
        <v>101</v>
      </c>
      <c r="AE407" s="154" t="str">
        <f>IF(Times!D407&lt;&gt;"",IF(ISERR(SEARCH("V",Times!I407,1)),IF(ISERR(SEARCH("S",Times!I407,1)),"S","S"),"V"),"")</f>
        <v/>
      </c>
      <c r="AF407" s="161" t="str">
        <f>IF(Times!D407&lt;&gt;"",SUMIFS(Times!$G$2:G407,$AA$2:AA407,AA407,$AK$2:AK407,"Y"),"")</f>
        <v/>
      </c>
      <c r="AG407" s="154" t="str">
        <f>IF(Times!D407&lt;&gt;"",IF(AND(Times!J407="M",AI407+AL407=AM407,AK407="Y"),AF407,""),"")</f>
        <v/>
      </c>
      <c r="AH407" s="154" t="str">
        <f>IF(Times!D407&lt;&gt;"",IF(AND(Times!J407="F",AI407+AL407=AM407,AK407="Y"),AF407,""),"")</f>
        <v/>
      </c>
      <c r="AI407" s="154">
        <f>COUNTIF(Z$2:Z407,CONCATENATE("V",AA407))</f>
        <v>0</v>
      </c>
      <c r="AJ407" s="154">
        <f>COUNTIF(Z$2:Z407,CONCATENATE("S",AA407))</f>
        <v>0</v>
      </c>
      <c r="AK407" s="154" t="e">
        <f t="shared" si="98"/>
        <v>#VALUE!</v>
      </c>
      <c r="AL407" s="154">
        <f>IF(AND(Times!J407="M",AJ407&gt;3),3, IF(AND(Times!J407="F",AJ407&gt;2),2,AJ407))</f>
        <v>0</v>
      </c>
      <c r="AM407" s="154" t="str">
        <f>IF(Times!J407="M",6, IF(Times!J407="F",4,""))</f>
        <v/>
      </c>
      <c r="AN407" s="154" t="str">
        <f t="shared" si="99"/>
        <v/>
      </c>
      <c r="AO407" s="154" t="str">
        <f t="shared" si="100"/>
        <v/>
      </c>
    </row>
    <row r="408" spans="26:41" x14ac:dyDescent="0.25">
      <c r="Z408" s="154" t="str">
        <f>CONCATENATE(AE408,Times!AD408)</f>
        <v/>
      </c>
      <c r="AA408" s="154" t="str">
        <f>Times!AD408</f>
        <v/>
      </c>
      <c r="AB408" s="154" t="e">
        <f>IF(AK408="Y",CONCATENATE(AA408,COUNTIFS($AK$2:AK408,"=Y",$AA$2:AA408,AA408)),"")</f>
        <v>#VALUE!</v>
      </c>
      <c r="AC408" s="154" t="str">
        <f>Times!K408</f>
        <v/>
      </c>
      <c r="AD408" s="154">
        <f>Times!G408</f>
        <v>102</v>
      </c>
      <c r="AE408" s="154" t="str">
        <f>IF(Times!D408&lt;&gt;"",IF(ISERR(SEARCH("V",Times!I408,1)),IF(ISERR(SEARCH("S",Times!I408,1)),"S","S"),"V"),"")</f>
        <v/>
      </c>
      <c r="AF408" s="161" t="str">
        <f>IF(Times!D408&lt;&gt;"",SUMIFS(Times!$G$2:G408,$AA$2:AA408,AA408,$AK$2:AK408,"Y"),"")</f>
        <v/>
      </c>
      <c r="AG408" s="154" t="str">
        <f>IF(Times!D408&lt;&gt;"",IF(AND(Times!J408="M",AI408+AL408=AM408,AK408="Y"),AF408,""),"")</f>
        <v/>
      </c>
      <c r="AH408" s="154" t="str">
        <f>IF(Times!D408&lt;&gt;"",IF(AND(Times!J408="F",AI408+AL408=AM408,AK408="Y"),AF408,""),"")</f>
        <v/>
      </c>
      <c r="AI408" s="154">
        <f>COUNTIF(Z$2:Z408,CONCATENATE("V",AA408))</f>
        <v>0</v>
      </c>
      <c r="AJ408" s="154">
        <f>COUNTIF(Z$2:Z408,CONCATENATE("S",AA408))</f>
        <v>0</v>
      </c>
      <c r="AK408" s="154" t="e">
        <f t="shared" si="98"/>
        <v>#VALUE!</v>
      </c>
      <c r="AL408" s="154">
        <f>IF(AND(Times!J408="M",AJ408&gt;3),3, IF(AND(Times!J408="F",AJ408&gt;2),2,AJ408))</f>
        <v>0</v>
      </c>
      <c r="AM408" s="154" t="str">
        <f>IF(Times!J408="M",6, IF(Times!J408="F",4,""))</f>
        <v/>
      </c>
      <c r="AN408" s="154" t="str">
        <f t="shared" si="99"/>
        <v/>
      </c>
      <c r="AO408" s="154" t="str">
        <f t="shared" si="100"/>
        <v/>
      </c>
    </row>
    <row r="409" spans="26:41" x14ac:dyDescent="0.25">
      <c r="Z409" s="154" t="str">
        <f>CONCATENATE(AE409,Times!AD409)</f>
        <v/>
      </c>
      <c r="AA409" s="154" t="str">
        <f>Times!AD409</f>
        <v/>
      </c>
      <c r="AB409" s="154" t="e">
        <f>IF(AK409="Y",CONCATENATE(AA409,COUNTIFS($AK$2:AK409,"=Y",$AA$2:AA409,AA409)),"")</f>
        <v>#VALUE!</v>
      </c>
      <c r="AC409" s="154" t="str">
        <f>Times!K409</f>
        <v/>
      </c>
      <c r="AD409" s="154">
        <f>Times!G409</f>
        <v>103</v>
      </c>
      <c r="AE409" s="154" t="str">
        <f>IF(Times!D409&lt;&gt;"",IF(ISERR(SEARCH("V",Times!I409,1)),IF(ISERR(SEARCH("S",Times!I409,1)),"S","S"),"V"),"")</f>
        <v/>
      </c>
      <c r="AF409" s="161" t="str">
        <f>IF(Times!D409&lt;&gt;"",SUMIFS(Times!$G$2:G409,$AA$2:AA409,AA409,$AK$2:AK409,"Y"),"")</f>
        <v/>
      </c>
      <c r="AG409" s="154" t="str">
        <f>IF(Times!D409&lt;&gt;"",IF(AND(Times!J409="M",AI409+AL409=AM409,AK409="Y"),AF409,""),"")</f>
        <v/>
      </c>
      <c r="AH409" s="154" t="str">
        <f>IF(Times!D409&lt;&gt;"",IF(AND(Times!J409="F",AI409+AL409=AM409,AK409="Y"),AF409,""),"")</f>
        <v/>
      </c>
      <c r="AI409" s="154">
        <f>COUNTIF(Z$2:Z409,CONCATENATE("V",AA409))</f>
        <v>0</v>
      </c>
      <c r="AJ409" s="154">
        <f>COUNTIF(Z$2:Z409,CONCATENATE("S",AA409))</f>
        <v>0</v>
      </c>
      <c r="AK409" s="154" t="e">
        <f t="shared" si="98"/>
        <v>#VALUE!</v>
      </c>
      <c r="AL409" s="154">
        <f>IF(AND(Times!J409="M",AJ409&gt;3),3, IF(AND(Times!J409="F",AJ409&gt;2),2,AJ409))</f>
        <v>0</v>
      </c>
      <c r="AM409" s="154" t="str">
        <f>IF(Times!J409="M",6, IF(Times!J409="F",4,""))</f>
        <v/>
      </c>
      <c r="AN409" s="154" t="str">
        <f t="shared" si="99"/>
        <v/>
      </c>
      <c r="AO409" s="154" t="str">
        <f t="shared" si="100"/>
        <v/>
      </c>
    </row>
    <row r="410" spans="26:41" x14ac:dyDescent="0.25">
      <c r="Z410" s="154" t="str">
        <f>CONCATENATE(AE410,Times!AD410)</f>
        <v/>
      </c>
      <c r="AA410" s="154" t="str">
        <f>Times!AD410</f>
        <v/>
      </c>
      <c r="AB410" s="154" t="e">
        <f>IF(AK410="Y",CONCATENATE(AA410,COUNTIFS($AK$2:AK410,"=Y",$AA$2:AA410,AA410)),"")</f>
        <v>#VALUE!</v>
      </c>
      <c r="AC410" s="154" t="str">
        <f>Times!K410</f>
        <v/>
      </c>
      <c r="AD410" s="154">
        <f>Times!G410</f>
        <v>104</v>
      </c>
      <c r="AE410" s="154" t="str">
        <f>IF(Times!D410&lt;&gt;"",IF(ISERR(SEARCH("V",Times!I410,1)),IF(ISERR(SEARCH("S",Times!I410,1)),"S","S"),"V"),"")</f>
        <v/>
      </c>
      <c r="AF410" s="161" t="str">
        <f>IF(Times!D410&lt;&gt;"",SUMIFS(Times!$G$2:G410,$AA$2:AA410,AA410,$AK$2:AK410,"Y"),"")</f>
        <v/>
      </c>
      <c r="AG410" s="154" t="str">
        <f>IF(Times!D410&lt;&gt;"",IF(AND(Times!J410="M",AI410+AL410=AM410,AK410="Y"),AF410,""),"")</f>
        <v/>
      </c>
      <c r="AH410" s="154" t="str">
        <f>IF(Times!D410&lt;&gt;"",IF(AND(Times!J410="F",AI410+AL410=AM410,AK410="Y"),AF410,""),"")</f>
        <v/>
      </c>
      <c r="AI410" s="154">
        <f>COUNTIF(Z$2:Z410,CONCATENATE("V",AA410))</f>
        <v>0</v>
      </c>
      <c r="AJ410" s="154">
        <f>COUNTIF(Z$2:Z410,CONCATENATE("S",AA410))</f>
        <v>0</v>
      </c>
      <c r="AK410" s="154" t="e">
        <f t="shared" si="98"/>
        <v>#VALUE!</v>
      </c>
      <c r="AL410" s="154">
        <f>IF(AND(Times!J410="M",AJ410&gt;3),3, IF(AND(Times!J410="F",AJ410&gt;2),2,AJ410))</f>
        <v>0</v>
      </c>
      <c r="AM410" s="154" t="str">
        <f>IF(Times!J410="M",6, IF(Times!J410="F",4,""))</f>
        <v/>
      </c>
      <c r="AN410" s="154" t="str">
        <f t="shared" si="99"/>
        <v/>
      </c>
      <c r="AO410" s="154" t="str">
        <f t="shared" si="100"/>
        <v/>
      </c>
    </row>
    <row r="411" spans="26:41" x14ac:dyDescent="0.25">
      <c r="Z411" s="154" t="str">
        <f>CONCATENATE(AE411,Times!AD411)</f>
        <v/>
      </c>
      <c r="AA411" s="154" t="str">
        <f>Times!AD411</f>
        <v/>
      </c>
      <c r="AB411" s="154" t="e">
        <f>IF(AK411="Y",CONCATENATE(AA411,COUNTIFS($AK$2:AK411,"=Y",$AA$2:AA411,AA411)),"")</f>
        <v>#VALUE!</v>
      </c>
      <c r="AC411" s="154" t="str">
        <f>Times!K411</f>
        <v/>
      </c>
      <c r="AD411" s="154">
        <f>Times!G411</f>
        <v>105</v>
      </c>
      <c r="AE411" s="154" t="str">
        <f>IF(Times!D411&lt;&gt;"",IF(ISERR(SEARCH("V",Times!I411,1)),IF(ISERR(SEARCH("S",Times!I411,1)),"S","S"),"V"),"")</f>
        <v/>
      </c>
      <c r="AF411" s="161" t="str">
        <f>IF(Times!D411&lt;&gt;"",SUMIFS(Times!$G$2:G411,$AA$2:AA411,AA411,$AK$2:AK411,"Y"),"")</f>
        <v/>
      </c>
      <c r="AG411" s="154" t="str">
        <f>IF(Times!D411&lt;&gt;"",IF(AND(Times!J411="M",AI411+AL411=AM411,AK411="Y"),AF411,""),"")</f>
        <v/>
      </c>
      <c r="AH411" s="154" t="str">
        <f>IF(Times!D411&lt;&gt;"",IF(AND(Times!J411="F",AI411+AL411=AM411,AK411="Y"),AF411,""),"")</f>
        <v/>
      </c>
      <c r="AI411" s="154">
        <f>COUNTIF(Z$2:Z411,CONCATENATE("V",AA411))</f>
        <v>0</v>
      </c>
      <c r="AJ411" s="154">
        <f>COUNTIF(Z$2:Z411,CONCATENATE("S",AA411))</f>
        <v>0</v>
      </c>
      <c r="AK411" s="154" t="e">
        <f t="shared" si="98"/>
        <v>#VALUE!</v>
      </c>
      <c r="AL411" s="154">
        <f>IF(AND(Times!J411="M",AJ411&gt;3),3, IF(AND(Times!J411="F",AJ411&gt;2),2,AJ411))</f>
        <v>0</v>
      </c>
      <c r="AM411" s="154" t="str">
        <f>IF(Times!J411="M",6, IF(Times!J411="F",4,""))</f>
        <v/>
      </c>
      <c r="AN411" s="154" t="str">
        <f t="shared" si="99"/>
        <v/>
      </c>
      <c r="AO411" s="154" t="str">
        <f t="shared" si="100"/>
        <v/>
      </c>
    </row>
    <row r="412" spans="26:41" x14ac:dyDescent="0.25">
      <c r="Z412" s="154" t="str">
        <f>CONCATENATE(AE412,Times!AD412)</f>
        <v/>
      </c>
      <c r="AA412" s="154" t="str">
        <f>Times!AD412</f>
        <v/>
      </c>
      <c r="AB412" s="154" t="e">
        <f>IF(AK412="Y",CONCATENATE(AA412,COUNTIFS($AK$2:AK412,"=Y",$AA$2:AA412,AA412)),"")</f>
        <v>#VALUE!</v>
      </c>
      <c r="AC412" s="154" t="str">
        <f>Times!K412</f>
        <v/>
      </c>
      <c r="AD412" s="154">
        <f>Times!G412</f>
        <v>106</v>
      </c>
      <c r="AE412" s="154" t="str">
        <f>IF(Times!D412&lt;&gt;"",IF(ISERR(SEARCH("V",Times!I412,1)),IF(ISERR(SEARCH("S",Times!I412,1)),"S","S"),"V"),"")</f>
        <v/>
      </c>
      <c r="AF412" s="161" t="str">
        <f>IF(Times!D412&lt;&gt;"",SUMIFS(Times!$G$2:G412,$AA$2:AA412,AA412,$AK$2:AK412,"Y"),"")</f>
        <v/>
      </c>
      <c r="AG412" s="154" t="str">
        <f>IF(Times!D412&lt;&gt;"",IF(AND(Times!J412="M",AI412+AL412=AM412,AK412="Y"),AF412,""),"")</f>
        <v/>
      </c>
      <c r="AH412" s="154" t="str">
        <f>IF(Times!D412&lt;&gt;"",IF(AND(Times!J412="F",AI412+AL412=AM412,AK412="Y"),AF412,""),"")</f>
        <v/>
      </c>
      <c r="AI412" s="154">
        <f>COUNTIF(Z$2:Z412,CONCATENATE("V",AA412))</f>
        <v>0</v>
      </c>
      <c r="AJ412" s="154">
        <f>COUNTIF(Z$2:Z412,CONCATENATE("S",AA412))</f>
        <v>0</v>
      </c>
      <c r="AK412" s="154" t="e">
        <f t="shared" si="98"/>
        <v>#VALUE!</v>
      </c>
      <c r="AL412" s="154">
        <f>IF(AND(Times!J412="M",AJ412&gt;3),3, IF(AND(Times!J412="F",AJ412&gt;2),2,AJ412))</f>
        <v>0</v>
      </c>
      <c r="AM412" s="154" t="str">
        <f>IF(Times!J412="M",6, IF(Times!J412="F",4,""))</f>
        <v/>
      </c>
      <c r="AN412" s="154" t="str">
        <f t="shared" si="99"/>
        <v/>
      </c>
      <c r="AO412" s="154" t="str">
        <f t="shared" si="100"/>
        <v/>
      </c>
    </row>
    <row r="413" spans="26:41" x14ac:dyDescent="0.25">
      <c r="Z413" s="154" t="str">
        <f>CONCATENATE(AE413,Times!AD413)</f>
        <v/>
      </c>
      <c r="AA413" s="154" t="str">
        <f>Times!AD413</f>
        <v/>
      </c>
      <c r="AB413" s="154" t="e">
        <f>IF(AK413="Y",CONCATENATE(AA413,COUNTIFS($AK$2:AK413,"=Y",$AA$2:AA413,AA413)),"")</f>
        <v>#VALUE!</v>
      </c>
      <c r="AC413" s="154" t="str">
        <f>Times!K413</f>
        <v/>
      </c>
      <c r="AD413" s="154">
        <f>Times!G413</f>
        <v>107</v>
      </c>
      <c r="AE413" s="154" t="str">
        <f>IF(Times!D413&lt;&gt;"",IF(ISERR(SEARCH("V",Times!I413,1)),IF(ISERR(SEARCH("S",Times!I413,1)),"S","S"),"V"),"")</f>
        <v/>
      </c>
      <c r="AF413" s="161" t="str">
        <f>IF(Times!D413&lt;&gt;"",SUMIFS(Times!$G$2:G413,$AA$2:AA413,AA413,$AK$2:AK413,"Y"),"")</f>
        <v/>
      </c>
      <c r="AG413" s="154" t="str">
        <f>IF(Times!D413&lt;&gt;"",IF(AND(Times!J413="M",AI413+AL413=AM413,AK413="Y"),AF413,""),"")</f>
        <v/>
      </c>
      <c r="AH413" s="154" t="str">
        <f>IF(Times!D413&lt;&gt;"",IF(AND(Times!J413="F",AI413+AL413=AM413,AK413="Y"),AF413,""),"")</f>
        <v/>
      </c>
      <c r="AI413" s="154">
        <f>COUNTIF(Z$2:Z413,CONCATENATE("V",AA413))</f>
        <v>0</v>
      </c>
      <c r="AJ413" s="154">
        <f>COUNTIF(Z$2:Z413,CONCATENATE("S",AA413))</f>
        <v>0</v>
      </c>
      <c r="AK413" s="154" t="e">
        <f t="shared" si="98"/>
        <v>#VALUE!</v>
      </c>
      <c r="AL413" s="154">
        <f>IF(AND(Times!J413="M",AJ413&gt;3),3, IF(AND(Times!J413="F",AJ413&gt;2),2,AJ413))</f>
        <v>0</v>
      </c>
      <c r="AM413" s="154" t="str">
        <f>IF(Times!J413="M",6, IF(Times!J413="F",4,""))</f>
        <v/>
      </c>
      <c r="AN413" s="154" t="str">
        <f t="shared" si="99"/>
        <v/>
      </c>
      <c r="AO413" s="154" t="str">
        <f t="shared" si="100"/>
        <v/>
      </c>
    </row>
    <row r="414" spans="26:41" x14ac:dyDescent="0.25">
      <c r="Z414" s="154" t="str">
        <f>CONCATENATE(AE414,Times!AD414)</f>
        <v/>
      </c>
      <c r="AA414" s="154" t="str">
        <f>Times!AD414</f>
        <v/>
      </c>
      <c r="AB414" s="154" t="e">
        <f>IF(AK414="Y",CONCATENATE(AA414,COUNTIFS($AK$2:AK414,"=Y",$AA$2:AA414,AA414)),"")</f>
        <v>#VALUE!</v>
      </c>
      <c r="AC414" s="154" t="str">
        <f>Times!K414</f>
        <v/>
      </c>
      <c r="AD414" s="154">
        <f>Times!G414</f>
        <v>108</v>
      </c>
      <c r="AE414" s="154" t="str">
        <f>IF(Times!D414&lt;&gt;"",IF(ISERR(SEARCH("V",Times!I414,1)),IF(ISERR(SEARCH("S",Times!I414,1)),"S","S"),"V"),"")</f>
        <v/>
      </c>
      <c r="AF414" s="161" t="str">
        <f>IF(Times!D414&lt;&gt;"",SUMIFS(Times!$G$2:G414,$AA$2:AA414,AA414,$AK$2:AK414,"Y"),"")</f>
        <v/>
      </c>
      <c r="AG414" s="154" t="str">
        <f>IF(Times!D414&lt;&gt;"",IF(AND(Times!J414="M",AI414+AL414=AM414,AK414="Y"),AF414,""),"")</f>
        <v/>
      </c>
      <c r="AH414" s="154" t="str">
        <f>IF(Times!D414&lt;&gt;"",IF(AND(Times!J414="F",AI414+AL414=AM414,AK414="Y"),AF414,""),"")</f>
        <v/>
      </c>
      <c r="AI414" s="154">
        <f>COUNTIF(Z$2:Z414,CONCATENATE("V",AA414))</f>
        <v>0</v>
      </c>
      <c r="AJ414" s="154">
        <f>COUNTIF(Z$2:Z414,CONCATENATE("S",AA414))</f>
        <v>0</v>
      </c>
      <c r="AK414" s="154" t="e">
        <f t="shared" si="98"/>
        <v>#VALUE!</v>
      </c>
      <c r="AL414" s="154">
        <f>IF(AND(Times!J414="M",AJ414&gt;3),3, IF(AND(Times!J414="F",AJ414&gt;2),2,AJ414))</f>
        <v>0</v>
      </c>
      <c r="AM414" s="154" t="str">
        <f>IF(Times!J414="M",6, IF(Times!J414="F",4,""))</f>
        <v/>
      </c>
      <c r="AN414" s="154" t="str">
        <f t="shared" si="99"/>
        <v/>
      </c>
      <c r="AO414" s="154" t="str">
        <f t="shared" si="100"/>
        <v/>
      </c>
    </row>
    <row r="415" spans="26:41" x14ac:dyDescent="0.25">
      <c r="Z415" s="154" t="str">
        <f>CONCATENATE(AE415,Times!AD415)</f>
        <v/>
      </c>
      <c r="AA415" s="154" t="str">
        <f>Times!AD415</f>
        <v/>
      </c>
      <c r="AB415" s="154" t="e">
        <f>IF(AK415="Y",CONCATENATE(AA415,COUNTIFS($AK$2:AK415,"=Y",$AA$2:AA415,AA415)),"")</f>
        <v>#VALUE!</v>
      </c>
      <c r="AC415" s="154" t="str">
        <f>Times!K415</f>
        <v/>
      </c>
      <c r="AD415" s="154">
        <f>Times!G415</f>
        <v>109</v>
      </c>
      <c r="AE415" s="154" t="str">
        <f>IF(Times!D415&lt;&gt;"",IF(ISERR(SEARCH("V",Times!I415,1)),IF(ISERR(SEARCH("S",Times!I415,1)),"S","S"),"V"),"")</f>
        <v/>
      </c>
      <c r="AF415" s="161" t="str">
        <f>IF(Times!D415&lt;&gt;"",SUMIFS(Times!$G$2:G415,$AA$2:AA415,AA415,$AK$2:AK415,"Y"),"")</f>
        <v/>
      </c>
      <c r="AG415" s="154" t="str">
        <f>IF(Times!D415&lt;&gt;"",IF(AND(Times!J415="M",AI415+AL415=AM415,AK415="Y"),AF415,""),"")</f>
        <v/>
      </c>
      <c r="AH415" s="154" t="str">
        <f>IF(Times!D415&lt;&gt;"",IF(AND(Times!J415="F",AI415+AL415=AM415,AK415="Y"),AF415,""),"")</f>
        <v/>
      </c>
      <c r="AI415" s="154">
        <f>COUNTIF(Z$2:Z415,CONCATENATE("V",AA415))</f>
        <v>0</v>
      </c>
      <c r="AJ415" s="154">
        <f>COUNTIF(Z$2:Z415,CONCATENATE("S",AA415))</f>
        <v>0</v>
      </c>
      <c r="AK415" s="154" t="e">
        <f t="shared" si="98"/>
        <v>#VALUE!</v>
      </c>
      <c r="AL415" s="154">
        <f>IF(AND(Times!J415="M",AJ415&gt;3),3, IF(AND(Times!J415="F",AJ415&gt;2),2,AJ415))</f>
        <v>0</v>
      </c>
      <c r="AM415" s="154" t="str">
        <f>IF(Times!J415="M",6, IF(Times!J415="F",4,""))</f>
        <v/>
      </c>
      <c r="AN415" s="154" t="str">
        <f t="shared" si="99"/>
        <v/>
      </c>
      <c r="AO415" s="154" t="str">
        <f t="shared" si="100"/>
        <v/>
      </c>
    </row>
    <row r="416" spans="26:41" x14ac:dyDescent="0.25">
      <c r="Z416" s="154" t="str">
        <f>CONCATENATE(AE416,Times!AD416)</f>
        <v/>
      </c>
      <c r="AA416" s="154" t="str">
        <f>Times!AD416</f>
        <v/>
      </c>
      <c r="AB416" s="154" t="e">
        <f>IF(AK416="Y",CONCATENATE(AA416,COUNTIFS($AK$2:AK416,"=Y",$AA$2:AA416,AA416)),"")</f>
        <v>#VALUE!</v>
      </c>
      <c r="AC416" s="154" t="str">
        <f>Times!K416</f>
        <v/>
      </c>
      <c r="AD416" s="154">
        <f>Times!G416</f>
        <v>110</v>
      </c>
      <c r="AE416" s="154" t="str">
        <f>IF(Times!D416&lt;&gt;"",IF(ISERR(SEARCH("V",Times!I416,1)),IF(ISERR(SEARCH("S",Times!I416,1)),"S","S"),"V"),"")</f>
        <v/>
      </c>
      <c r="AF416" s="161" t="str">
        <f>IF(Times!D416&lt;&gt;"",SUMIFS(Times!$G$2:G416,$AA$2:AA416,AA416,$AK$2:AK416,"Y"),"")</f>
        <v/>
      </c>
      <c r="AG416" s="154" t="str">
        <f>IF(Times!D416&lt;&gt;"",IF(AND(Times!J416="M",AI416+AL416=AM416,AK416="Y"),AF416,""),"")</f>
        <v/>
      </c>
      <c r="AH416" s="154" t="str">
        <f>IF(Times!D416&lt;&gt;"",IF(AND(Times!J416="F",AI416+AL416=AM416,AK416="Y"),AF416,""),"")</f>
        <v/>
      </c>
      <c r="AI416" s="154">
        <f>COUNTIF(Z$2:Z416,CONCATENATE("V",AA416))</f>
        <v>0</v>
      </c>
      <c r="AJ416" s="154">
        <f>COUNTIF(Z$2:Z416,CONCATENATE("S",AA416))</f>
        <v>0</v>
      </c>
      <c r="AK416" s="154" t="e">
        <f t="shared" si="98"/>
        <v>#VALUE!</v>
      </c>
      <c r="AL416" s="154">
        <f>IF(AND(Times!J416="M",AJ416&gt;3),3, IF(AND(Times!J416="F",AJ416&gt;2),2,AJ416))</f>
        <v>0</v>
      </c>
      <c r="AM416" s="154" t="str">
        <f>IF(Times!J416="M",6, IF(Times!J416="F",4,""))</f>
        <v/>
      </c>
      <c r="AN416" s="154" t="str">
        <f t="shared" si="99"/>
        <v/>
      </c>
      <c r="AO416" s="154" t="str">
        <f t="shared" si="100"/>
        <v/>
      </c>
    </row>
    <row r="417" spans="26:41" x14ac:dyDescent="0.25">
      <c r="Z417" s="154" t="str">
        <f>CONCATENATE(AE417,Times!AD417)</f>
        <v/>
      </c>
      <c r="AA417" s="154" t="str">
        <f>Times!AD417</f>
        <v/>
      </c>
      <c r="AB417" s="154" t="e">
        <f>IF(AK417="Y",CONCATENATE(AA417,COUNTIFS($AK$2:AK417,"=Y",$AA$2:AA417,AA417)),"")</f>
        <v>#VALUE!</v>
      </c>
      <c r="AC417" s="154" t="str">
        <f>Times!K417</f>
        <v/>
      </c>
      <c r="AD417" s="154">
        <f>Times!G417</f>
        <v>111</v>
      </c>
      <c r="AE417" s="154" t="str">
        <f>IF(Times!D417&lt;&gt;"",IF(ISERR(SEARCH("V",Times!I417,1)),IF(ISERR(SEARCH("S",Times!I417,1)),"S","S"),"V"),"")</f>
        <v/>
      </c>
      <c r="AF417" s="161" t="str">
        <f>IF(Times!D417&lt;&gt;"",SUMIFS(Times!$G$2:G417,$AA$2:AA417,AA417,$AK$2:AK417,"Y"),"")</f>
        <v/>
      </c>
      <c r="AG417" s="154" t="str">
        <f>IF(Times!D417&lt;&gt;"",IF(AND(Times!J417="M",AI417+AL417=AM417,AK417="Y"),AF417,""),"")</f>
        <v/>
      </c>
      <c r="AH417" s="154" t="str">
        <f>IF(Times!D417&lt;&gt;"",IF(AND(Times!J417="F",AI417+AL417=AM417,AK417="Y"),AF417,""),"")</f>
        <v/>
      </c>
      <c r="AI417" s="154">
        <f>COUNTIF(Z$2:Z417,CONCATENATE("V",AA417))</f>
        <v>0</v>
      </c>
      <c r="AJ417" s="154">
        <f>COUNTIF(Z$2:Z417,CONCATENATE("S",AA417))</f>
        <v>0</v>
      </c>
      <c r="AK417" s="154" t="e">
        <f t="shared" si="98"/>
        <v>#VALUE!</v>
      </c>
      <c r="AL417" s="154">
        <f>IF(AND(Times!J417="M",AJ417&gt;3),3, IF(AND(Times!J417="F",AJ417&gt;2),2,AJ417))</f>
        <v>0</v>
      </c>
      <c r="AM417" s="154" t="str">
        <f>IF(Times!J417="M",6, IF(Times!J417="F",4,""))</f>
        <v/>
      </c>
      <c r="AN417" s="154" t="str">
        <f t="shared" si="99"/>
        <v/>
      </c>
      <c r="AO417" s="154" t="str">
        <f t="shared" si="100"/>
        <v/>
      </c>
    </row>
    <row r="418" spans="26:41" x14ac:dyDescent="0.25">
      <c r="Z418" s="154" t="str">
        <f>CONCATENATE(AE418,Times!AD418)</f>
        <v/>
      </c>
      <c r="AA418" s="154" t="str">
        <f>Times!AD418</f>
        <v/>
      </c>
      <c r="AB418" s="154" t="e">
        <f>IF(AK418="Y",CONCATENATE(AA418,COUNTIFS($AK$2:AK418,"=Y",$AA$2:AA418,AA418)),"")</f>
        <v>#VALUE!</v>
      </c>
      <c r="AC418" s="154" t="str">
        <f>Times!K418</f>
        <v/>
      </c>
      <c r="AD418" s="154">
        <f>Times!G418</f>
        <v>112</v>
      </c>
      <c r="AE418" s="154" t="str">
        <f>IF(Times!D418&lt;&gt;"",IF(ISERR(SEARCH("V",Times!I418,1)),IF(ISERR(SEARCH("S",Times!I418,1)),"S","S"),"V"),"")</f>
        <v/>
      </c>
      <c r="AF418" s="161" t="str">
        <f>IF(Times!D418&lt;&gt;"",SUMIFS(Times!$G$2:G418,$AA$2:AA418,AA418,$AK$2:AK418,"Y"),"")</f>
        <v/>
      </c>
      <c r="AG418" s="154" t="str">
        <f>IF(Times!D418&lt;&gt;"",IF(AND(Times!J418="M",AI418+AL418=AM418,AK418="Y"),AF418,""),"")</f>
        <v/>
      </c>
      <c r="AH418" s="154" t="str">
        <f>IF(Times!D418&lt;&gt;"",IF(AND(Times!J418="F",AI418+AL418=AM418,AK418="Y"),AF418,""),"")</f>
        <v/>
      </c>
      <c r="AI418" s="154">
        <f>COUNTIF(Z$2:Z418,CONCATENATE("V",AA418))</f>
        <v>0</v>
      </c>
      <c r="AJ418" s="154">
        <f>COUNTIF(Z$2:Z418,CONCATENATE("S",AA418))</f>
        <v>0</v>
      </c>
      <c r="AK418" s="154" t="e">
        <f t="shared" si="98"/>
        <v>#VALUE!</v>
      </c>
      <c r="AL418" s="154">
        <f>IF(AND(Times!J418="M",AJ418&gt;3),3, IF(AND(Times!J418="F",AJ418&gt;2),2,AJ418))</f>
        <v>0</v>
      </c>
      <c r="AM418" s="154" t="str">
        <f>IF(Times!J418="M",6, IF(Times!J418="F",4,""))</f>
        <v/>
      </c>
      <c r="AN418" s="154" t="str">
        <f t="shared" si="99"/>
        <v/>
      </c>
      <c r="AO418" s="154" t="str">
        <f t="shared" si="100"/>
        <v/>
      </c>
    </row>
    <row r="419" spans="26:41" x14ac:dyDescent="0.25">
      <c r="Z419" s="154" t="str">
        <f>CONCATENATE(AE419,Times!AD419)</f>
        <v/>
      </c>
      <c r="AA419" s="154" t="str">
        <f>Times!AD419</f>
        <v/>
      </c>
      <c r="AB419" s="154" t="e">
        <f>IF(AK419="Y",CONCATENATE(AA419,COUNTIFS($AK$2:AK419,"=Y",$AA$2:AA419,AA419)),"")</f>
        <v>#VALUE!</v>
      </c>
      <c r="AC419" s="154" t="str">
        <f>Times!K419</f>
        <v/>
      </c>
      <c r="AD419" s="154">
        <f>Times!G419</f>
        <v>113</v>
      </c>
      <c r="AE419" s="154" t="str">
        <f>IF(Times!D419&lt;&gt;"",IF(ISERR(SEARCH("V",Times!I419,1)),IF(ISERR(SEARCH("S",Times!I419,1)),"S","S"),"V"),"")</f>
        <v/>
      </c>
      <c r="AF419" s="161" t="str">
        <f>IF(Times!D419&lt;&gt;"",SUMIFS(Times!$G$2:G419,$AA$2:AA419,AA419,$AK$2:AK419,"Y"),"")</f>
        <v/>
      </c>
      <c r="AG419" s="154" t="str">
        <f>IF(Times!D419&lt;&gt;"",IF(AND(Times!J419="M",AI419+AL419=AM419,AK419="Y"),AF419,""),"")</f>
        <v/>
      </c>
      <c r="AH419" s="154" t="str">
        <f>IF(Times!D419&lt;&gt;"",IF(AND(Times!J419="F",AI419+AL419=AM419,AK419="Y"),AF419,""),"")</f>
        <v/>
      </c>
      <c r="AI419" s="154">
        <f>COUNTIF(Z$2:Z419,CONCATENATE("V",AA419))</f>
        <v>0</v>
      </c>
      <c r="AJ419" s="154">
        <f>COUNTIF(Z$2:Z419,CONCATENATE("S",AA419))</f>
        <v>0</v>
      </c>
      <c r="AK419" s="154" t="e">
        <f t="shared" si="98"/>
        <v>#VALUE!</v>
      </c>
      <c r="AL419" s="154">
        <f>IF(AND(Times!J419="M",AJ419&gt;3),3, IF(AND(Times!J419="F",AJ419&gt;2),2,AJ419))</f>
        <v>0</v>
      </c>
      <c r="AM419" s="154" t="str">
        <f>IF(Times!J419="M",6, IF(Times!J419="F",4,""))</f>
        <v/>
      </c>
      <c r="AN419" s="154" t="str">
        <f t="shared" si="99"/>
        <v/>
      </c>
      <c r="AO419" s="154" t="str">
        <f t="shared" si="100"/>
        <v/>
      </c>
    </row>
    <row r="420" spans="26:41" x14ac:dyDescent="0.25">
      <c r="Z420" s="154" t="str">
        <f>CONCATENATE(AE420,Times!AD420)</f>
        <v/>
      </c>
      <c r="AA420" s="154" t="str">
        <f>Times!AD420</f>
        <v/>
      </c>
      <c r="AB420" s="154" t="e">
        <f>IF(AK420="Y",CONCATENATE(AA420,COUNTIFS($AK$2:AK420,"=Y",$AA$2:AA420,AA420)),"")</f>
        <v>#VALUE!</v>
      </c>
      <c r="AC420" s="154" t="str">
        <f>Times!K420</f>
        <v/>
      </c>
      <c r="AD420" s="154">
        <f>Times!G420</f>
        <v>114</v>
      </c>
      <c r="AE420" s="154" t="str">
        <f>IF(Times!D420&lt;&gt;"",IF(ISERR(SEARCH("V",Times!I420,1)),IF(ISERR(SEARCH("S",Times!I420,1)),"S","S"),"V"),"")</f>
        <v/>
      </c>
      <c r="AF420" s="161" t="str">
        <f>IF(Times!D420&lt;&gt;"",SUMIFS(Times!$G$2:G420,$AA$2:AA420,AA420,$AK$2:AK420,"Y"),"")</f>
        <v/>
      </c>
      <c r="AG420" s="154" t="str">
        <f>IF(Times!D420&lt;&gt;"",IF(AND(Times!J420="M",AI420+AL420=AM420,AK420="Y"),AF420,""),"")</f>
        <v/>
      </c>
      <c r="AH420" s="154" t="str">
        <f>IF(Times!D420&lt;&gt;"",IF(AND(Times!J420="F",AI420+AL420=AM420,AK420="Y"),AF420,""),"")</f>
        <v/>
      </c>
      <c r="AI420" s="154">
        <f>COUNTIF(Z$2:Z420,CONCATENATE("V",AA420))</f>
        <v>0</v>
      </c>
      <c r="AJ420" s="154">
        <f>COUNTIF(Z$2:Z420,CONCATENATE("S",AA420))</f>
        <v>0</v>
      </c>
      <c r="AK420" s="154" t="e">
        <f t="shared" si="98"/>
        <v>#VALUE!</v>
      </c>
      <c r="AL420" s="154">
        <f>IF(AND(Times!J420="M",AJ420&gt;3),3, IF(AND(Times!J420="F",AJ420&gt;2),2,AJ420))</f>
        <v>0</v>
      </c>
      <c r="AM420" s="154" t="str">
        <f>IF(Times!J420="M",6, IF(Times!J420="F",4,""))</f>
        <v/>
      </c>
      <c r="AN420" s="154" t="str">
        <f t="shared" si="99"/>
        <v/>
      </c>
      <c r="AO420" s="154" t="str">
        <f t="shared" si="100"/>
        <v/>
      </c>
    </row>
    <row r="421" spans="26:41" x14ac:dyDescent="0.25">
      <c r="Z421" s="154" t="str">
        <f>CONCATENATE(AE421,Times!AD421)</f>
        <v/>
      </c>
      <c r="AA421" s="154" t="str">
        <f>Times!AD421</f>
        <v/>
      </c>
      <c r="AB421" s="154" t="e">
        <f>IF(AK421="Y",CONCATENATE(AA421,COUNTIFS($AK$2:AK421,"=Y",$AA$2:AA421,AA421)),"")</f>
        <v>#VALUE!</v>
      </c>
      <c r="AC421" s="154" t="str">
        <f>Times!K421</f>
        <v/>
      </c>
      <c r="AD421" s="154">
        <f>Times!G421</f>
        <v>115</v>
      </c>
      <c r="AE421" s="154" t="str">
        <f>IF(Times!D421&lt;&gt;"",IF(ISERR(SEARCH("V",Times!I421,1)),IF(ISERR(SEARCH("S",Times!I421,1)),"S","S"),"V"),"")</f>
        <v/>
      </c>
      <c r="AF421" s="161" t="str">
        <f>IF(Times!D421&lt;&gt;"",SUMIFS(Times!$G$2:G421,$AA$2:AA421,AA421,$AK$2:AK421,"Y"),"")</f>
        <v/>
      </c>
      <c r="AG421" s="154" t="str">
        <f>IF(Times!D421&lt;&gt;"",IF(AND(Times!J421="M",AI421+AL421=AM421,AK421="Y"),AF421,""),"")</f>
        <v/>
      </c>
      <c r="AH421" s="154" t="str">
        <f>IF(Times!D421&lt;&gt;"",IF(AND(Times!J421="F",AI421+AL421=AM421,AK421="Y"),AF421,""),"")</f>
        <v/>
      </c>
      <c r="AI421" s="154">
        <f>COUNTIF(Z$2:Z421,CONCATENATE("V",AA421))</f>
        <v>0</v>
      </c>
      <c r="AJ421" s="154">
        <f>COUNTIF(Z$2:Z421,CONCATENATE("S",AA421))</f>
        <v>0</v>
      </c>
      <c r="AK421" s="154" t="e">
        <f t="shared" si="98"/>
        <v>#VALUE!</v>
      </c>
      <c r="AL421" s="154">
        <f>IF(AND(Times!J421="M",AJ421&gt;3),3, IF(AND(Times!J421="F",AJ421&gt;2),2,AJ421))</f>
        <v>0</v>
      </c>
      <c r="AM421" s="154" t="str">
        <f>IF(Times!J421="M",6, IF(Times!J421="F",4,""))</f>
        <v/>
      </c>
      <c r="AN421" s="154" t="str">
        <f t="shared" si="99"/>
        <v/>
      </c>
      <c r="AO421" s="154" t="str">
        <f t="shared" si="100"/>
        <v/>
      </c>
    </row>
    <row r="422" spans="26:41" x14ac:dyDescent="0.25">
      <c r="Z422" s="154" t="str">
        <f>CONCATENATE(AE422,Times!AD422)</f>
        <v/>
      </c>
      <c r="AA422" s="154" t="str">
        <f>Times!AD422</f>
        <v/>
      </c>
      <c r="AB422" s="154" t="e">
        <f>IF(AK422="Y",CONCATENATE(AA422,COUNTIFS($AK$2:AK422,"=Y",$AA$2:AA422,AA422)),"")</f>
        <v>#VALUE!</v>
      </c>
      <c r="AC422" s="154" t="str">
        <f>Times!K422</f>
        <v/>
      </c>
      <c r="AD422" s="154">
        <f>Times!G422</f>
        <v>116</v>
      </c>
      <c r="AE422" s="154" t="str">
        <f>IF(Times!D422&lt;&gt;"",IF(ISERR(SEARCH("V",Times!I422,1)),IF(ISERR(SEARCH("S",Times!I422,1)),"S","S"),"V"),"")</f>
        <v/>
      </c>
      <c r="AF422" s="161" t="str">
        <f>IF(Times!D422&lt;&gt;"",SUMIFS(Times!$G$2:G422,$AA$2:AA422,AA422,$AK$2:AK422,"Y"),"")</f>
        <v/>
      </c>
      <c r="AG422" s="154" t="str">
        <f>IF(Times!D422&lt;&gt;"",IF(AND(Times!J422="M",AI422+AL422=AM422,AK422="Y"),AF422,""),"")</f>
        <v/>
      </c>
      <c r="AH422" s="154" t="str">
        <f>IF(Times!D422&lt;&gt;"",IF(AND(Times!J422="F",AI422+AL422=AM422,AK422="Y"),AF422,""),"")</f>
        <v/>
      </c>
      <c r="AI422" s="154">
        <f>COUNTIF(Z$2:Z422,CONCATENATE("V",AA422))</f>
        <v>0</v>
      </c>
      <c r="AJ422" s="154">
        <f>COUNTIF(Z$2:Z422,CONCATENATE("S",AA422))</f>
        <v>0</v>
      </c>
      <c r="AK422" s="154" t="e">
        <f t="shared" si="98"/>
        <v>#VALUE!</v>
      </c>
      <c r="AL422" s="154">
        <f>IF(AND(Times!J422="M",AJ422&gt;3),3, IF(AND(Times!J422="F",AJ422&gt;2),2,AJ422))</f>
        <v>0</v>
      </c>
      <c r="AM422" s="154" t="str">
        <f>IF(Times!J422="M",6, IF(Times!J422="F",4,""))</f>
        <v/>
      </c>
      <c r="AN422" s="154" t="str">
        <f t="shared" si="99"/>
        <v/>
      </c>
      <c r="AO422" s="154" t="str">
        <f t="shared" si="100"/>
        <v/>
      </c>
    </row>
    <row r="423" spans="26:41" x14ac:dyDescent="0.25">
      <c r="Z423" s="154" t="str">
        <f>CONCATENATE(AE423,Times!AD423)</f>
        <v/>
      </c>
      <c r="AA423" s="154" t="str">
        <f>Times!AD423</f>
        <v/>
      </c>
      <c r="AB423" s="154" t="e">
        <f>IF(AK423="Y",CONCATENATE(AA423,COUNTIFS($AK$2:AK423,"=Y",$AA$2:AA423,AA423)),"")</f>
        <v>#VALUE!</v>
      </c>
      <c r="AC423" s="154" t="str">
        <f>Times!K423</f>
        <v/>
      </c>
      <c r="AD423" s="154">
        <f>Times!G423</f>
        <v>117</v>
      </c>
      <c r="AE423" s="154" t="str">
        <f>IF(Times!D423&lt;&gt;"",IF(ISERR(SEARCH("V",Times!I423,1)),IF(ISERR(SEARCH("S",Times!I423,1)),"S","S"),"V"),"")</f>
        <v/>
      </c>
      <c r="AF423" s="161" t="str">
        <f>IF(Times!D423&lt;&gt;"",SUMIFS(Times!$G$2:G423,$AA$2:AA423,AA423,$AK$2:AK423,"Y"),"")</f>
        <v/>
      </c>
      <c r="AG423" s="154" t="str">
        <f>IF(Times!D423&lt;&gt;"",IF(AND(Times!J423="M",AI423+AL423=AM423,AK423="Y"),AF423,""),"")</f>
        <v/>
      </c>
      <c r="AH423" s="154" t="str">
        <f>IF(Times!D423&lt;&gt;"",IF(AND(Times!J423="F",AI423+AL423=AM423,AK423="Y"),AF423,""),"")</f>
        <v/>
      </c>
      <c r="AI423" s="154">
        <f>COUNTIF(Z$2:Z423,CONCATENATE("V",AA423))</f>
        <v>0</v>
      </c>
      <c r="AJ423" s="154">
        <f>COUNTIF(Z$2:Z423,CONCATENATE("S",AA423))</f>
        <v>0</v>
      </c>
      <c r="AK423" s="154" t="e">
        <f t="shared" si="98"/>
        <v>#VALUE!</v>
      </c>
      <c r="AL423" s="154">
        <f>IF(AND(Times!J423="M",AJ423&gt;3),3, IF(AND(Times!J423="F",AJ423&gt;2),2,AJ423))</f>
        <v>0</v>
      </c>
      <c r="AM423" s="154" t="str">
        <f>IF(Times!J423="M",6, IF(Times!J423="F",4,""))</f>
        <v/>
      </c>
      <c r="AN423" s="154" t="str">
        <f t="shared" si="99"/>
        <v/>
      </c>
      <c r="AO423" s="154" t="str">
        <f t="shared" si="100"/>
        <v/>
      </c>
    </row>
    <row r="424" spans="26:41" x14ac:dyDescent="0.25">
      <c r="Z424" s="154" t="str">
        <f>CONCATENATE(AE424,Times!AD424)</f>
        <v/>
      </c>
      <c r="AA424" s="154" t="str">
        <f>Times!AD424</f>
        <v/>
      </c>
      <c r="AB424" s="154" t="e">
        <f>IF(AK424="Y",CONCATENATE(AA424,COUNTIFS($AK$2:AK424,"=Y",$AA$2:AA424,AA424)),"")</f>
        <v>#VALUE!</v>
      </c>
      <c r="AC424" s="154" t="str">
        <f>Times!K424</f>
        <v/>
      </c>
      <c r="AD424" s="154">
        <f>Times!G424</f>
        <v>118</v>
      </c>
      <c r="AE424" s="154" t="str">
        <f>IF(Times!D424&lt;&gt;"",IF(ISERR(SEARCH("V",Times!I424,1)),IF(ISERR(SEARCH("S",Times!I424,1)),"S","S"),"V"),"")</f>
        <v/>
      </c>
      <c r="AF424" s="161" t="str">
        <f>IF(Times!D424&lt;&gt;"",SUMIFS(Times!$G$2:G424,$AA$2:AA424,AA424,$AK$2:AK424,"Y"),"")</f>
        <v/>
      </c>
      <c r="AG424" s="154" t="str">
        <f>IF(Times!D424&lt;&gt;"",IF(AND(Times!J424="M",AI424+AL424=AM424,AK424="Y"),AF424,""),"")</f>
        <v/>
      </c>
      <c r="AH424" s="154" t="str">
        <f>IF(Times!D424&lt;&gt;"",IF(AND(Times!J424="F",AI424+AL424=AM424,AK424="Y"),AF424,""),"")</f>
        <v/>
      </c>
      <c r="AI424" s="154">
        <f>COUNTIF(Z$2:Z424,CONCATENATE("V",AA424))</f>
        <v>0</v>
      </c>
      <c r="AJ424" s="154">
        <f>COUNTIF(Z$2:Z424,CONCATENATE("S",AA424))</f>
        <v>0</v>
      </c>
      <c r="AK424" s="154" t="e">
        <f t="shared" si="98"/>
        <v>#VALUE!</v>
      </c>
      <c r="AL424" s="154">
        <f>IF(AND(Times!J424="M",AJ424&gt;3),3, IF(AND(Times!J424="F",AJ424&gt;2),2,AJ424))</f>
        <v>0</v>
      </c>
      <c r="AM424" s="154" t="str">
        <f>IF(Times!J424="M",6, IF(Times!J424="F",4,""))</f>
        <v/>
      </c>
      <c r="AN424" s="154" t="str">
        <f t="shared" si="99"/>
        <v/>
      </c>
      <c r="AO424" s="154" t="str">
        <f t="shared" si="100"/>
        <v/>
      </c>
    </row>
    <row r="425" spans="26:41" x14ac:dyDescent="0.25">
      <c r="Z425" s="154" t="str">
        <f>CONCATENATE(AE425,Times!AD425)</f>
        <v/>
      </c>
      <c r="AA425" s="154" t="str">
        <f>Times!AD425</f>
        <v/>
      </c>
      <c r="AB425" s="154" t="e">
        <f>IF(AK425="Y",CONCATENATE(AA425,COUNTIFS($AK$2:AK425,"=Y",$AA$2:AA425,AA425)),"")</f>
        <v>#VALUE!</v>
      </c>
      <c r="AC425" s="154" t="str">
        <f>Times!K425</f>
        <v/>
      </c>
      <c r="AD425" s="154">
        <f>Times!G425</f>
        <v>119</v>
      </c>
      <c r="AE425" s="154" t="str">
        <f>IF(Times!D425&lt;&gt;"",IF(ISERR(SEARCH("V",Times!I425,1)),IF(ISERR(SEARCH("S",Times!I425,1)),"S","S"),"V"),"")</f>
        <v/>
      </c>
      <c r="AF425" s="161" t="str">
        <f>IF(Times!D425&lt;&gt;"",SUMIFS(Times!$G$2:G425,$AA$2:AA425,AA425,$AK$2:AK425,"Y"),"")</f>
        <v/>
      </c>
      <c r="AG425" s="154" t="str">
        <f>IF(Times!D425&lt;&gt;"",IF(AND(Times!J425="M",AI425+AL425=AM425,AK425="Y"),AF425,""),"")</f>
        <v/>
      </c>
      <c r="AH425" s="154" t="str">
        <f>IF(Times!D425&lt;&gt;"",IF(AND(Times!J425="F",AI425+AL425=AM425,AK425="Y"),AF425,""),"")</f>
        <v/>
      </c>
      <c r="AI425" s="154">
        <f>COUNTIF(Z$2:Z425,CONCATENATE("V",AA425))</f>
        <v>0</v>
      </c>
      <c r="AJ425" s="154">
        <f>COUNTIF(Z$2:Z425,CONCATENATE("S",AA425))</f>
        <v>0</v>
      </c>
      <c r="AK425" s="154" t="e">
        <f t="shared" si="98"/>
        <v>#VALUE!</v>
      </c>
      <c r="AL425" s="154">
        <f>IF(AND(Times!J425="M",AJ425&gt;3),3, IF(AND(Times!J425="F",AJ425&gt;2),2,AJ425))</f>
        <v>0</v>
      </c>
      <c r="AM425" s="154" t="str">
        <f>IF(Times!J425="M",6, IF(Times!J425="F",4,""))</f>
        <v/>
      </c>
      <c r="AN425" s="154" t="str">
        <f t="shared" si="99"/>
        <v/>
      </c>
      <c r="AO425" s="154" t="str">
        <f t="shared" si="100"/>
        <v/>
      </c>
    </row>
    <row r="426" spans="26:41" x14ac:dyDescent="0.25">
      <c r="Z426" s="154" t="str">
        <f>CONCATENATE(AE426,Times!AD426)</f>
        <v/>
      </c>
      <c r="AA426" s="154" t="str">
        <f>Times!AD426</f>
        <v/>
      </c>
      <c r="AB426" s="154" t="e">
        <f>IF(AK426="Y",CONCATENATE(AA426,COUNTIFS($AK$2:AK426,"=Y",$AA$2:AA426,AA426)),"")</f>
        <v>#VALUE!</v>
      </c>
      <c r="AC426" s="154" t="str">
        <f>Times!K426</f>
        <v/>
      </c>
      <c r="AD426" s="154">
        <f>Times!G426</f>
        <v>120</v>
      </c>
      <c r="AE426" s="154" t="str">
        <f>IF(Times!D426&lt;&gt;"",IF(ISERR(SEARCH("V",Times!I426,1)),IF(ISERR(SEARCH("S",Times!I426,1)),"S","S"),"V"),"")</f>
        <v/>
      </c>
      <c r="AF426" s="161" t="str">
        <f>IF(Times!D426&lt;&gt;"",SUMIFS(Times!$G$2:G426,$AA$2:AA426,AA426,$AK$2:AK426,"Y"),"")</f>
        <v/>
      </c>
      <c r="AG426" s="154" t="str">
        <f>IF(Times!D426&lt;&gt;"",IF(AND(Times!J426="M",AI426+AL426=AM426,AK426="Y"),AF426,""),"")</f>
        <v/>
      </c>
      <c r="AH426" s="154" t="str">
        <f>IF(Times!D426&lt;&gt;"",IF(AND(Times!J426="F",AI426+AL426=AM426,AK426="Y"),AF426,""),"")</f>
        <v/>
      </c>
      <c r="AI426" s="154">
        <f>COUNTIF(Z$2:Z426,CONCATENATE("V",AA426))</f>
        <v>0</v>
      </c>
      <c r="AJ426" s="154">
        <f>COUNTIF(Z$2:Z426,CONCATENATE("S",AA426))</f>
        <v>0</v>
      </c>
      <c r="AK426" s="154" t="e">
        <f t="shared" si="98"/>
        <v>#VALUE!</v>
      </c>
      <c r="AL426" s="154">
        <f>IF(AND(Times!J426="M",AJ426&gt;3),3, IF(AND(Times!J426="F",AJ426&gt;2),2,AJ426))</f>
        <v>0</v>
      </c>
      <c r="AM426" s="154" t="str">
        <f>IF(Times!J426="M",6, IF(Times!J426="F",4,""))</f>
        <v/>
      </c>
      <c r="AN426" s="154" t="str">
        <f t="shared" si="99"/>
        <v/>
      </c>
      <c r="AO426" s="154" t="str">
        <f t="shared" si="100"/>
        <v/>
      </c>
    </row>
    <row r="427" spans="26:41" x14ac:dyDescent="0.25">
      <c r="Z427" s="154" t="str">
        <f>CONCATENATE(AE427,Times!AD427)</f>
        <v/>
      </c>
      <c r="AA427" s="154" t="str">
        <f>Times!AD427</f>
        <v/>
      </c>
      <c r="AB427" s="154" t="e">
        <f>IF(AK427="Y",CONCATENATE(AA427,COUNTIFS($AK$2:AK427,"=Y",$AA$2:AA427,AA427)),"")</f>
        <v>#VALUE!</v>
      </c>
      <c r="AC427" s="154" t="str">
        <f>Times!K427</f>
        <v/>
      </c>
      <c r="AD427" s="154">
        <f>Times!G427</f>
        <v>121</v>
      </c>
      <c r="AE427" s="154" t="str">
        <f>IF(Times!D427&lt;&gt;"",IF(ISERR(SEARCH("V",Times!I427,1)),IF(ISERR(SEARCH("S",Times!I427,1)),"S","S"),"V"),"")</f>
        <v/>
      </c>
      <c r="AF427" s="161" t="str">
        <f>IF(Times!D427&lt;&gt;"",SUMIFS(Times!$G$2:G427,$AA$2:AA427,AA427,$AK$2:AK427,"Y"),"")</f>
        <v/>
      </c>
      <c r="AG427" s="154" t="str">
        <f>IF(Times!D427&lt;&gt;"",IF(AND(Times!J427="M",AI427+AL427=AM427,AK427="Y"),AF427,""),"")</f>
        <v/>
      </c>
      <c r="AH427" s="154" t="str">
        <f>IF(Times!D427&lt;&gt;"",IF(AND(Times!J427="F",AI427+AL427=AM427,AK427="Y"),AF427,""),"")</f>
        <v/>
      </c>
      <c r="AI427" s="154">
        <f>COUNTIF(Z$2:Z427,CONCATENATE("V",AA427))</f>
        <v>0</v>
      </c>
      <c r="AJ427" s="154">
        <f>COUNTIF(Z$2:Z427,CONCATENATE("S",AA427))</f>
        <v>0</v>
      </c>
      <c r="AK427" s="154" t="e">
        <f t="shared" si="98"/>
        <v>#VALUE!</v>
      </c>
      <c r="AL427" s="154">
        <f>IF(AND(Times!J427="M",AJ427&gt;3),3, IF(AND(Times!J427="F",AJ427&gt;2),2,AJ427))</f>
        <v>0</v>
      </c>
      <c r="AM427" s="154" t="str">
        <f>IF(Times!J427="M",6, IF(Times!J427="F",4,""))</f>
        <v/>
      </c>
      <c r="AN427" s="154" t="str">
        <f t="shared" si="99"/>
        <v/>
      </c>
      <c r="AO427" s="154" t="str">
        <f t="shared" si="100"/>
        <v/>
      </c>
    </row>
    <row r="428" spans="26:41" x14ac:dyDescent="0.25">
      <c r="Z428" s="154" t="str">
        <f>CONCATENATE(AE428,Times!AD428)</f>
        <v/>
      </c>
      <c r="AA428" s="154" t="str">
        <f>Times!AD428</f>
        <v/>
      </c>
      <c r="AB428" s="154" t="e">
        <f>IF(AK428="Y",CONCATENATE(AA428,COUNTIFS($AK$2:AK428,"=Y",$AA$2:AA428,AA428)),"")</f>
        <v>#VALUE!</v>
      </c>
      <c r="AC428" s="154" t="str">
        <f>Times!K428</f>
        <v/>
      </c>
      <c r="AD428" s="154">
        <f>Times!G428</f>
        <v>122</v>
      </c>
      <c r="AE428" s="154" t="str">
        <f>IF(Times!D428&lt;&gt;"",IF(ISERR(SEARCH("V",Times!I428,1)),IF(ISERR(SEARCH("S",Times!I428,1)),"S","S"),"V"),"")</f>
        <v/>
      </c>
      <c r="AF428" s="161" t="str">
        <f>IF(Times!D428&lt;&gt;"",SUMIFS(Times!$G$2:G428,$AA$2:AA428,AA428,$AK$2:AK428,"Y"),"")</f>
        <v/>
      </c>
      <c r="AG428" s="154" t="str">
        <f>IF(Times!D428&lt;&gt;"",IF(AND(Times!J428="M",AI428+AL428=AM428,AK428="Y"),AF428,""),"")</f>
        <v/>
      </c>
      <c r="AH428" s="154" t="str">
        <f>IF(Times!D428&lt;&gt;"",IF(AND(Times!J428="F",AI428+AL428=AM428,AK428="Y"),AF428,""),"")</f>
        <v/>
      </c>
      <c r="AI428" s="154">
        <f>COUNTIF(Z$2:Z428,CONCATENATE("V",AA428))</f>
        <v>0</v>
      </c>
      <c r="AJ428" s="154">
        <f>COUNTIF(Z$2:Z428,CONCATENATE("S",AA428))</f>
        <v>0</v>
      </c>
      <c r="AK428" s="154" t="e">
        <f t="shared" si="98"/>
        <v>#VALUE!</v>
      </c>
      <c r="AL428" s="154">
        <f>IF(AND(Times!J428="M",AJ428&gt;3),3, IF(AND(Times!J428="F",AJ428&gt;2),2,AJ428))</f>
        <v>0</v>
      </c>
      <c r="AM428" s="154" t="str">
        <f>IF(Times!J428="M",6, IF(Times!J428="F",4,""))</f>
        <v/>
      </c>
      <c r="AN428" s="154" t="str">
        <f t="shared" si="99"/>
        <v/>
      </c>
      <c r="AO428" s="154" t="str">
        <f t="shared" si="100"/>
        <v/>
      </c>
    </row>
    <row r="429" spans="26:41" x14ac:dyDescent="0.25">
      <c r="Z429" s="154" t="str">
        <f>CONCATENATE(AE429,Times!AD429)</f>
        <v/>
      </c>
      <c r="AA429" s="154" t="str">
        <f>Times!AD429</f>
        <v/>
      </c>
      <c r="AB429" s="154" t="e">
        <f>IF(AK429="Y",CONCATENATE(AA429,COUNTIFS($AK$2:AK429,"=Y",$AA$2:AA429,AA429)),"")</f>
        <v>#VALUE!</v>
      </c>
      <c r="AC429" s="154" t="str">
        <f>Times!K429</f>
        <v/>
      </c>
      <c r="AD429" s="154">
        <f>Times!G429</f>
        <v>123</v>
      </c>
      <c r="AE429" s="154" t="str">
        <f>IF(Times!D429&lt;&gt;"",IF(ISERR(SEARCH("V",Times!I429,1)),IF(ISERR(SEARCH("S",Times!I429,1)),"S","S"),"V"),"")</f>
        <v/>
      </c>
      <c r="AF429" s="161" t="str">
        <f>IF(Times!D429&lt;&gt;"",SUMIFS(Times!$G$2:G429,$AA$2:AA429,AA429,$AK$2:AK429,"Y"),"")</f>
        <v/>
      </c>
      <c r="AG429" s="154" t="str">
        <f>IF(Times!D429&lt;&gt;"",IF(AND(Times!J429="M",AI429+AL429=AM429,AK429="Y"),AF429,""),"")</f>
        <v/>
      </c>
      <c r="AH429" s="154" t="str">
        <f>IF(Times!D429&lt;&gt;"",IF(AND(Times!J429="F",AI429+AL429=AM429,AK429="Y"),AF429,""),"")</f>
        <v/>
      </c>
      <c r="AI429" s="154">
        <f>COUNTIF(Z$2:Z429,CONCATENATE("V",AA429))</f>
        <v>0</v>
      </c>
      <c r="AJ429" s="154">
        <f>COUNTIF(Z$2:Z429,CONCATENATE("S",AA429))</f>
        <v>0</v>
      </c>
      <c r="AK429" s="154" t="e">
        <f t="shared" si="98"/>
        <v>#VALUE!</v>
      </c>
      <c r="AL429" s="154">
        <f>IF(AND(Times!J429="M",AJ429&gt;3),3, IF(AND(Times!J429="F",AJ429&gt;2),2,AJ429))</f>
        <v>0</v>
      </c>
      <c r="AM429" s="154" t="str">
        <f>IF(Times!J429="M",6, IF(Times!J429="F",4,""))</f>
        <v/>
      </c>
      <c r="AN429" s="154" t="str">
        <f t="shared" si="99"/>
        <v/>
      </c>
      <c r="AO429" s="154" t="str">
        <f t="shared" si="100"/>
        <v/>
      </c>
    </row>
    <row r="430" spans="26:41" x14ac:dyDescent="0.25">
      <c r="Z430" s="154" t="str">
        <f>CONCATENATE(AE430,Times!AD430)</f>
        <v/>
      </c>
      <c r="AA430" s="154" t="str">
        <f>Times!AD430</f>
        <v/>
      </c>
      <c r="AB430" s="154" t="e">
        <f>IF(AK430="Y",CONCATENATE(AA430,COUNTIFS($AK$2:AK430,"=Y",$AA$2:AA430,AA430)),"")</f>
        <v>#VALUE!</v>
      </c>
      <c r="AC430" s="154" t="str">
        <f>Times!K430</f>
        <v/>
      </c>
      <c r="AD430" s="154">
        <f>Times!G430</f>
        <v>124</v>
      </c>
      <c r="AE430" s="154" t="str">
        <f>IF(Times!D430&lt;&gt;"",IF(ISERR(SEARCH("V",Times!I430,1)),IF(ISERR(SEARCH("S",Times!I430,1)),"S","S"),"V"),"")</f>
        <v/>
      </c>
      <c r="AF430" s="161" t="str">
        <f>IF(Times!D430&lt;&gt;"",SUMIFS(Times!$G$2:G430,$AA$2:AA430,AA430,$AK$2:AK430,"Y"),"")</f>
        <v/>
      </c>
      <c r="AG430" s="154" t="str">
        <f>IF(Times!D430&lt;&gt;"",IF(AND(Times!J430="M",AI430+AL430=AM430,AK430="Y"),AF430,""),"")</f>
        <v/>
      </c>
      <c r="AH430" s="154" t="str">
        <f>IF(Times!D430&lt;&gt;"",IF(AND(Times!J430="F",AI430+AL430=AM430,AK430="Y"),AF430,""),"")</f>
        <v/>
      </c>
      <c r="AI430" s="154">
        <f>COUNTIF(Z$2:Z430,CONCATENATE("V",AA430))</f>
        <v>0</v>
      </c>
      <c r="AJ430" s="154">
        <f>COUNTIF(Z$2:Z430,CONCATENATE("S",AA430))</f>
        <v>0</v>
      </c>
      <c r="AK430" s="154" t="e">
        <f t="shared" si="98"/>
        <v>#VALUE!</v>
      </c>
      <c r="AL430" s="154">
        <f>IF(AND(Times!J430="M",AJ430&gt;3),3, IF(AND(Times!J430="F",AJ430&gt;2),2,AJ430))</f>
        <v>0</v>
      </c>
      <c r="AM430" s="154" t="str">
        <f>IF(Times!J430="M",6, IF(Times!J430="F",4,""))</f>
        <v/>
      </c>
      <c r="AN430" s="154" t="str">
        <f t="shared" si="99"/>
        <v/>
      </c>
      <c r="AO430" s="154" t="str">
        <f t="shared" si="100"/>
        <v/>
      </c>
    </row>
    <row r="431" spans="26:41" x14ac:dyDescent="0.25">
      <c r="Z431" s="154" t="str">
        <f>CONCATENATE(AE431,Times!AD431)</f>
        <v/>
      </c>
      <c r="AA431" s="154" t="str">
        <f>Times!AD431</f>
        <v/>
      </c>
      <c r="AB431" s="154" t="e">
        <f>IF(AK431="Y",CONCATENATE(AA431,COUNTIFS($AK$2:AK431,"=Y",$AA$2:AA431,AA431)),"")</f>
        <v>#VALUE!</v>
      </c>
      <c r="AC431" s="154" t="str">
        <f>Times!K431</f>
        <v/>
      </c>
      <c r="AD431" s="154">
        <f>Times!G431</f>
        <v>125</v>
      </c>
      <c r="AE431" s="154" t="str">
        <f>IF(Times!D431&lt;&gt;"",IF(ISERR(SEARCH("V",Times!I431,1)),IF(ISERR(SEARCH("S",Times!I431,1)),"S","S"),"V"),"")</f>
        <v/>
      </c>
      <c r="AF431" s="161" t="str">
        <f>IF(Times!D431&lt;&gt;"",SUMIFS(Times!$G$2:G431,$AA$2:AA431,AA431,$AK$2:AK431,"Y"),"")</f>
        <v/>
      </c>
      <c r="AG431" s="154" t="str">
        <f>IF(Times!D431&lt;&gt;"",IF(AND(Times!J431="M",AI431+AL431=AM431,AK431="Y"),AF431,""),"")</f>
        <v/>
      </c>
      <c r="AH431" s="154" t="str">
        <f>IF(Times!D431&lt;&gt;"",IF(AND(Times!J431="F",AI431+AL431=AM431,AK431="Y"),AF431,""),"")</f>
        <v/>
      </c>
      <c r="AI431" s="154">
        <f>COUNTIF(Z$2:Z431,CONCATENATE("V",AA431))</f>
        <v>0</v>
      </c>
      <c r="AJ431" s="154">
        <f>COUNTIF(Z$2:Z431,CONCATENATE("S",AA431))</f>
        <v>0</v>
      </c>
      <c r="AK431" s="154" t="e">
        <f t="shared" si="98"/>
        <v>#VALUE!</v>
      </c>
      <c r="AL431" s="154">
        <f>IF(AND(Times!J431="M",AJ431&gt;3),3, IF(AND(Times!J431="F",AJ431&gt;2),2,AJ431))</f>
        <v>0</v>
      </c>
      <c r="AM431" s="154" t="str">
        <f>IF(Times!J431="M",6, IF(Times!J431="F",4,""))</f>
        <v/>
      </c>
      <c r="AN431" s="154" t="str">
        <f t="shared" si="99"/>
        <v/>
      </c>
      <c r="AO431" s="154" t="str">
        <f t="shared" si="100"/>
        <v/>
      </c>
    </row>
    <row r="432" spans="26:41" x14ac:dyDescent="0.25">
      <c r="Z432" s="154" t="str">
        <f>CONCATENATE(AE432,Times!AD432)</f>
        <v/>
      </c>
      <c r="AA432" s="154" t="str">
        <f>Times!AD432</f>
        <v/>
      </c>
      <c r="AB432" s="154" t="e">
        <f>IF(AK432="Y",CONCATENATE(AA432,COUNTIFS($AK$2:AK432,"=Y",$AA$2:AA432,AA432)),"")</f>
        <v>#VALUE!</v>
      </c>
      <c r="AC432" s="154" t="str">
        <f>Times!K432</f>
        <v/>
      </c>
      <c r="AD432" s="154">
        <f>Times!G432</f>
        <v>126</v>
      </c>
      <c r="AE432" s="154" t="str">
        <f>IF(Times!D432&lt;&gt;"",IF(ISERR(SEARCH("V",Times!I432,1)),IF(ISERR(SEARCH("S",Times!I432,1)),"S","S"),"V"),"")</f>
        <v/>
      </c>
      <c r="AF432" s="161" t="str">
        <f>IF(Times!D432&lt;&gt;"",SUMIFS(Times!$G$2:G432,$AA$2:AA432,AA432,$AK$2:AK432,"Y"),"")</f>
        <v/>
      </c>
      <c r="AG432" s="154" t="str">
        <f>IF(Times!D432&lt;&gt;"",IF(AND(Times!J432="M",AI432+AL432=AM432,AK432="Y"),AF432,""),"")</f>
        <v/>
      </c>
      <c r="AH432" s="154" t="str">
        <f>IF(Times!D432&lt;&gt;"",IF(AND(Times!J432="F",AI432+AL432=AM432,AK432="Y"),AF432,""),"")</f>
        <v/>
      </c>
      <c r="AI432" s="154">
        <f>COUNTIF(Z$2:Z432,CONCATENATE("V",AA432))</f>
        <v>0</v>
      </c>
      <c r="AJ432" s="154">
        <f>COUNTIF(Z$2:Z432,CONCATENATE("S",AA432))</f>
        <v>0</v>
      </c>
      <c r="AK432" s="154" t="e">
        <f t="shared" si="98"/>
        <v>#VALUE!</v>
      </c>
      <c r="AL432" s="154">
        <f>IF(AND(Times!J432="M",AJ432&gt;3),3, IF(AND(Times!J432="F",AJ432&gt;2),2,AJ432))</f>
        <v>0</v>
      </c>
      <c r="AM432" s="154" t="str">
        <f>IF(Times!J432="M",6, IF(Times!J432="F",4,""))</f>
        <v/>
      </c>
      <c r="AN432" s="154" t="str">
        <f t="shared" si="99"/>
        <v/>
      </c>
      <c r="AO432" s="154" t="str">
        <f t="shared" si="100"/>
        <v/>
      </c>
    </row>
    <row r="433" spans="26:41" x14ac:dyDescent="0.25">
      <c r="Z433" s="154" t="str">
        <f>CONCATENATE(AE433,Times!AD433)</f>
        <v/>
      </c>
      <c r="AA433" s="154" t="str">
        <f>Times!AD433</f>
        <v/>
      </c>
      <c r="AB433" s="154" t="e">
        <f>IF(AK433="Y",CONCATENATE(AA433,COUNTIFS($AK$2:AK433,"=Y",$AA$2:AA433,AA433)),"")</f>
        <v>#VALUE!</v>
      </c>
      <c r="AC433" s="154" t="str">
        <f>Times!K433</f>
        <v/>
      </c>
      <c r="AD433" s="154">
        <f>Times!G433</f>
        <v>127</v>
      </c>
      <c r="AE433" s="154" t="str">
        <f>IF(Times!D433&lt;&gt;"",IF(ISERR(SEARCH("V",Times!I433,1)),IF(ISERR(SEARCH("S",Times!I433,1)),"S","S"),"V"),"")</f>
        <v/>
      </c>
      <c r="AF433" s="161" t="str">
        <f>IF(Times!D433&lt;&gt;"",SUMIFS(Times!$G$2:G433,$AA$2:AA433,AA433,$AK$2:AK433,"Y"),"")</f>
        <v/>
      </c>
      <c r="AG433" s="154" t="str">
        <f>IF(Times!D433&lt;&gt;"",IF(AND(Times!J433="M",AI433+AL433=AM433,AK433="Y"),AF433,""),"")</f>
        <v/>
      </c>
      <c r="AH433" s="154" t="str">
        <f>IF(Times!D433&lt;&gt;"",IF(AND(Times!J433="F",AI433+AL433=AM433,AK433="Y"),AF433,""),"")</f>
        <v/>
      </c>
      <c r="AI433" s="154">
        <f>COUNTIF(Z$2:Z433,CONCATENATE("V",AA433))</f>
        <v>0</v>
      </c>
      <c r="AJ433" s="154">
        <f>COUNTIF(Z$2:Z433,CONCATENATE("S",AA433))</f>
        <v>0</v>
      </c>
      <c r="AK433" s="154" t="e">
        <f t="shared" si="98"/>
        <v>#VALUE!</v>
      </c>
      <c r="AL433" s="154">
        <f>IF(AND(Times!J433="M",AJ433&gt;3),3, IF(AND(Times!J433="F",AJ433&gt;2),2,AJ433))</f>
        <v>0</v>
      </c>
      <c r="AM433" s="154" t="str">
        <f>IF(Times!J433="M",6, IF(Times!J433="F",4,""))</f>
        <v/>
      </c>
      <c r="AN433" s="154" t="str">
        <f t="shared" si="99"/>
        <v/>
      </c>
      <c r="AO433" s="154" t="str">
        <f t="shared" si="100"/>
        <v/>
      </c>
    </row>
    <row r="434" spans="26:41" x14ac:dyDescent="0.25">
      <c r="Z434" s="154" t="str">
        <f>CONCATENATE(AE434,Times!AD434)</f>
        <v/>
      </c>
      <c r="AA434" s="154" t="str">
        <f>Times!AD434</f>
        <v/>
      </c>
      <c r="AB434" s="154" t="e">
        <f>IF(AK434="Y",CONCATENATE(AA434,COUNTIFS($AK$2:AK434,"=Y",$AA$2:AA434,AA434)),"")</f>
        <v>#VALUE!</v>
      </c>
      <c r="AC434" s="154" t="str">
        <f>Times!K434</f>
        <v/>
      </c>
      <c r="AD434" s="154">
        <f>Times!G434</f>
        <v>128</v>
      </c>
      <c r="AE434" s="154" t="str">
        <f>IF(Times!D434&lt;&gt;"",IF(ISERR(SEARCH("V",Times!I434,1)),IF(ISERR(SEARCH("S",Times!I434,1)),"S","S"),"V"),"")</f>
        <v/>
      </c>
      <c r="AF434" s="161" t="str">
        <f>IF(Times!D434&lt;&gt;"",SUMIFS(Times!$G$2:G434,$AA$2:AA434,AA434,$AK$2:AK434,"Y"),"")</f>
        <v/>
      </c>
      <c r="AG434" s="154" t="str">
        <f>IF(Times!D434&lt;&gt;"",IF(AND(Times!J434="M",AI434+AL434=AM434,AK434="Y"),AF434,""),"")</f>
        <v/>
      </c>
      <c r="AH434" s="154" t="str">
        <f>IF(Times!D434&lt;&gt;"",IF(AND(Times!J434="F",AI434+AL434=AM434,AK434="Y"),AF434,""),"")</f>
        <v/>
      </c>
      <c r="AI434" s="154">
        <f>COUNTIF(Z$2:Z434,CONCATENATE("V",AA434))</f>
        <v>0</v>
      </c>
      <c r="AJ434" s="154">
        <f>COUNTIF(Z$2:Z434,CONCATENATE("S",AA434))</f>
        <v>0</v>
      </c>
      <c r="AK434" s="154" t="e">
        <f t="shared" si="98"/>
        <v>#VALUE!</v>
      </c>
      <c r="AL434" s="154">
        <f>IF(AND(Times!J434="M",AJ434&gt;3),3, IF(AND(Times!J434="F",AJ434&gt;2),2,AJ434))</f>
        <v>0</v>
      </c>
      <c r="AM434" s="154" t="str">
        <f>IF(Times!J434="M",6, IF(Times!J434="F",4,""))</f>
        <v/>
      </c>
      <c r="AN434" s="154" t="str">
        <f t="shared" si="99"/>
        <v/>
      </c>
      <c r="AO434" s="154" t="str">
        <f t="shared" si="100"/>
        <v/>
      </c>
    </row>
    <row r="435" spans="26:41" x14ac:dyDescent="0.25">
      <c r="Z435" s="154" t="str">
        <f>CONCATENATE(AE435,Times!AD435)</f>
        <v/>
      </c>
      <c r="AA435" s="154" t="str">
        <f>Times!AD435</f>
        <v/>
      </c>
      <c r="AB435" s="154" t="e">
        <f>IF(AK435="Y",CONCATENATE(AA435,COUNTIFS($AK$2:AK435,"=Y",$AA$2:AA435,AA435)),"")</f>
        <v>#VALUE!</v>
      </c>
      <c r="AC435" s="154" t="str">
        <f>Times!K435</f>
        <v/>
      </c>
      <c r="AD435" s="154">
        <f>Times!G435</f>
        <v>129</v>
      </c>
      <c r="AE435" s="154" t="str">
        <f>IF(Times!D435&lt;&gt;"",IF(ISERR(SEARCH("V",Times!I435,1)),IF(ISERR(SEARCH("S",Times!I435,1)),"S","S"),"V"),"")</f>
        <v/>
      </c>
      <c r="AF435" s="161" t="str">
        <f>IF(Times!D435&lt;&gt;"",SUMIFS(Times!$G$2:G435,$AA$2:AA435,AA435,$AK$2:AK435,"Y"),"")</f>
        <v/>
      </c>
      <c r="AG435" s="154" t="str">
        <f>IF(Times!D435&lt;&gt;"",IF(AND(Times!J435="M",AI435+AL435=AM435,AK435="Y"),AF435,""),"")</f>
        <v/>
      </c>
      <c r="AH435" s="154" t="str">
        <f>IF(Times!D435&lt;&gt;"",IF(AND(Times!J435="F",AI435+AL435=AM435,AK435="Y"),AF435,""),"")</f>
        <v/>
      </c>
      <c r="AI435" s="154">
        <f>COUNTIF(Z$2:Z435,CONCATENATE("V",AA435))</f>
        <v>0</v>
      </c>
      <c r="AJ435" s="154">
        <f>COUNTIF(Z$2:Z435,CONCATENATE("S",AA435))</f>
        <v>0</v>
      </c>
      <c r="AK435" s="154" t="e">
        <f t="shared" si="98"/>
        <v>#VALUE!</v>
      </c>
      <c r="AL435" s="154">
        <f>IF(AND(Times!J435="M",AJ435&gt;3),3, IF(AND(Times!J435="F",AJ435&gt;2),2,AJ435))</f>
        <v>0</v>
      </c>
      <c r="AM435" s="154" t="str">
        <f>IF(Times!J435="M",6, IF(Times!J435="F",4,""))</f>
        <v/>
      </c>
      <c r="AN435" s="154" t="str">
        <f t="shared" si="99"/>
        <v/>
      </c>
      <c r="AO435" s="154" t="str">
        <f t="shared" si="100"/>
        <v/>
      </c>
    </row>
    <row r="436" spans="26:41" x14ac:dyDescent="0.25">
      <c r="Z436" s="154" t="str">
        <f>CONCATENATE(AE436,Times!AD436)</f>
        <v/>
      </c>
      <c r="AA436" s="154" t="str">
        <f>Times!AD436</f>
        <v/>
      </c>
      <c r="AB436" s="154" t="e">
        <f>IF(AK436="Y",CONCATENATE(AA436,COUNTIFS($AK$2:AK436,"=Y",$AA$2:AA436,AA436)),"")</f>
        <v>#VALUE!</v>
      </c>
      <c r="AC436" s="154" t="str">
        <f>Times!K436</f>
        <v/>
      </c>
      <c r="AD436" s="154">
        <f>Times!G436</f>
        <v>130</v>
      </c>
      <c r="AE436" s="154" t="str">
        <f>IF(Times!D436&lt;&gt;"",IF(ISERR(SEARCH("V",Times!I436,1)),IF(ISERR(SEARCH("S",Times!I436,1)),"S","S"),"V"),"")</f>
        <v/>
      </c>
      <c r="AF436" s="161" t="str">
        <f>IF(Times!D436&lt;&gt;"",SUMIFS(Times!$G$2:G436,$AA$2:AA436,AA436,$AK$2:AK436,"Y"),"")</f>
        <v/>
      </c>
      <c r="AG436" s="154" t="str">
        <f>IF(Times!D436&lt;&gt;"",IF(AND(Times!J436="M",AI436+AL436=AM436,AK436="Y"),AF436,""),"")</f>
        <v/>
      </c>
      <c r="AH436" s="154" t="str">
        <f>IF(Times!D436&lt;&gt;"",IF(AND(Times!J436="F",AI436+AL436=AM436,AK436="Y"),AF436,""),"")</f>
        <v/>
      </c>
      <c r="AI436" s="154">
        <f>COUNTIF(Z$2:Z436,CONCATENATE("V",AA436))</f>
        <v>0</v>
      </c>
      <c r="AJ436" s="154">
        <f>COUNTIF(Z$2:Z436,CONCATENATE("S",AA436))</f>
        <v>0</v>
      </c>
      <c r="AK436" s="154" t="e">
        <f t="shared" si="98"/>
        <v>#VALUE!</v>
      </c>
      <c r="AL436" s="154">
        <f>IF(AND(Times!J436="M",AJ436&gt;3),3, IF(AND(Times!J436="F",AJ436&gt;2),2,AJ436))</f>
        <v>0</v>
      </c>
      <c r="AM436" s="154" t="str">
        <f>IF(Times!J436="M",6, IF(Times!J436="F",4,""))</f>
        <v/>
      </c>
      <c r="AN436" s="154" t="str">
        <f t="shared" si="99"/>
        <v/>
      </c>
      <c r="AO436" s="154" t="str">
        <f t="shared" si="100"/>
        <v/>
      </c>
    </row>
    <row r="437" spans="26:41" x14ac:dyDescent="0.25">
      <c r="Z437" s="154" t="str">
        <f>CONCATENATE(AE437,Times!AD437)</f>
        <v/>
      </c>
      <c r="AA437" s="154" t="str">
        <f>Times!AD437</f>
        <v/>
      </c>
      <c r="AB437" s="154" t="e">
        <f>IF(AK437="Y",CONCATENATE(AA437,COUNTIFS($AK$2:AK437,"=Y",$AA$2:AA437,AA437)),"")</f>
        <v>#VALUE!</v>
      </c>
      <c r="AC437" s="154" t="str">
        <f>Times!K437</f>
        <v/>
      </c>
      <c r="AD437" s="154">
        <f>Times!G437</f>
        <v>131</v>
      </c>
      <c r="AE437" s="154" t="str">
        <f>IF(Times!D437&lt;&gt;"",IF(ISERR(SEARCH("V",Times!I437,1)),IF(ISERR(SEARCH("S",Times!I437,1)),"S","S"),"V"),"")</f>
        <v/>
      </c>
      <c r="AF437" s="161" t="str">
        <f>IF(Times!D437&lt;&gt;"",SUMIFS(Times!$G$2:G437,$AA$2:AA437,AA437,$AK$2:AK437,"Y"),"")</f>
        <v/>
      </c>
      <c r="AG437" s="154" t="str">
        <f>IF(Times!D437&lt;&gt;"",IF(AND(Times!J437="M",AI437+AL437=AM437,AK437="Y"),AF437,""),"")</f>
        <v/>
      </c>
      <c r="AH437" s="154" t="str">
        <f>IF(Times!D437&lt;&gt;"",IF(AND(Times!J437="F",AI437+AL437=AM437,AK437="Y"),AF437,""),"")</f>
        <v/>
      </c>
      <c r="AI437" s="154">
        <f>COUNTIF(Z$2:Z437,CONCATENATE("V",AA437))</f>
        <v>0</v>
      </c>
      <c r="AJ437" s="154">
        <f>COUNTIF(Z$2:Z437,CONCATENATE("S",AA437))</f>
        <v>0</v>
      </c>
      <c r="AK437" s="154" t="e">
        <f t="shared" si="98"/>
        <v>#VALUE!</v>
      </c>
      <c r="AL437" s="154">
        <f>IF(AND(Times!J437="M",AJ437&gt;3),3, IF(AND(Times!J437="F",AJ437&gt;2),2,AJ437))</f>
        <v>0</v>
      </c>
      <c r="AM437" s="154" t="str">
        <f>IF(Times!J437="M",6, IF(Times!J437="F",4,""))</f>
        <v/>
      </c>
      <c r="AN437" s="154" t="str">
        <f t="shared" si="99"/>
        <v/>
      </c>
      <c r="AO437" s="154" t="str">
        <f t="shared" si="100"/>
        <v/>
      </c>
    </row>
    <row r="438" spans="26:41" x14ac:dyDescent="0.25">
      <c r="Z438" s="154" t="str">
        <f>CONCATENATE(AE438,Times!AD438)</f>
        <v/>
      </c>
      <c r="AA438" s="154" t="str">
        <f>Times!AD438</f>
        <v/>
      </c>
      <c r="AB438" s="154" t="e">
        <f>IF(AK438="Y",CONCATENATE(AA438,COUNTIFS($AK$2:AK438,"=Y",$AA$2:AA438,AA438)),"")</f>
        <v>#VALUE!</v>
      </c>
      <c r="AC438" s="154" t="str">
        <f>Times!K438</f>
        <v/>
      </c>
      <c r="AD438" s="154">
        <f>Times!G438</f>
        <v>132</v>
      </c>
      <c r="AE438" s="154" t="str">
        <f>IF(Times!D438&lt;&gt;"",IF(ISERR(SEARCH("V",Times!I438,1)),IF(ISERR(SEARCH("S",Times!I438,1)),"S","S"),"V"),"")</f>
        <v/>
      </c>
      <c r="AF438" s="161" t="str">
        <f>IF(Times!D438&lt;&gt;"",SUMIFS(Times!$G$2:G438,$AA$2:AA438,AA438,$AK$2:AK438,"Y"),"")</f>
        <v/>
      </c>
      <c r="AG438" s="154" t="str">
        <f>IF(Times!D438&lt;&gt;"",IF(AND(Times!J438="M",AI438+AL438=AM438,AK438="Y"),AF438,""),"")</f>
        <v/>
      </c>
      <c r="AH438" s="154" t="str">
        <f>IF(Times!D438&lt;&gt;"",IF(AND(Times!J438="F",AI438+AL438=AM438,AK438="Y"),AF438,""),"")</f>
        <v/>
      </c>
      <c r="AI438" s="154">
        <f>COUNTIF(Z$2:Z438,CONCATENATE("V",AA438))</f>
        <v>0</v>
      </c>
      <c r="AJ438" s="154">
        <f>COUNTIF(Z$2:Z438,CONCATENATE("S",AA438))</f>
        <v>0</v>
      </c>
      <c r="AK438" s="154" t="e">
        <f t="shared" si="98"/>
        <v>#VALUE!</v>
      </c>
      <c r="AL438" s="154">
        <f>IF(AND(Times!J438="M",AJ438&gt;3),3, IF(AND(Times!J438="F",AJ438&gt;2),2,AJ438))</f>
        <v>0</v>
      </c>
      <c r="AM438" s="154" t="str">
        <f>IF(Times!J438="M",6, IF(Times!J438="F",4,""))</f>
        <v/>
      </c>
      <c r="AN438" s="154" t="str">
        <f t="shared" si="99"/>
        <v/>
      </c>
      <c r="AO438" s="154" t="str">
        <f t="shared" si="100"/>
        <v/>
      </c>
    </row>
    <row r="439" spans="26:41" x14ac:dyDescent="0.25">
      <c r="Z439" s="154" t="str">
        <f>CONCATENATE(AE439,Times!AD439)</f>
        <v/>
      </c>
      <c r="AA439" s="154" t="str">
        <f>Times!AD439</f>
        <v/>
      </c>
      <c r="AB439" s="154" t="e">
        <f>IF(AK439="Y",CONCATENATE(AA439,COUNTIFS($AK$2:AK439,"=Y",$AA$2:AA439,AA439)),"")</f>
        <v>#VALUE!</v>
      </c>
      <c r="AC439" s="154" t="str">
        <f>Times!K439</f>
        <v/>
      </c>
      <c r="AD439" s="154">
        <f>Times!G439</f>
        <v>133</v>
      </c>
      <c r="AE439" s="154" t="str">
        <f>IF(Times!D439&lt;&gt;"",IF(ISERR(SEARCH("V",Times!I439,1)),IF(ISERR(SEARCH("S",Times!I439,1)),"S","S"),"V"),"")</f>
        <v/>
      </c>
      <c r="AF439" s="161" t="str">
        <f>IF(Times!D439&lt;&gt;"",SUMIFS(Times!$G$2:G439,$AA$2:AA439,AA439,$AK$2:AK439,"Y"),"")</f>
        <v/>
      </c>
      <c r="AG439" s="154" t="str">
        <f>IF(Times!D439&lt;&gt;"",IF(AND(Times!J439="M",AI439+AL439=AM439,AK439="Y"),AF439,""),"")</f>
        <v/>
      </c>
      <c r="AH439" s="154" t="str">
        <f>IF(Times!D439&lt;&gt;"",IF(AND(Times!J439="F",AI439+AL439=AM439,AK439="Y"),AF439,""),"")</f>
        <v/>
      </c>
      <c r="AI439" s="154">
        <f>COUNTIF(Z$2:Z439,CONCATENATE("V",AA439))</f>
        <v>0</v>
      </c>
      <c r="AJ439" s="154">
        <f>COUNTIF(Z$2:Z439,CONCATENATE("S",AA439))</f>
        <v>0</v>
      </c>
      <c r="AK439" s="154" t="e">
        <f t="shared" si="98"/>
        <v>#VALUE!</v>
      </c>
      <c r="AL439" s="154">
        <f>IF(AND(Times!J439="M",AJ439&gt;3),3, IF(AND(Times!J439="F",AJ439&gt;2),2,AJ439))</f>
        <v>0</v>
      </c>
      <c r="AM439" s="154" t="str">
        <f>IF(Times!J439="M",6, IF(Times!J439="F",4,""))</f>
        <v/>
      </c>
      <c r="AN439" s="154" t="str">
        <f t="shared" si="99"/>
        <v/>
      </c>
      <c r="AO439" s="154" t="str">
        <f t="shared" si="100"/>
        <v/>
      </c>
    </row>
    <row r="440" spans="26:41" x14ac:dyDescent="0.25">
      <c r="Z440" s="154" t="str">
        <f>CONCATENATE(AE440,Times!AD440)</f>
        <v/>
      </c>
      <c r="AA440" s="154" t="str">
        <f>Times!AD440</f>
        <v/>
      </c>
      <c r="AB440" s="154" t="e">
        <f>IF(AK440="Y",CONCATENATE(AA440,COUNTIFS($AK$2:AK440,"=Y",$AA$2:AA440,AA440)),"")</f>
        <v>#VALUE!</v>
      </c>
      <c r="AC440" s="154" t="str">
        <f>Times!K440</f>
        <v/>
      </c>
      <c r="AD440" s="154">
        <f>Times!G440</f>
        <v>134</v>
      </c>
      <c r="AE440" s="154" t="str">
        <f>IF(Times!D440&lt;&gt;"",IF(ISERR(SEARCH("V",Times!I440,1)),IF(ISERR(SEARCH("S",Times!I440,1)),"S","S"),"V"),"")</f>
        <v/>
      </c>
      <c r="AF440" s="161" t="str">
        <f>IF(Times!D440&lt;&gt;"",SUMIFS(Times!$G$2:G440,$AA$2:AA440,AA440,$AK$2:AK440,"Y"),"")</f>
        <v/>
      </c>
      <c r="AG440" s="154" t="str">
        <f>IF(Times!D440&lt;&gt;"",IF(AND(Times!J440="M",AI440+AL440=AM440,AK440="Y"),AF440,""),"")</f>
        <v/>
      </c>
      <c r="AH440" s="154" t="str">
        <f>IF(Times!D440&lt;&gt;"",IF(AND(Times!J440="F",AI440+AL440=AM440,AK440="Y"),AF440,""),"")</f>
        <v/>
      </c>
      <c r="AI440" s="154">
        <f>COUNTIF(Z$2:Z440,CONCATENATE("V",AA440))</f>
        <v>0</v>
      </c>
      <c r="AJ440" s="154">
        <f>COUNTIF(Z$2:Z440,CONCATENATE("S",AA440))</f>
        <v>0</v>
      </c>
      <c r="AK440" s="154" t="e">
        <f t="shared" si="98"/>
        <v>#VALUE!</v>
      </c>
      <c r="AL440" s="154">
        <f>IF(AND(Times!J440="M",AJ440&gt;3),3, IF(AND(Times!J440="F",AJ440&gt;2),2,AJ440))</f>
        <v>0</v>
      </c>
      <c r="AM440" s="154" t="str">
        <f>IF(Times!J440="M",6, IF(Times!J440="F",4,""))</f>
        <v/>
      </c>
      <c r="AN440" s="154" t="str">
        <f t="shared" si="99"/>
        <v/>
      </c>
      <c r="AO440" s="154" t="str">
        <f t="shared" si="100"/>
        <v/>
      </c>
    </row>
    <row r="441" spans="26:41" x14ac:dyDescent="0.25">
      <c r="Z441" s="154" t="str">
        <f>CONCATENATE(AE441,Times!AD441)</f>
        <v/>
      </c>
      <c r="AA441" s="154" t="str">
        <f>Times!AD441</f>
        <v/>
      </c>
      <c r="AB441" s="154" t="e">
        <f>IF(AK441="Y",CONCATENATE(AA441,COUNTIFS($AK$2:AK441,"=Y",$AA$2:AA441,AA441)),"")</f>
        <v>#VALUE!</v>
      </c>
      <c r="AC441" s="154" t="str">
        <f>Times!K441</f>
        <v/>
      </c>
      <c r="AD441" s="154">
        <f>Times!G441</f>
        <v>135</v>
      </c>
      <c r="AE441" s="154" t="str">
        <f>IF(Times!D441&lt;&gt;"",IF(ISERR(SEARCH("V",Times!I441,1)),IF(ISERR(SEARCH("S",Times!I441,1)),"S","S"),"V"),"")</f>
        <v/>
      </c>
      <c r="AF441" s="161" t="str">
        <f>IF(Times!D441&lt;&gt;"",SUMIFS(Times!$G$2:G441,$AA$2:AA441,AA441,$AK$2:AK441,"Y"),"")</f>
        <v/>
      </c>
      <c r="AG441" s="154" t="str">
        <f>IF(Times!D441&lt;&gt;"",IF(AND(Times!J441="M",AI441+AL441=AM441,AK441="Y"),AF441,""),"")</f>
        <v/>
      </c>
      <c r="AH441" s="154" t="str">
        <f>IF(Times!D441&lt;&gt;"",IF(AND(Times!J441="F",AI441+AL441=AM441,AK441="Y"),AF441,""),"")</f>
        <v/>
      </c>
      <c r="AI441" s="154">
        <f>COUNTIF(Z$2:Z441,CONCATENATE("V",AA441))</f>
        <v>0</v>
      </c>
      <c r="AJ441" s="154">
        <f>COUNTIF(Z$2:Z441,CONCATENATE("S",AA441))</f>
        <v>0</v>
      </c>
      <c r="AK441" s="154" t="e">
        <f t="shared" si="98"/>
        <v>#VALUE!</v>
      </c>
      <c r="AL441" s="154">
        <f>IF(AND(Times!J441="M",AJ441&gt;3),3, IF(AND(Times!J441="F",AJ441&gt;2),2,AJ441))</f>
        <v>0</v>
      </c>
      <c r="AM441" s="154" t="str">
        <f>IF(Times!J441="M",6, IF(Times!J441="F",4,""))</f>
        <v/>
      </c>
      <c r="AN441" s="154" t="str">
        <f t="shared" si="99"/>
        <v/>
      </c>
      <c r="AO441" s="154" t="str">
        <f t="shared" si="100"/>
        <v/>
      </c>
    </row>
    <row r="442" spans="26:41" x14ac:dyDescent="0.25">
      <c r="Z442" s="154" t="str">
        <f>CONCATENATE(AE442,Times!AD442)</f>
        <v/>
      </c>
      <c r="AA442" s="154" t="str">
        <f>Times!AD442</f>
        <v/>
      </c>
      <c r="AB442" s="154" t="e">
        <f>IF(AK442="Y",CONCATENATE(AA442,COUNTIFS($AK$2:AK442,"=Y",$AA$2:AA442,AA442)),"")</f>
        <v>#VALUE!</v>
      </c>
      <c r="AC442" s="154" t="str">
        <f>Times!K442</f>
        <v/>
      </c>
      <c r="AD442" s="154">
        <f>Times!G442</f>
        <v>136</v>
      </c>
      <c r="AE442" s="154" t="str">
        <f>IF(Times!D442&lt;&gt;"",IF(ISERR(SEARCH("V",Times!I442,1)),IF(ISERR(SEARCH("S",Times!I442,1)),"S","S"),"V"),"")</f>
        <v/>
      </c>
      <c r="AF442" s="161" t="str">
        <f>IF(Times!D442&lt;&gt;"",SUMIFS(Times!$G$2:G442,$AA$2:AA442,AA442,$AK$2:AK442,"Y"),"")</f>
        <v/>
      </c>
      <c r="AG442" s="154" t="str">
        <f>IF(Times!D442&lt;&gt;"",IF(AND(Times!J442="M",AI442+AL442=AM442,AK442="Y"),AF442,""),"")</f>
        <v/>
      </c>
      <c r="AH442" s="154" t="str">
        <f>IF(Times!D442&lt;&gt;"",IF(AND(Times!J442="F",AI442+AL442=AM442,AK442="Y"),AF442,""),"")</f>
        <v/>
      </c>
      <c r="AI442" s="154">
        <f>COUNTIF(Z$2:Z442,CONCATENATE("V",AA442))</f>
        <v>0</v>
      </c>
      <c r="AJ442" s="154">
        <f>COUNTIF(Z$2:Z442,CONCATENATE("S",AA442))</f>
        <v>0</v>
      </c>
      <c r="AK442" s="154" t="e">
        <f t="shared" si="98"/>
        <v>#VALUE!</v>
      </c>
      <c r="AL442" s="154">
        <f>IF(AND(Times!J442="M",AJ442&gt;3),3, IF(AND(Times!J442="F",AJ442&gt;2),2,AJ442))</f>
        <v>0</v>
      </c>
      <c r="AM442" s="154" t="str">
        <f>IF(Times!J442="M",6, IF(Times!J442="F",4,""))</f>
        <v/>
      </c>
      <c r="AN442" s="154" t="str">
        <f t="shared" si="99"/>
        <v/>
      </c>
      <c r="AO442" s="154" t="str">
        <f t="shared" si="100"/>
        <v/>
      </c>
    </row>
    <row r="443" spans="26:41" x14ac:dyDescent="0.25">
      <c r="Z443" s="154" t="str">
        <f>CONCATENATE(AE443,Times!AD443)</f>
        <v/>
      </c>
      <c r="AA443" s="154" t="str">
        <f>Times!AD443</f>
        <v/>
      </c>
      <c r="AB443" s="154" t="e">
        <f>IF(AK443="Y",CONCATENATE(AA443,COUNTIFS($AK$2:AK443,"=Y",$AA$2:AA443,AA443)),"")</f>
        <v>#VALUE!</v>
      </c>
      <c r="AC443" s="154" t="str">
        <f>Times!K443</f>
        <v/>
      </c>
      <c r="AD443" s="154">
        <f>Times!G443</f>
        <v>137</v>
      </c>
      <c r="AE443" s="154" t="str">
        <f>IF(Times!D443&lt;&gt;"",IF(ISERR(SEARCH("V",Times!I443,1)),IF(ISERR(SEARCH("S",Times!I443,1)),"S","S"),"V"),"")</f>
        <v/>
      </c>
      <c r="AF443" s="161" t="str">
        <f>IF(Times!D443&lt;&gt;"",SUMIFS(Times!$G$2:G443,$AA$2:AA443,AA443,$AK$2:AK443,"Y"),"")</f>
        <v/>
      </c>
      <c r="AG443" s="154" t="str">
        <f>IF(Times!D443&lt;&gt;"",IF(AND(Times!J443="M",AI443+AL443=AM443,AK443="Y"),AF443,""),"")</f>
        <v/>
      </c>
      <c r="AH443" s="154" t="str">
        <f>IF(Times!D443&lt;&gt;"",IF(AND(Times!J443="F",AI443+AL443=AM443,AK443="Y"),AF443,""),"")</f>
        <v/>
      </c>
      <c r="AI443" s="154">
        <f>COUNTIF(Z$2:Z443,CONCATENATE("V",AA443))</f>
        <v>0</v>
      </c>
      <c r="AJ443" s="154">
        <f>COUNTIF(Z$2:Z443,CONCATENATE("S",AA443))</f>
        <v>0</v>
      </c>
      <c r="AK443" s="154" t="e">
        <f t="shared" si="98"/>
        <v>#VALUE!</v>
      </c>
      <c r="AL443" s="154">
        <f>IF(AND(Times!J443="M",AJ443&gt;3),3, IF(AND(Times!J443="F",AJ443&gt;2),2,AJ443))</f>
        <v>0</v>
      </c>
      <c r="AM443" s="154" t="str">
        <f>IF(Times!J443="M",6, IF(Times!J443="F",4,""))</f>
        <v/>
      </c>
      <c r="AN443" s="154" t="str">
        <f t="shared" si="99"/>
        <v/>
      </c>
      <c r="AO443" s="154" t="str">
        <f t="shared" si="100"/>
        <v/>
      </c>
    </row>
    <row r="444" spans="26:41" x14ac:dyDescent="0.25">
      <c r="Z444" s="154" t="str">
        <f>CONCATENATE(AE444,Times!AD444)</f>
        <v/>
      </c>
      <c r="AA444" s="154" t="str">
        <f>Times!AD444</f>
        <v/>
      </c>
      <c r="AB444" s="154" t="e">
        <f>IF(AK444="Y",CONCATENATE(AA444,COUNTIFS($AK$2:AK444,"=Y",$AA$2:AA444,AA444)),"")</f>
        <v>#VALUE!</v>
      </c>
      <c r="AC444" s="154" t="str">
        <f>Times!K444</f>
        <v/>
      </c>
      <c r="AD444" s="154">
        <f>Times!G444</f>
        <v>138</v>
      </c>
      <c r="AE444" s="154" t="str">
        <f>IF(Times!D444&lt;&gt;"",IF(ISERR(SEARCH("V",Times!I444,1)),IF(ISERR(SEARCH("S",Times!I444,1)),"S","S"),"V"),"")</f>
        <v/>
      </c>
      <c r="AF444" s="161" t="str">
        <f>IF(Times!D444&lt;&gt;"",SUMIFS(Times!$G$2:G444,$AA$2:AA444,AA444,$AK$2:AK444,"Y"),"")</f>
        <v/>
      </c>
      <c r="AG444" s="154" t="str">
        <f>IF(Times!D444&lt;&gt;"",IF(AND(Times!J444="M",AI444+AL444=AM444,AK444="Y"),AF444,""),"")</f>
        <v/>
      </c>
      <c r="AH444" s="154" t="str">
        <f>IF(Times!D444&lt;&gt;"",IF(AND(Times!J444="F",AI444+AL444=AM444,AK444="Y"),AF444,""),"")</f>
        <v/>
      </c>
      <c r="AI444" s="154">
        <f>COUNTIF(Z$2:Z444,CONCATENATE("V",AA444))</f>
        <v>0</v>
      </c>
      <c r="AJ444" s="154">
        <f>COUNTIF(Z$2:Z444,CONCATENATE("S",AA444))</f>
        <v>0</v>
      </c>
      <c r="AK444" s="154" t="e">
        <f t="shared" si="98"/>
        <v>#VALUE!</v>
      </c>
      <c r="AL444" s="154">
        <f>IF(AND(Times!J444="M",AJ444&gt;3),3, IF(AND(Times!J444="F",AJ444&gt;2),2,AJ444))</f>
        <v>0</v>
      </c>
      <c r="AM444" s="154" t="str">
        <f>IF(Times!J444="M",6, IF(Times!J444="F",4,""))</f>
        <v/>
      </c>
      <c r="AN444" s="154" t="str">
        <f t="shared" si="99"/>
        <v/>
      </c>
      <c r="AO444" s="154" t="str">
        <f t="shared" si="100"/>
        <v/>
      </c>
    </row>
    <row r="445" spans="26:41" x14ac:dyDescent="0.25">
      <c r="Z445" s="154" t="str">
        <f>CONCATENATE(AE445,Times!AD445)</f>
        <v/>
      </c>
      <c r="AA445" s="154" t="str">
        <f>Times!AD445</f>
        <v/>
      </c>
      <c r="AB445" s="154" t="e">
        <f>IF(AK445="Y",CONCATENATE(AA445,COUNTIFS($AK$2:AK445,"=Y",$AA$2:AA445,AA445)),"")</f>
        <v>#VALUE!</v>
      </c>
      <c r="AC445" s="154" t="str">
        <f>Times!K445</f>
        <v/>
      </c>
      <c r="AD445" s="154">
        <f>Times!G445</f>
        <v>139</v>
      </c>
      <c r="AE445" s="154" t="str">
        <f>IF(Times!D445&lt;&gt;"",IF(ISERR(SEARCH("V",Times!I445,1)),IF(ISERR(SEARCH("S",Times!I445,1)),"S","S"),"V"),"")</f>
        <v/>
      </c>
      <c r="AF445" s="161" t="str">
        <f>IF(Times!D445&lt;&gt;"",SUMIFS(Times!$G$2:G445,$AA$2:AA445,AA445,$AK$2:AK445,"Y"),"")</f>
        <v/>
      </c>
      <c r="AG445" s="154" t="str">
        <f>IF(Times!D445&lt;&gt;"",IF(AND(Times!J445="M",AI445+AL445=AM445,AK445="Y"),AF445,""),"")</f>
        <v/>
      </c>
      <c r="AH445" s="154" t="str">
        <f>IF(Times!D445&lt;&gt;"",IF(AND(Times!J445="F",AI445+AL445=AM445,AK445="Y"),AF445,""),"")</f>
        <v/>
      </c>
      <c r="AI445" s="154">
        <f>COUNTIF(Z$2:Z445,CONCATENATE("V",AA445))</f>
        <v>0</v>
      </c>
      <c r="AJ445" s="154">
        <f>COUNTIF(Z$2:Z445,CONCATENATE("S",AA445))</f>
        <v>0</v>
      </c>
      <c r="AK445" s="154" t="e">
        <f t="shared" si="98"/>
        <v>#VALUE!</v>
      </c>
      <c r="AL445" s="154">
        <f>IF(AND(Times!J445="M",AJ445&gt;3),3, IF(AND(Times!J445="F",AJ445&gt;2),2,AJ445))</f>
        <v>0</v>
      </c>
      <c r="AM445" s="154" t="str">
        <f>IF(Times!J445="M",6, IF(Times!J445="F",4,""))</f>
        <v/>
      </c>
      <c r="AN445" s="154" t="str">
        <f t="shared" si="99"/>
        <v/>
      </c>
      <c r="AO445" s="154" t="str">
        <f t="shared" si="100"/>
        <v/>
      </c>
    </row>
    <row r="446" spans="26:41" x14ac:dyDescent="0.25">
      <c r="Z446" s="154" t="str">
        <f>CONCATENATE(AE446,Times!AD446)</f>
        <v/>
      </c>
      <c r="AA446" s="154" t="str">
        <f>Times!AD446</f>
        <v/>
      </c>
      <c r="AB446" s="154" t="e">
        <f>IF(AK446="Y",CONCATENATE(AA446,COUNTIFS($AK$2:AK446,"=Y",$AA$2:AA446,AA446)),"")</f>
        <v>#VALUE!</v>
      </c>
      <c r="AC446" s="154" t="str">
        <f>Times!K446</f>
        <v/>
      </c>
      <c r="AD446" s="154">
        <f>Times!G446</f>
        <v>140</v>
      </c>
      <c r="AE446" s="154" t="str">
        <f>IF(Times!D446&lt;&gt;"",IF(ISERR(SEARCH("V",Times!I446,1)),IF(ISERR(SEARCH("S",Times!I446,1)),"S","S"),"V"),"")</f>
        <v/>
      </c>
      <c r="AF446" s="161" t="str">
        <f>IF(Times!D446&lt;&gt;"",SUMIFS(Times!$G$2:G446,$AA$2:AA446,AA446,$AK$2:AK446,"Y"),"")</f>
        <v/>
      </c>
      <c r="AG446" s="154" t="str">
        <f>IF(Times!D446&lt;&gt;"",IF(AND(Times!J446="M",AI446+AL446=AM446,AK446="Y"),AF446,""),"")</f>
        <v/>
      </c>
      <c r="AH446" s="154" t="str">
        <f>IF(Times!D446&lt;&gt;"",IF(AND(Times!J446="F",AI446+AL446=AM446,AK446="Y"),AF446,""),"")</f>
        <v/>
      </c>
      <c r="AI446" s="154">
        <f>COUNTIF(Z$2:Z446,CONCATENATE("V",AA446))</f>
        <v>0</v>
      </c>
      <c r="AJ446" s="154">
        <f>COUNTIF(Z$2:Z446,CONCATENATE("S",AA446))</f>
        <v>0</v>
      </c>
      <c r="AK446" s="154" t="e">
        <f t="shared" si="98"/>
        <v>#VALUE!</v>
      </c>
      <c r="AL446" s="154">
        <f>IF(AND(Times!J446="M",AJ446&gt;3),3, IF(AND(Times!J446="F",AJ446&gt;2),2,AJ446))</f>
        <v>0</v>
      </c>
      <c r="AM446" s="154" t="str">
        <f>IF(Times!J446="M",6, IF(Times!J446="F",4,""))</f>
        <v/>
      </c>
      <c r="AN446" s="154" t="str">
        <f t="shared" si="99"/>
        <v/>
      </c>
      <c r="AO446" s="154" t="str">
        <f t="shared" si="100"/>
        <v/>
      </c>
    </row>
    <row r="447" spans="26:41" x14ac:dyDescent="0.25">
      <c r="Z447" s="154" t="str">
        <f>CONCATENATE(AE447,Times!AD447)</f>
        <v/>
      </c>
      <c r="AA447" s="154" t="str">
        <f>Times!AD447</f>
        <v/>
      </c>
      <c r="AB447" s="154" t="e">
        <f>IF(AK447="Y",CONCATENATE(AA447,COUNTIFS($AK$2:AK447,"=Y",$AA$2:AA447,AA447)),"")</f>
        <v>#VALUE!</v>
      </c>
      <c r="AC447" s="154" t="str">
        <f>Times!K447</f>
        <v/>
      </c>
      <c r="AD447" s="154">
        <f>Times!G447</f>
        <v>141</v>
      </c>
      <c r="AE447" s="154" t="str">
        <f>IF(Times!D447&lt;&gt;"",IF(ISERR(SEARCH("V",Times!I447,1)),IF(ISERR(SEARCH("S",Times!I447,1)),"S","S"),"V"),"")</f>
        <v/>
      </c>
      <c r="AF447" s="161" t="str">
        <f>IF(Times!D447&lt;&gt;"",SUMIFS(Times!$G$2:G447,$AA$2:AA447,AA447,$AK$2:AK447,"Y"),"")</f>
        <v/>
      </c>
      <c r="AG447" s="154" t="str">
        <f>IF(Times!D447&lt;&gt;"",IF(AND(Times!J447="M",AI447+AL447=AM447,AK447="Y"),AF447,""),"")</f>
        <v/>
      </c>
      <c r="AH447" s="154" t="str">
        <f>IF(Times!D447&lt;&gt;"",IF(AND(Times!J447="F",AI447+AL447=AM447,AK447="Y"),AF447,""),"")</f>
        <v/>
      </c>
      <c r="AI447" s="154">
        <f>COUNTIF(Z$2:Z447,CONCATENATE("V",AA447))</f>
        <v>0</v>
      </c>
      <c r="AJ447" s="154">
        <f>COUNTIF(Z$2:Z447,CONCATENATE("S",AA447))</f>
        <v>0</v>
      </c>
      <c r="AK447" s="154" t="e">
        <f t="shared" si="98"/>
        <v>#VALUE!</v>
      </c>
      <c r="AL447" s="154">
        <f>IF(AND(Times!J447="M",AJ447&gt;3),3, IF(AND(Times!J447="F",AJ447&gt;2),2,AJ447))</f>
        <v>0</v>
      </c>
      <c r="AM447" s="154" t="str">
        <f>IF(Times!J447="M",6, IF(Times!J447="F",4,""))</f>
        <v/>
      </c>
      <c r="AN447" s="154" t="str">
        <f t="shared" si="99"/>
        <v/>
      </c>
      <c r="AO447" s="154" t="str">
        <f t="shared" si="100"/>
        <v/>
      </c>
    </row>
    <row r="448" spans="26:41" x14ac:dyDescent="0.25">
      <c r="Z448" s="154" t="str">
        <f>CONCATENATE(AE448,Times!AD448)</f>
        <v/>
      </c>
      <c r="AA448" s="154" t="str">
        <f>Times!AD448</f>
        <v/>
      </c>
      <c r="AB448" s="154" t="e">
        <f>IF(AK448="Y",CONCATENATE(AA448,COUNTIFS($AK$2:AK448,"=Y",$AA$2:AA448,AA448)),"")</f>
        <v>#VALUE!</v>
      </c>
      <c r="AC448" s="154" t="str">
        <f>Times!K448</f>
        <v/>
      </c>
      <c r="AD448" s="154">
        <f>Times!G448</f>
        <v>142</v>
      </c>
      <c r="AE448" s="154" t="str">
        <f>IF(Times!D448&lt;&gt;"",IF(ISERR(SEARCH("V",Times!I448,1)),IF(ISERR(SEARCH("S",Times!I448,1)),"S","S"),"V"),"")</f>
        <v/>
      </c>
      <c r="AF448" s="161" t="str">
        <f>IF(Times!D448&lt;&gt;"",SUMIFS(Times!$G$2:G448,$AA$2:AA448,AA448,$AK$2:AK448,"Y"),"")</f>
        <v/>
      </c>
      <c r="AG448" s="154" t="str">
        <f>IF(Times!D448&lt;&gt;"",IF(AND(Times!J448="M",AI448+AL448=AM448,AK448="Y"),AF448,""),"")</f>
        <v/>
      </c>
      <c r="AH448" s="154" t="str">
        <f>IF(Times!D448&lt;&gt;"",IF(AND(Times!J448="F",AI448+AL448=AM448,AK448="Y"),AF448,""),"")</f>
        <v/>
      </c>
      <c r="AI448" s="154">
        <f>COUNTIF(Z$2:Z448,CONCATENATE("V",AA448))</f>
        <v>0</v>
      </c>
      <c r="AJ448" s="154">
        <f>COUNTIF(Z$2:Z448,CONCATENATE("S",AA448))</f>
        <v>0</v>
      </c>
      <c r="AK448" s="154" t="e">
        <f t="shared" si="98"/>
        <v>#VALUE!</v>
      </c>
      <c r="AL448" s="154">
        <f>IF(AND(Times!J448="M",AJ448&gt;3),3, IF(AND(Times!J448="F",AJ448&gt;2),2,AJ448))</f>
        <v>0</v>
      </c>
      <c r="AM448" s="154" t="str">
        <f>IF(Times!J448="M",6, IF(Times!J448="F",4,""))</f>
        <v/>
      </c>
      <c r="AN448" s="154" t="str">
        <f t="shared" si="99"/>
        <v/>
      </c>
      <c r="AO448" s="154" t="str">
        <f t="shared" si="100"/>
        <v/>
      </c>
    </row>
    <row r="449" spans="26:41" x14ac:dyDescent="0.25">
      <c r="Z449" s="154" t="str">
        <f>CONCATENATE(AE449,Times!AD449)</f>
        <v/>
      </c>
      <c r="AA449" s="154" t="str">
        <f>Times!AD449</f>
        <v/>
      </c>
      <c r="AB449" s="154" t="e">
        <f>IF(AK449="Y",CONCATENATE(AA449,COUNTIFS($AK$2:AK449,"=Y",$AA$2:AA449,AA449)),"")</f>
        <v>#VALUE!</v>
      </c>
      <c r="AC449" s="154" t="str">
        <f>Times!K449</f>
        <v/>
      </c>
      <c r="AD449" s="154">
        <f>Times!G449</f>
        <v>143</v>
      </c>
      <c r="AE449" s="154" t="str">
        <f>IF(Times!D449&lt;&gt;"",IF(ISERR(SEARCH("V",Times!I449,1)),IF(ISERR(SEARCH("S",Times!I449,1)),"S","S"),"V"),"")</f>
        <v/>
      </c>
      <c r="AF449" s="161" t="str">
        <f>IF(Times!D449&lt;&gt;"",SUMIFS(Times!$G$2:G449,$AA$2:AA449,AA449,$AK$2:AK449,"Y"),"")</f>
        <v/>
      </c>
      <c r="AG449" s="154" t="str">
        <f>IF(Times!D449&lt;&gt;"",IF(AND(Times!J449="M",AI449+AL449=AM449,AK449="Y"),AF449,""),"")</f>
        <v/>
      </c>
      <c r="AH449" s="154" t="str">
        <f>IF(Times!D449&lt;&gt;"",IF(AND(Times!J449="F",AI449+AL449=AM449,AK449="Y"),AF449,""),"")</f>
        <v/>
      </c>
      <c r="AI449" s="154">
        <f>COUNTIF(Z$2:Z449,CONCATENATE("V",AA449))</f>
        <v>0</v>
      </c>
      <c r="AJ449" s="154">
        <f>COUNTIF(Z$2:Z449,CONCATENATE("S",AA449))</f>
        <v>0</v>
      </c>
      <c r="AK449" s="154" t="e">
        <f t="shared" si="98"/>
        <v>#VALUE!</v>
      </c>
      <c r="AL449" s="154">
        <f>IF(AND(Times!J449="M",AJ449&gt;3),3, IF(AND(Times!J449="F",AJ449&gt;2),2,AJ449))</f>
        <v>0</v>
      </c>
      <c r="AM449" s="154" t="str">
        <f>IF(Times!J449="M",6, IF(Times!J449="F",4,""))</f>
        <v/>
      </c>
      <c r="AN449" s="154" t="str">
        <f t="shared" si="99"/>
        <v/>
      </c>
      <c r="AO449" s="154" t="str">
        <f t="shared" si="100"/>
        <v/>
      </c>
    </row>
    <row r="450" spans="26:41" x14ac:dyDescent="0.25">
      <c r="Z450" s="154" t="str">
        <f>CONCATENATE(AE450,Times!AD450)</f>
        <v/>
      </c>
      <c r="AA450" s="154" t="str">
        <f>Times!AD450</f>
        <v/>
      </c>
      <c r="AB450" s="154" t="e">
        <f>IF(AK450="Y",CONCATENATE(AA450,COUNTIFS($AK$2:AK450,"=Y",$AA$2:AA450,AA450)),"")</f>
        <v>#VALUE!</v>
      </c>
      <c r="AC450" s="154" t="str">
        <f>Times!K450</f>
        <v/>
      </c>
      <c r="AD450" s="154">
        <f>Times!G450</f>
        <v>144</v>
      </c>
      <c r="AE450" s="154" t="str">
        <f>IF(Times!D450&lt;&gt;"",IF(ISERR(SEARCH("V",Times!I450,1)),IF(ISERR(SEARCH("S",Times!I450,1)),"S","S"),"V"),"")</f>
        <v/>
      </c>
      <c r="AF450" s="161" t="str">
        <f>IF(Times!D450&lt;&gt;"",SUMIFS(Times!$G$2:G450,$AA$2:AA450,AA450,$AK$2:AK450,"Y"),"")</f>
        <v/>
      </c>
      <c r="AG450" s="154" t="str">
        <f>IF(Times!D450&lt;&gt;"",IF(AND(Times!J450="M",AI450+AL450=AM450,AK450="Y"),AF450,""),"")</f>
        <v/>
      </c>
      <c r="AH450" s="154" t="str">
        <f>IF(Times!D450&lt;&gt;"",IF(AND(Times!J450="F",AI450+AL450=AM450,AK450="Y"),AF450,""),"")</f>
        <v/>
      </c>
      <c r="AI450" s="154">
        <f>COUNTIF(Z$2:Z450,CONCATENATE("V",AA450))</f>
        <v>0</v>
      </c>
      <c r="AJ450" s="154">
        <f>COUNTIF(Z$2:Z450,CONCATENATE("S",AA450))</f>
        <v>0</v>
      </c>
      <c r="AK450" s="154" t="e">
        <f t="shared" si="98"/>
        <v>#VALUE!</v>
      </c>
      <c r="AL450" s="154">
        <f>IF(AND(Times!J450="M",AJ450&gt;3),3, IF(AND(Times!J450="F",AJ450&gt;2),2,AJ450))</f>
        <v>0</v>
      </c>
      <c r="AM450" s="154" t="str">
        <f>IF(Times!J450="M",6, IF(Times!J450="F",4,""))</f>
        <v/>
      </c>
      <c r="AN450" s="154" t="str">
        <f t="shared" si="99"/>
        <v/>
      </c>
      <c r="AO450" s="154" t="str">
        <f t="shared" si="100"/>
        <v/>
      </c>
    </row>
    <row r="451" spans="26:41" x14ac:dyDescent="0.25">
      <c r="Z451" s="154" t="str">
        <f>CONCATENATE(AE451,Times!AD451)</f>
        <v/>
      </c>
      <c r="AA451" s="154" t="str">
        <f>Times!AD451</f>
        <v/>
      </c>
      <c r="AB451" s="154" t="e">
        <f>IF(AK451="Y",CONCATENATE(AA451,COUNTIFS($AK$2:AK451,"=Y",$AA$2:AA451,AA451)),"")</f>
        <v>#VALUE!</v>
      </c>
      <c r="AC451" s="154" t="str">
        <f>Times!K451</f>
        <v/>
      </c>
      <c r="AD451" s="154">
        <f>Times!G451</f>
        <v>145</v>
      </c>
      <c r="AE451" s="154" t="str">
        <f>IF(Times!D451&lt;&gt;"",IF(ISERR(SEARCH("V",Times!I451,1)),IF(ISERR(SEARCH("S",Times!I451,1)),"S","S"),"V"),"")</f>
        <v/>
      </c>
      <c r="AF451" s="161" t="str">
        <f>IF(Times!D451&lt;&gt;"",SUMIFS(Times!$G$2:G451,$AA$2:AA451,AA451,$AK$2:AK451,"Y"),"")</f>
        <v/>
      </c>
      <c r="AG451" s="154" t="str">
        <f>IF(Times!D451&lt;&gt;"",IF(AND(Times!J451="M",AI451+AL451=AM451,AK451="Y"),AF451,""),"")</f>
        <v/>
      </c>
      <c r="AH451" s="154" t="str">
        <f>IF(Times!D451&lt;&gt;"",IF(AND(Times!J451="F",AI451+AL451=AM451,AK451="Y"),AF451,""),"")</f>
        <v/>
      </c>
      <c r="AI451" s="154">
        <f>COUNTIF(Z$2:Z451,CONCATENATE("V",AA451))</f>
        <v>0</v>
      </c>
      <c r="AJ451" s="154">
        <f>COUNTIF(Z$2:Z451,CONCATENATE("S",AA451))</f>
        <v>0</v>
      </c>
      <c r="AK451" s="154" t="e">
        <f t="shared" ref="AK451:AK501" si="101">IF(AND(AE451="V",AI451&lt;=AM451-AL451),"Y",IF(AND(AE451="S",AJ451&lt;=AM451/2,AJ451&lt;=AM451-AI451),"Y","N"))</f>
        <v>#VALUE!</v>
      </c>
      <c r="AL451" s="154">
        <f>IF(AND(Times!J451="M",AJ451&gt;3),3, IF(AND(Times!J451="F",AJ451&gt;2),2,AJ451))</f>
        <v>0</v>
      </c>
      <c r="AM451" s="154" t="str">
        <f>IF(Times!J451="M",6, IF(Times!J451="F",4,""))</f>
        <v/>
      </c>
      <c r="AN451" s="154" t="str">
        <f t="shared" ref="AN451:AN501" si="102">IF(AG451&lt;&gt;"",RANK(AG451,AG$2:AG$501,1),"")</f>
        <v/>
      </c>
      <c r="AO451" s="154" t="str">
        <f t="shared" ref="AO451:AO501" si="103">IF(AH451&lt;&gt;"",RANK(AH451,AH$2:AH$501,1),"")</f>
        <v/>
      </c>
    </row>
    <row r="452" spans="26:41" x14ac:dyDescent="0.25">
      <c r="Z452" s="154" t="str">
        <f>CONCATENATE(AE452,Times!AD452)</f>
        <v/>
      </c>
      <c r="AA452" s="154" t="str">
        <f>Times!AD452</f>
        <v/>
      </c>
      <c r="AB452" s="154" t="e">
        <f>IF(AK452="Y",CONCATENATE(AA452,COUNTIFS($AK$2:AK452,"=Y",$AA$2:AA452,AA452)),"")</f>
        <v>#VALUE!</v>
      </c>
      <c r="AC452" s="154" t="str">
        <f>Times!K452</f>
        <v/>
      </c>
      <c r="AD452" s="154">
        <f>Times!G452</f>
        <v>146</v>
      </c>
      <c r="AE452" s="154" t="str">
        <f>IF(Times!D452&lt;&gt;"",IF(ISERR(SEARCH("V",Times!I452,1)),IF(ISERR(SEARCH("S",Times!I452,1)),"S","S"),"V"),"")</f>
        <v/>
      </c>
      <c r="AF452" s="161" t="str">
        <f>IF(Times!D452&lt;&gt;"",SUMIFS(Times!$G$2:G452,$AA$2:AA452,AA452,$AK$2:AK452,"Y"),"")</f>
        <v/>
      </c>
      <c r="AG452" s="154" t="str">
        <f>IF(Times!D452&lt;&gt;"",IF(AND(Times!J452="M",AI452+AL452=AM452,AK452="Y"),AF452,""),"")</f>
        <v/>
      </c>
      <c r="AH452" s="154" t="str">
        <f>IF(Times!D452&lt;&gt;"",IF(AND(Times!J452="F",AI452+AL452=AM452,AK452="Y"),AF452,""),"")</f>
        <v/>
      </c>
      <c r="AI452" s="154">
        <f>COUNTIF(Z$2:Z452,CONCATENATE("V",AA452))</f>
        <v>0</v>
      </c>
      <c r="AJ452" s="154">
        <f>COUNTIF(Z$2:Z452,CONCATENATE("S",AA452))</f>
        <v>0</v>
      </c>
      <c r="AK452" s="154" t="e">
        <f t="shared" si="101"/>
        <v>#VALUE!</v>
      </c>
      <c r="AL452" s="154">
        <f>IF(AND(Times!J452="M",AJ452&gt;3),3, IF(AND(Times!J452="F",AJ452&gt;2),2,AJ452))</f>
        <v>0</v>
      </c>
      <c r="AM452" s="154" t="str">
        <f>IF(Times!J452="M",6, IF(Times!J452="F",4,""))</f>
        <v/>
      </c>
      <c r="AN452" s="154" t="str">
        <f t="shared" si="102"/>
        <v/>
      </c>
      <c r="AO452" s="154" t="str">
        <f t="shared" si="103"/>
        <v/>
      </c>
    </row>
    <row r="453" spans="26:41" x14ac:dyDescent="0.25">
      <c r="Z453" s="154" t="str">
        <f>CONCATENATE(AE453,Times!AD453)</f>
        <v/>
      </c>
      <c r="AA453" s="154" t="str">
        <f>Times!AD453</f>
        <v/>
      </c>
      <c r="AB453" s="154" t="e">
        <f>IF(AK453="Y",CONCATENATE(AA453,COUNTIFS($AK$2:AK453,"=Y",$AA$2:AA453,AA453)),"")</f>
        <v>#VALUE!</v>
      </c>
      <c r="AC453" s="154" t="str">
        <f>Times!K453</f>
        <v/>
      </c>
      <c r="AD453" s="154">
        <f>Times!G453</f>
        <v>147</v>
      </c>
      <c r="AE453" s="154" t="str">
        <f>IF(Times!D453&lt;&gt;"",IF(ISERR(SEARCH("V",Times!I453,1)),IF(ISERR(SEARCH("S",Times!I453,1)),"S","S"),"V"),"")</f>
        <v/>
      </c>
      <c r="AF453" s="161" t="str">
        <f>IF(Times!D453&lt;&gt;"",SUMIFS(Times!$G$2:G453,$AA$2:AA453,AA453,$AK$2:AK453,"Y"),"")</f>
        <v/>
      </c>
      <c r="AG453" s="154" t="str">
        <f>IF(Times!D453&lt;&gt;"",IF(AND(Times!J453="M",AI453+AL453=AM453,AK453="Y"),AF453,""),"")</f>
        <v/>
      </c>
      <c r="AH453" s="154" t="str">
        <f>IF(Times!D453&lt;&gt;"",IF(AND(Times!J453="F",AI453+AL453=AM453,AK453="Y"),AF453,""),"")</f>
        <v/>
      </c>
      <c r="AI453" s="154">
        <f>COUNTIF(Z$2:Z453,CONCATENATE("V",AA453))</f>
        <v>0</v>
      </c>
      <c r="AJ453" s="154">
        <f>COUNTIF(Z$2:Z453,CONCATENATE("S",AA453))</f>
        <v>0</v>
      </c>
      <c r="AK453" s="154" t="e">
        <f t="shared" si="101"/>
        <v>#VALUE!</v>
      </c>
      <c r="AL453" s="154">
        <f>IF(AND(Times!J453="M",AJ453&gt;3),3, IF(AND(Times!J453="F",AJ453&gt;2),2,AJ453))</f>
        <v>0</v>
      </c>
      <c r="AM453" s="154" t="str">
        <f>IF(Times!J453="M",6, IF(Times!J453="F",4,""))</f>
        <v/>
      </c>
      <c r="AN453" s="154" t="str">
        <f t="shared" si="102"/>
        <v/>
      </c>
      <c r="AO453" s="154" t="str">
        <f t="shared" si="103"/>
        <v/>
      </c>
    </row>
    <row r="454" spans="26:41" x14ac:dyDescent="0.25">
      <c r="Z454" s="154" t="str">
        <f>CONCATENATE(AE454,Times!AD454)</f>
        <v/>
      </c>
      <c r="AA454" s="154" t="str">
        <f>Times!AD454</f>
        <v/>
      </c>
      <c r="AB454" s="154" t="e">
        <f>IF(AK454="Y",CONCATENATE(AA454,COUNTIFS($AK$2:AK454,"=Y",$AA$2:AA454,AA454)),"")</f>
        <v>#VALUE!</v>
      </c>
      <c r="AC454" s="154" t="str">
        <f>Times!K454</f>
        <v/>
      </c>
      <c r="AD454" s="154">
        <f>Times!G454</f>
        <v>148</v>
      </c>
      <c r="AE454" s="154" t="str">
        <f>IF(Times!D454&lt;&gt;"",IF(ISERR(SEARCH("V",Times!I454,1)),IF(ISERR(SEARCH("S",Times!I454,1)),"S","S"),"V"),"")</f>
        <v/>
      </c>
      <c r="AF454" s="161" t="str">
        <f>IF(Times!D454&lt;&gt;"",SUMIFS(Times!$G$2:G454,$AA$2:AA454,AA454,$AK$2:AK454,"Y"),"")</f>
        <v/>
      </c>
      <c r="AG454" s="154" t="str">
        <f>IF(Times!D454&lt;&gt;"",IF(AND(Times!J454="M",AI454+AL454=AM454,AK454="Y"),AF454,""),"")</f>
        <v/>
      </c>
      <c r="AH454" s="154" t="str">
        <f>IF(Times!D454&lt;&gt;"",IF(AND(Times!J454="F",AI454+AL454=AM454,AK454="Y"),AF454,""),"")</f>
        <v/>
      </c>
      <c r="AI454" s="154">
        <f>COUNTIF(Z$2:Z454,CONCATENATE("V",AA454))</f>
        <v>0</v>
      </c>
      <c r="AJ454" s="154">
        <f>COUNTIF(Z$2:Z454,CONCATENATE("S",AA454))</f>
        <v>0</v>
      </c>
      <c r="AK454" s="154" t="e">
        <f t="shared" si="101"/>
        <v>#VALUE!</v>
      </c>
      <c r="AL454" s="154">
        <f>IF(AND(Times!J454="M",AJ454&gt;3),3, IF(AND(Times!J454="F",AJ454&gt;2),2,AJ454))</f>
        <v>0</v>
      </c>
      <c r="AM454" s="154" t="str">
        <f>IF(Times!J454="M",6, IF(Times!J454="F",4,""))</f>
        <v/>
      </c>
      <c r="AN454" s="154" t="str">
        <f t="shared" si="102"/>
        <v/>
      </c>
      <c r="AO454" s="154" t="str">
        <f t="shared" si="103"/>
        <v/>
      </c>
    </row>
    <row r="455" spans="26:41" x14ac:dyDescent="0.25">
      <c r="Z455" s="154" t="str">
        <f>CONCATENATE(AE455,Times!AD455)</f>
        <v/>
      </c>
      <c r="AA455" s="154" t="str">
        <f>Times!AD455</f>
        <v/>
      </c>
      <c r="AB455" s="154" t="e">
        <f>IF(AK455="Y",CONCATENATE(AA455,COUNTIFS($AK$2:AK455,"=Y",$AA$2:AA455,AA455)),"")</f>
        <v>#VALUE!</v>
      </c>
      <c r="AC455" s="154" t="str">
        <f>Times!K455</f>
        <v/>
      </c>
      <c r="AD455" s="154">
        <f>Times!G455</f>
        <v>149</v>
      </c>
      <c r="AE455" s="154" t="str">
        <f>IF(Times!D455&lt;&gt;"",IF(ISERR(SEARCH("V",Times!I455,1)),IF(ISERR(SEARCH("S",Times!I455,1)),"S","S"),"V"),"")</f>
        <v/>
      </c>
      <c r="AF455" s="161" t="str">
        <f>IF(Times!D455&lt;&gt;"",SUMIFS(Times!$G$2:G455,$AA$2:AA455,AA455,$AK$2:AK455,"Y"),"")</f>
        <v/>
      </c>
      <c r="AG455" s="154" t="str">
        <f>IF(Times!D455&lt;&gt;"",IF(AND(Times!J455="M",AI455+AL455=AM455,AK455="Y"),AF455,""),"")</f>
        <v/>
      </c>
      <c r="AH455" s="154" t="str">
        <f>IF(Times!D455&lt;&gt;"",IF(AND(Times!J455="F",AI455+AL455=AM455,AK455="Y"),AF455,""),"")</f>
        <v/>
      </c>
      <c r="AI455" s="154">
        <f>COUNTIF(Z$2:Z455,CONCATENATE("V",AA455))</f>
        <v>0</v>
      </c>
      <c r="AJ455" s="154">
        <f>COUNTIF(Z$2:Z455,CONCATENATE("S",AA455))</f>
        <v>0</v>
      </c>
      <c r="AK455" s="154" t="e">
        <f t="shared" si="101"/>
        <v>#VALUE!</v>
      </c>
      <c r="AL455" s="154">
        <f>IF(AND(Times!J455="M",AJ455&gt;3),3, IF(AND(Times!J455="F",AJ455&gt;2),2,AJ455))</f>
        <v>0</v>
      </c>
      <c r="AM455" s="154" t="str">
        <f>IF(Times!J455="M",6, IF(Times!J455="F",4,""))</f>
        <v/>
      </c>
      <c r="AN455" s="154" t="str">
        <f t="shared" si="102"/>
        <v/>
      </c>
      <c r="AO455" s="154" t="str">
        <f t="shared" si="103"/>
        <v/>
      </c>
    </row>
    <row r="456" spans="26:41" x14ac:dyDescent="0.25">
      <c r="Z456" s="154" t="str">
        <f>CONCATENATE(AE456,Times!AD456)</f>
        <v/>
      </c>
      <c r="AA456" s="154" t="str">
        <f>Times!AD456</f>
        <v/>
      </c>
      <c r="AB456" s="154" t="e">
        <f>IF(AK456="Y",CONCATENATE(AA456,COUNTIFS($AK$2:AK456,"=Y",$AA$2:AA456,AA456)),"")</f>
        <v>#VALUE!</v>
      </c>
      <c r="AC456" s="154" t="str">
        <f>Times!K456</f>
        <v/>
      </c>
      <c r="AD456" s="154">
        <f>Times!G456</f>
        <v>150</v>
      </c>
      <c r="AE456" s="154" t="str">
        <f>IF(Times!D456&lt;&gt;"",IF(ISERR(SEARCH("V",Times!I456,1)),IF(ISERR(SEARCH("S",Times!I456,1)),"S","S"),"V"),"")</f>
        <v/>
      </c>
      <c r="AF456" s="161" t="str">
        <f>IF(Times!D456&lt;&gt;"",SUMIFS(Times!$G$2:G456,$AA$2:AA456,AA456,$AK$2:AK456,"Y"),"")</f>
        <v/>
      </c>
      <c r="AG456" s="154" t="str">
        <f>IF(Times!D456&lt;&gt;"",IF(AND(Times!J456="M",AI456+AL456=AM456,AK456="Y"),AF456,""),"")</f>
        <v/>
      </c>
      <c r="AH456" s="154" t="str">
        <f>IF(Times!D456&lt;&gt;"",IF(AND(Times!J456="F",AI456+AL456=AM456,AK456="Y"),AF456,""),"")</f>
        <v/>
      </c>
      <c r="AI456" s="154">
        <f>COUNTIF(Z$2:Z456,CONCATENATE("V",AA456))</f>
        <v>0</v>
      </c>
      <c r="AJ456" s="154">
        <f>COUNTIF(Z$2:Z456,CONCATENATE("S",AA456))</f>
        <v>0</v>
      </c>
      <c r="AK456" s="154" t="e">
        <f t="shared" si="101"/>
        <v>#VALUE!</v>
      </c>
      <c r="AL456" s="154">
        <f>IF(AND(Times!J456="M",AJ456&gt;3),3, IF(AND(Times!J456="F",AJ456&gt;2),2,AJ456))</f>
        <v>0</v>
      </c>
      <c r="AM456" s="154" t="str">
        <f>IF(Times!J456="M",6, IF(Times!J456="F",4,""))</f>
        <v/>
      </c>
      <c r="AN456" s="154" t="str">
        <f t="shared" si="102"/>
        <v/>
      </c>
      <c r="AO456" s="154" t="str">
        <f t="shared" si="103"/>
        <v/>
      </c>
    </row>
    <row r="457" spans="26:41" x14ac:dyDescent="0.25">
      <c r="Z457" s="154" t="str">
        <f>CONCATENATE(AE457,Times!AD457)</f>
        <v/>
      </c>
      <c r="AA457" s="154" t="str">
        <f>Times!AD457</f>
        <v/>
      </c>
      <c r="AB457" s="154" t="e">
        <f>IF(AK457="Y",CONCATENATE(AA457,COUNTIFS($AK$2:AK457,"=Y",$AA$2:AA457,AA457)),"")</f>
        <v>#VALUE!</v>
      </c>
      <c r="AC457" s="154" t="str">
        <f>Times!K457</f>
        <v/>
      </c>
      <c r="AD457" s="154">
        <f>Times!G457</f>
        <v>151</v>
      </c>
      <c r="AE457" s="154" t="str">
        <f>IF(Times!D457&lt;&gt;"",IF(ISERR(SEARCH("V",Times!I457,1)),IF(ISERR(SEARCH("S",Times!I457,1)),"S","S"),"V"),"")</f>
        <v/>
      </c>
      <c r="AF457" s="161" t="str">
        <f>IF(Times!D457&lt;&gt;"",SUMIFS(Times!$G$2:G457,$AA$2:AA457,AA457,$AK$2:AK457,"Y"),"")</f>
        <v/>
      </c>
      <c r="AG457" s="154" t="str">
        <f>IF(Times!D457&lt;&gt;"",IF(AND(Times!J457="M",AI457+AL457=AM457,AK457="Y"),AF457,""),"")</f>
        <v/>
      </c>
      <c r="AH457" s="154" t="str">
        <f>IF(Times!D457&lt;&gt;"",IF(AND(Times!J457="F",AI457+AL457=AM457,AK457="Y"),AF457,""),"")</f>
        <v/>
      </c>
      <c r="AI457" s="154">
        <f>COUNTIF(Z$2:Z457,CONCATENATE("V",AA457))</f>
        <v>0</v>
      </c>
      <c r="AJ457" s="154">
        <f>COUNTIF(Z$2:Z457,CONCATENATE("S",AA457))</f>
        <v>0</v>
      </c>
      <c r="AK457" s="154" t="e">
        <f t="shared" si="101"/>
        <v>#VALUE!</v>
      </c>
      <c r="AL457" s="154">
        <f>IF(AND(Times!J457="M",AJ457&gt;3),3, IF(AND(Times!J457="F",AJ457&gt;2),2,AJ457))</f>
        <v>0</v>
      </c>
      <c r="AM457" s="154" t="str">
        <f>IF(Times!J457="M",6, IF(Times!J457="F",4,""))</f>
        <v/>
      </c>
      <c r="AN457" s="154" t="str">
        <f t="shared" si="102"/>
        <v/>
      </c>
      <c r="AO457" s="154" t="str">
        <f t="shared" si="103"/>
        <v/>
      </c>
    </row>
    <row r="458" spans="26:41" x14ac:dyDescent="0.25">
      <c r="Z458" s="154" t="str">
        <f>CONCATENATE(AE458,Times!AD458)</f>
        <v/>
      </c>
      <c r="AA458" s="154" t="str">
        <f>Times!AD458</f>
        <v/>
      </c>
      <c r="AB458" s="154" t="e">
        <f>IF(AK458="Y",CONCATENATE(AA458,COUNTIFS($AK$2:AK458,"=Y",$AA$2:AA458,AA458)),"")</f>
        <v>#VALUE!</v>
      </c>
      <c r="AC458" s="154" t="str">
        <f>Times!K458</f>
        <v/>
      </c>
      <c r="AD458" s="154">
        <f>Times!G458</f>
        <v>152</v>
      </c>
      <c r="AE458" s="154" t="str">
        <f>IF(Times!D458&lt;&gt;"",IF(ISERR(SEARCH("V",Times!I458,1)),IF(ISERR(SEARCH("S",Times!I458,1)),"S","S"),"V"),"")</f>
        <v/>
      </c>
      <c r="AF458" s="161" t="str">
        <f>IF(Times!D458&lt;&gt;"",SUMIFS(Times!$G$2:G458,$AA$2:AA458,AA458,$AK$2:AK458,"Y"),"")</f>
        <v/>
      </c>
      <c r="AG458" s="154" t="str">
        <f>IF(Times!D458&lt;&gt;"",IF(AND(Times!J458="M",AI458+AL458=AM458,AK458="Y"),AF458,""),"")</f>
        <v/>
      </c>
      <c r="AH458" s="154" t="str">
        <f>IF(Times!D458&lt;&gt;"",IF(AND(Times!J458="F",AI458+AL458=AM458,AK458="Y"),AF458,""),"")</f>
        <v/>
      </c>
      <c r="AI458" s="154">
        <f>COUNTIF(Z$2:Z458,CONCATENATE("V",AA458))</f>
        <v>0</v>
      </c>
      <c r="AJ458" s="154">
        <f>COUNTIF(Z$2:Z458,CONCATENATE("S",AA458))</f>
        <v>0</v>
      </c>
      <c r="AK458" s="154" t="e">
        <f t="shared" si="101"/>
        <v>#VALUE!</v>
      </c>
      <c r="AL458" s="154">
        <f>IF(AND(Times!J458="M",AJ458&gt;3),3, IF(AND(Times!J458="F",AJ458&gt;2),2,AJ458))</f>
        <v>0</v>
      </c>
      <c r="AM458" s="154" t="str">
        <f>IF(Times!J458="M",6, IF(Times!J458="F",4,""))</f>
        <v/>
      </c>
      <c r="AN458" s="154" t="str">
        <f t="shared" si="102"/>
        <v/>
      </c>
      <c r="AO458" s="154" t="str">
        <f t="shared" si="103"/>
        <v/>
      </c>
    </row>
    <row r="459" spans="26:41" x14ac:dyDescent="0.25">
      <c r="Z459" s="154" t="str">
        <f>CONCATENATE(AE459,Times!AD459)</f>
        <v/>
      </c>
      <c r="AA459" s="154" t="str">
        <f>Times!AD459</f>
        <v/>
      </c>
      <c r="AB459" s="154" t="e">
        <f>IF(AK459="Y",CONCATENATE(AA459,COUNTIFS($AK$2:AK459,"=Y",$AA$2:AA459,AA459)),"")</f>
        <v>#VALUE!</v>
      </c>
      <c r="AC459" s="154" t="str">
        <f>Times!K459</f>
        <v/>
      </c>
      <c r="AD459" s="154">
        <f>Times!G459</f>
        <v>153</v>
      </c>
      <c r="AE459" s="154" t="str">
        <f>IF(Times!D459&lt;&gt;"",IF(ISERR(SEARCH("V",Times!I459,1)),IF(ISERR(SEARCH("S",Times!I459,1)),"S","S"),"V"),"")</f>
        <v/>
      </c>
      <c r="AF459" s="161" t="str">
        <f>IF(Times!D459&lt;&gt;"",SUMIFS(Times!$G$2:G459,$AA$2:AA459,AA459,$AK$2:AK459,"Y"),"")</f>
        <v/>
      </c>
      <c r="AG459" s="154" t="str">
        <f>IF(Times!D459&lt;&gt;"",IF(AND(Times!J459="M",AI459+AL459=AM459,AK459="Y"),AF459,""),"")</f>
        <v/>
      </c>
      <c r="AH459" s="154" t="str">
        <f>IF(Times!D459&lt;&gt;"",IF(AND(Times!J459="F",AI459+AL459=AM459,AK459="Y"),AF459,""),"")</f>
        <v/>
      </c>
      <c r="AI459" s="154">
        <f>COUNTIF(Z$2:Z459,CONCATENATE("V",AA459))</f>
        <v>0</v>
      </c>
      <c r="AJ459" s="154">
        <f>COUNTIF(Z$2:Z459,CONCATENATE("S",AA459))</f>
        <v>0</v>
      </c>
      <c r="AK459" s="154" t="e">
        <f t="shared" si="101"/>
        <v>#VALUE!</v>
      </c>
      <c r="AL459" s="154">
        <f>IF(AND(Times!J459="M",AJ459&gt;3),3, IF(AND(Times!J459="F",AJ459&gt;2),2,AJ459))</f>
        <v>0</v>
      </c>
      <c r="AM459" s="154" t="str">
        <f>IF(Times!J459="M",6, IF(Times!J459="F",4,""))</f>
        <v/>
      </c>
      <c r="AN459" s="154" t="str">
        <f t="shared" si="102"/>
        <v/>
      </c>
      <c r="AO459" s="154" t="str">
        <f t="shared" si="103"/>
        <v/>
      </c>
    </row>
    <row r="460" spans="26:41" x14ac:dyDescent="0.25">
      <c r="Z460" s="154" t="str">
        <f>CONCATENATE(AE460,Times!AD460)</f>
        <v/>
      </c>
      <c r="AA460" s="154" t="str">
        <f>Times!AD460</f>
        <v/>
      </c>
      <c r="AB460" s="154" t="e">
        <f>IF(AK460="Y",CONCATENATE(AA460,COUNTIFS($AK$2:AK460,"=Y",$AA$2:AA460,AA460)),"")</f>
        <v>#VALUE!</v>
      </c>
      <c r="AC460" s="154" t="str">
        <f>Times!K460</f>
        <v/>
      </c>
      <c r="AD460" s="154">
        <f>Times!G460</f>
        <v>154</v>
      </c>
      <c r="AE460" s="154" t="str">
        <f>IF(Times!D460&lt;&gt;"",IF(ISERR(SEARCH("V",Times!I460,1)),IF(ISERR(SEARCH("S",Times!I460,1)),"S","S"),"V"),"")</f>
        <v/>
      </c>
      <c r="AF460" s="161" t="str">
        <f>IF(Times!D460&lt;&gt;"",SUMIFS(Times!$G$2:G460,$AA$2:AA460,AA460,$AK$2:AK460,"Y"),"")</f>
        <v/>
      </c>
      <c r="AG460" s="154" t="str">
        <f>IF(Times!D460&lt;&gt;"",IF(AND(Times!J460="M",AI460+AL460=AM460,AK460="Y"),AF460,""),"")</f>
        <v/>
      </c>
      <c r="AH460" s="154" t="str">
        <f>IF(Times!D460&lt;&gt;"",IF(AND(Times!J460="F",AI460+AL460=AM460,AK460="Y"),AF460,""),"")</f>
        <v/>
      </c>
      <c r="AI460" s="154">
        <f>COUNTIF(Z$2:Z460,CONCATENATE("V",AA460))</f>
        <v>0</v>
      </c>
      <c r="AJ460" s="154">
        <f>COUNTIF(Z$2:Z460,CONCATENATE("S",AA460))</f>
        <v>0</v>
      </c>
      <c r="AK460" s="154" t="e">
        <f t="shared" si="101"/>
        <v>#VALUE!</v>
      </c>
      <c r="AL460" s="154">
        <f>IF(AND(Times!J460="M",AJ460&gt;3),3, IF(AND(Times!J460="F",AJ460&gt;2),2,AJ460))</f>
        <v>0</v>
      </c>
      <c r="AM460" s="154" t="str">
        <f>IF(Times!J460="M",6, IF(Times!J460="F",4,""))</f>
        <v/>
      </c>
      <c r="AN460" s="154" t="str">
        <f t="shared" si="102"/>
        <v/>
      </c>
      <c r="AO460" s="154" t="str">
        <f t="shared" si="103"/>
        <v/>
      </c>
    </row>
    <row r="461" spans="26:41" x14ac:dyDescent="0.25">
      <c r="Z461" s="154" t="str">
        <f>CONCATENATE(AE461,Times!AD461)</f>
        <v/>
      </c>
      <c r="AA461" s="154" t="str">
        <f>Times!AD461</f>
        <v/>
      </c>
      <c r="AB461" s="154" t="e">
        <f>IF(AK461="Y",CONCATENATE(AA461,COUNTIFS($AK$2:AK461,"=Y",$AA$2:AA461,AA461)),"")</f>
        <v>#VALUE!</v>
      </c>
      <c r="AC461" s="154" t="str">
        <f>Times!K461</f>
        <v/>
      </c>
      <c r="AD461" s="154">
        <f>Times!G461</f>
        <v>155</v>
      </c>
      <c r="AE461" s="154" t="str">
        <f>IF(Times!D461&lt;&gt;"",IF(ISERR(SEARCH("V",Times!I461,1)),IF(ISERR(SEARCH("S",Times!I461,1)),"S","S"),"V"),"")</f>
        <v/>
      </c>
      <c r="AF461" s="161" t="str">
        <f>IF(Times!D461&lt;&gt;"",SUMIFS(Times!$G$2:G461,$AA$2:AA461,AA461,$AK$2:AK461,"Y"),"")</f>
        <v/>
      </c>
      <c r="AG461" s="154" t="str">
        <f>IF(Times!D461&lt;&gt;"",IF(AND(Times!J461="M",AI461+AL461=AM461,AK461="Y"),AF461,""),"")</f>
        <v/>
      </c>
      <c r="AH461" s="154" t="str">
        <f>IF(Times!D461&lt;&gt;"",IF(AND(Times!J461="F",AI461+AL461=AM461,AK461="Y"),AF461,""),"")</f>
        <v/>
      </c>
      <c r="AI461" s="154">
        <f>COUNTIF(Z$2:Z461,CONCATENATE("V",AA461))</f>
        <v>0</v>
      </c>
      <c r="AJ461" s="154">
        <f>COUNTIF(Z$2:Z461,CONCATENATE("S",AA461))</f>
        <v>0</v>
      </c>
      <c r="AK461" s="154" t="e">
        <f t="shared" si="101"/>
        <v>#VALUE!</v>
      </c>
      <c r="AL461" s="154">
        <f>IF(AND(Times!J461="M",AJ461&gt;3),3, IF(AND(Times!J461="F",AJ461&gt;2),2,AJ461))</f>
        <v>0</v>
      </c>
      <c r="AM461" s="154" t="str">
        <f>IF(Times!J461="M",6, IF(Times!J461="F",4,""))</f>
        <v/>
      </c>
      <c r="AN461" s="154" t="str">
        <f t="shared" si="102"/>
        <v/>
      </c>
      <c r="AO461" s="154" t="str">
        <f t="shared" si="103"/>
        <v/>
      </c>
    </row>
    <row r="462" spans="26:41" x14ac:dyDescent="0.25">
      <c r="Z462" s="154" t="str">
        <f>CONCATENATE(AE462,Times!AD462)</f>
        <v/>
      </c>
      <c r="AA462" s="154" t="str">
        <f>Times!AD462</f>
        <v/>
      </c>
      <c r="AB462" s="154" t="e">
        <f>IF(AK462="Y",CONCATENATE(AA462,COUNTIFS($AK$2:AK462,"=Y",$AA$2:AA462,AA462)),"")</f>
        <v>#VALUE!</v>
      </c>
      <c r="AC462" s="154" t="str">
        <f>Times!K462</f>
        <v/>
      </c>
      <c r="AD462" s="154">
        <f>Times!G462</f>
        <v>156</v>
      </c>
      <c r="AE462" s="154" t="str">
        <f>IF(Times!D462&lt;&gt;"",IF(ISERR(SEARCH("V",Times!I462,1)),IF(ISERR(SEARCH("S",Times!I462,1)),"S","S"),"V"),"")</f>
        <v/>
      </c>
      <c r="AF462" s="161" t="str">
        <f>IF(Times!D462&lt;&gt;"",SUMIFS(Times!$G$2:G462,$AA$2:AA462,AA462,$AK$2:AK462,"Y"),"")</f>
        <v/>
      </c>
      <c r="AG462" s="154" t="str">
        <f>IF(Times!D462&lt;&gt;"",IF(AND(Times!J462="M",AI462+AL462=AM462,AK462="Y"),AF462,""),"")</f>
        <v/>
      </c>
      <c r="AH462" s="154" t="str">
        <f>IF(Times!D462&lt;&gt;"",IF(AND(Times!J462="F",AI462+AL462=AM462,AK462="Y"),AF462,""),"")</f>
        <v/>
      </c>
      <c r="AI462" s="154">
        <f>COUNTIF(Z$2:Z462,CONCATENATE("V",AA462))</f>
        <v>0</v>
      </c>
      <c r="AJ462" s="154">
        <f>COUNTIF(Z$2:Z462,CONCATENATE("S",AA462))</f>
        <v>0</v>
      </c>
      <c r="AK462" s="154" t="e">
        <f t="shared" si="101"/>
        <v>#VALUE!</v>
      </c>
      <c r="AL462" s="154">
        <f>IF(AND(Times!J462="M",AJ462&gt;3),3, IF(AND(Times!J462="F",AJ462&gt;2),2,AJ462))</f>
        <v>0</v>
      </c>
      <c r="AM462" s="154" t="str">
        <f>IF(Times!J462="M",6, IF(Times!J462="F",4,""))</f>
        <v/>
      </c>
      <c r="AN462" s="154" t="str">
        <f t="shared" si="102"/>
        <v/>
      </c>
      <c r="AO462" s="154" t="str">
        <f t="shared" si="103"/>
        <v/>
      </c>
    </row>
    <row r="463" spans="26:41" x14ac:dyDescent="0.25">
      <c r="Z463" s="154" t="str">
        <f>CONCATENATE(AE463,Times!AD463)</f>
        <v/>
      </c>
      <c r="AA463" s="154" t="str">
        <f>Times!AD463</f>
        <v/>
      </c>
      <c r="AB463" s="154" t="e">
        <f>IF(AK463="Y",CONCATENATE(AA463,COUNTIFS($AK$2:AK463,"=Y",$AA$2:AA463,AA463)),"")</f>
        <v>#VALUE!</v>
      </c>
      <c r="AC463" s="154" t="str">
        <f>Times!K463</f>
        <v/>
      </c>
      <c r="AD463" s="154">
        <f>Times!G463</f>
        <v>157</v>
      </c>
      <c r="AE463" s="154" t="str">
        <f>IF(Times!D463&lt;&gt;"",IF(ISERR(SEARCH("V",Times!I463,1)),IF(ISERR(SEARCH("S",Times!I463,1)),"S","S"),"V"),"")</f>
        <v/>
      </c>
      <c r="AF463" s="161" t="str">
        <f>IF(Times!D463&lt;&gt;"",SUMIFS(Times!$G$2:G463,$AA$2:AA463,AA463,$AK$2:AK463,"Y"),"")</f>
        <v/>
      </c>
      <c r="AG463" s="154" t="str">
        <f>IF(Times!D463&lt;&gt;"",IF(AND(Times!J463="M",AI463+AL463=AM463,AK463="Y"),AF463,""),"")</f>
        <v/>
      </c>
      <c r="AH463" s="154" t="str">
        <f>IF(Times!D463&lt;&gt;"",IF(AND(Times!J463="F",AI463+AL463=AM463,AK463="Y"),AF463,""),"")</f>
        <v/>
      </c>
      <c r="AI463" s="154">
        <f>COUNTIF(Z$2:Z463,CONCATENATE("V",AA463))</f>
        <v>0</v>
      </c>
      <c r="AJ463" s="154">
        <f>COUNTIF(Z$2:Z463,CONCATENATE("S",AA463))</f>
        <v>0</v>
      </c>
      <c r="AK463" s="154" t="e">
        <f t="shared" si="101"/>
        <v>#VALUE!</v>
      </c>
      <c r="AL463" s="154">
        <f>IF(AND(Times!J463="M",AJ463&gt;3),3, IF(AND(Times!J463="F",AJ463&gt;2),2,AJ463))</f>
        <v>0</v>
      </c>
      <c r="AM463" s="154" t="str">
        <f>IF(Times!J463="M",6, IF(Times!J463="F",4,""))</f>
        <v/>
      </c>
      <c r="AN463" s="154" t="str">
        <f t="shared" si="102"/>
        <v/>
      </c>
      <c r="AO463" s="154" t="str">
        <f t="shared" si="103"/>
        <v/>
      </c>
    </row>
    <row r="464" spans="26:41" x14ac:dyDescent="0.25">
      <c r="Z464" s="154" t="str">
        <f>CONCATENATE(AE464,Times!AD464)</f>
        <v/>
      </c>
      <c r="AA464" s="154" t="str">
        <f>Times!AD464</f>
        <v/>
      </c>
      <c r="AB464" s="154" t="e">
        <f>IF(AK464="Y",CONCATENATE(AA464,COUNTIFS($AK$2:AK464,"=Y",$AA$2:AA464,AA464)),"")</f>
        <v>#VALUE!</v>
      </c>
      <c r="AC464" s="154" t="str">
        <f>Times!K464</f>
        <v/>
      </c>
      <c r="AD464" s="154">
        <f>Times!G464</f>
        <v>158</v>
      </c>
      <c r="AE464" s="154" t="str">
        <f>IF(Times!D464&lt;&gt;"",IF(ISERR(SEARCH("V",Times!I464,1)),IF(ISERR(SEARCH("S",Times!I464,1)),"S","S"),"V"),"")</f>
        <v/>
      </c>
      <c r="AF464" s="161" t="str">
        <f>IF(Times!D464&lt;&gt;"",SUMIFS(Times!$G$2:G464,$AA$2:AA464,AA464,$AK$2:AK464,"Y"),"")</f>
        <v/>
      </c>
      <c r="AG464" s="154" t="str">
        <f>IF(Times!D464&lt;&gt;"",IF(AND(Times!J464="M",AI464+AL464=AM464,AK464="Y"),AF464,""),"")</f>
        <v/>
      </c>
      <c r="AH464" s="154" t="str">
        <f>IF(Times!D464&lt;&gt;"",IF(AND(Times!J464="F",AI464+AL464=AM464,AK464="Y"),AF464,""),"")</f>
        <v/>
      </c>
      <c r="AI464" s="154">
        <f>COUNTIF(Z$2:Z464,CONCATENATE("V",AA464))</f>
        <v>0</v>
      </c>
      <c r="AJ464" s="154">
        <f>COUNTIF(Z$2:Z464,CONCATENATE("S",AA464))</f>
        <v>0</v>
      </c>
      <c r="AK464" s="154" t="e">
        <f t="shared" si="101"/>
        <v>#VALUE!</v>
      </c>
      <c r="AL464" s="154">
        <f>IF(AND(Times!J464="M",AJ464&gt;3),3, IF(AND(Times!J464="F",AJ464&gt;2),2,AJ464))</f>
        <v>0</v>
      </c>
      <c r="AM464" s="154" t="str">
        <f>IF(Times!J464="M",6, IF(Times!J464="F",4,""))</f>
        <v/>
      </c>
      <c r="AN464" s="154" t="str">
        <f t="shared" si="102"/>
        <v/>
      </c>
      <c r="AO464" s="154" t="str">
        <f t="shared" si="103"/>
        <v/>
      </c>
    </row>
    <row r="465" spans="26:41" x14ac:dyDescent="0.25">
      <c r="Z465" s="154" t="str">
        <f>CONCATENATE(AE465,Times!AD465)</f>
        <v/>
      </c>
      <c r="AA465" s="154" t="str">
        <f>Times!AD465</f>
        <v/>
      </c>
      <c r="AB465" s="154" t="e">
        <f>IF(AK465="Y",CONCATENATE(AA465,COUNTIFS($AK$2:AK465,"=Y",$AA$2:AA465,AA465)),"")</f>
        <v>#VALUE!</v>
      </c>
      <c r="AC465" s="154" t="str">
        <f>Times!K465</f>
        <v/>
      </c>
      <c r="AD465" s="154">
        <f>Times!G465</f>
        <v>159</v>
      </c>
      <c r="AE465" s="154" t="str">
        <f>IF(Times!D465&lt;&gt;"",IF(ISERR(SEARCH("V",Times!I465,1)),IF(ISERR(SEARCH("S",Times!I465,1)),"S","S"),"V"),"")</f>
        <v/>
      </c>
      <c r="AF465" s="161" t="str">
        <f>IF(Times!D465&lt;&gt;"",SUMIFS(Times!$G$2:G465,$AA$2:AA465,AA465,$AK$2:AK465,"Y"),"")</f>
        <v/>
      </c>
      <c r="AG465" s="154" t="str">
        <f>IF(Times!D465&lt;&gt;"",IF(AND(Times!J465="M",AI465+AL465=AM465,AK465="Y"),AF465,""),"")</f>
        <v/>
      </c>
      <c r="AH465" s="154" t="str">
        <f>IF(Times!D465&lt;&gt;"",IF(AND(Times!J465="F",AI465+AL465=AM465,AK465="Y"),AF465,""),"")</f>
        <v/>
      </c>
      <c r="AI465" s="154">
        <f>COUNTIF(Z$2:Z465,CONCATENATE("V",AA465))</f>
        <v>0</v>
      </c>
      <c r="AJ465" s="154">
        <f>COUNTIF(Z$2:Z465,CONCATENATE("S",AA465))</f>
        <v>0</v>
      </c>
      <c r="AK465" s="154" t="e">
        <f t="shared" si="101"/>
        <v>#VALUE!</v>
      </c>
      <c r="AL465" s="154">
        <f>IF(AND(Times!J465="M",AJ465&gt;3),3, IF(AND(Times!J465="F",AJ465&gt;2),2,AJ465))</f>
        <v>0</v>
      </c>
      <c r="AM465" s="154" t="str">
        <f>IF(Times!J465="M",6, IF(Times!J465="F",4,""))</f>
        <v/>
      </c>
      <c r="AN465" s="154" t="str">
        <f t="shared" si="102"/>
        <v/>
      </c>
      <c r="AO465" s="154" t="str">
        <f t="shared" si="103"/>
        <v/>
      </c>
    </row>
    <row r="466" spans="26:41" x14ac:dyDescent="0.25">
      <c r="Z466" s="154" t="str">
        <f>CONCATENATE(AE466,Times!AD466)</f>
        <v/>
      </c>
      <c r="AA466" s="154" t="str">
        <f>Times!AD466</f>
        <v/>
      </c>
      <c r="AB466" s="154" t="e">
        <f>IF(AK466="Y",CONCATENATE(AA466,COUNTIFS($AK$2:AK466,"=Y",$AA$2:AA466,AA466)),"")</f>
        <v>#VALUE!</v>
      </c>
      <c r="AC466" s="154" t="str">
        <f>Times!K466</f>
        <v/>
      </c>
      <c r="AD466" s="154">
        <f>Times!G466</f>
        <v>160</v>
      </c>
      <c r="AE466" s="154" t="str">
        <f>IF(Times!D466&lt;&gt;"",IF(ISERR(SEARCH("V",Times!I466,1)),IF(ISERR(SEARCH("S",Times!I466,1)),"S","S"),"V"),"")</f>
        <v/>
      </c>
      <c r="AF466" s="161" t="str">
        <f>IF(Times!D466&lt;&gt;"",SUMIFS(Times!$G$2:G466,$AA$2:AA466,AA466,$AK$2:AK466,"Y"),"")</f>
        <v/>
      </c>
      <c r="AG466" s="154" t="str">
        <f>IF(Times!D466&lt;&gt;"",IF(AND(Times!J466="M",AI466+AL466=AM466,AK466="Y"),AF466,""),"")</f>
        <v/>
      </c>
      <c r="AH466" s="154" t="str">
        <f>IF(Times!D466&lt;&gt;"",IF(AND(Times!J466="F",AI466+AL466=AM466,AK466="Y"),AF466,""),"")</f>
        <v/>
      </c>
      <c r="AI466" s="154">
        <f>COUNTIF(Z$2:Z466,CONCATENATE("V",AA466))</f>
        <v>0</v>
      </c>
      <c r="AJ466" s="154">
        <f>COUNTIF(Z$2:Z466,CONCATENATE("S",AA466))</f>
        <v>0</v>
      </c>
      <c r="AK466" s="154" t="e">
        <f t="shared" si="101"/>
        <v>#VALUE!</v>
      </c>
      <c r="AL466" s="154">
        <f>IF(AND(Times!J466="M",AJ466&gt;3),3, IF(AND(Times!J466="F",AJ466&gt;2),2,AJ466))</f>
        <v>0</v>
      </c>
      <c r="AM466" s="154" t="str">
        <f>IF(Times!J466="M",6, IF(Times!J466="F",4,""))</f>
        <v/>
      </c>
      <c r="AN466" s="154" t="str">
        <f t="shared" si="102"/>
        <v/>
      </c>
      <c r="AO466" s="154" t="str">
        <f t="shared" si="103"/>
        <v/>
      </c>
    </row>
    <row r="467" spans="26:41" x14ac:dyDescent="0.25">
      <c r="Z467" s="154" t="str">
        <f>CONCATENATE(AE467,Times!AD467)</f>
        <v/>
      </c>
      <c r="AA467" s="154" t="str">
        <f>Times!AD467</f>
        <v/>
      </c>
      <c r="AB467" s="154" t="e">
        <f>IF(AK467="Y",CONCATENATE(AA467,COUNTIFS($AK$2:AK467,"=Y",$AA$2:AA467,AA467)),"")</f>
        <v>#VALUE!</v>
      </c>
      <c r="AC467" s="154" t="str">
        <f>Times!K467</f>
        <v/>
      </c>
      <c r="AD467" s="154">
        <f>Times!G467</f>
        <v>161</v>
      </c>
      <c r="AE467" s="154" t="str">
        <f>IF(Times!D467&lt;&gt;"",IF(ISERR(SEARCH("V",Times!I467,1)),IF(ISERR(SEARCH("S",Times!I467,1)),"S","S"),"V"),"")</f>
        <v/>
      </c>
      <c r="AF467" s="161" t="str">
        <f>IF(Times!D467&lt;&gt;"",SUMIFS(Times!$G$2:G467,$AA$2:AA467,AA467,$AK$2:AK467,"Y"),"")</f>
        <v/>
      </c>
      <c r="AG467" s="154" t="str">
        <f>IF(Times!D467&lt;&gt;"",IF(AND(Times!J467="M",AI467+AL467=AM467,AK467="Y"),AF467,""),"")</f>
        <v/>
      </c>
      <c r="AH467" s="154" t="str">
        <f>IF(Times!D467&lt;&gt;"",IF(AND(Times!J467="F",AI467+AL467=AM467,AK467="Y"),AF467,""),"")</f>
        <v/>
      </c>
      <c r="AI467" s="154">
        <f>COUNTIF(Z$2:Z467,CONCATENATE("V",AA467))</f>
        <v>0</v>
      </c>
      <c r="AJ467" s="154">
        <f>COUNTIF(Z$2:Z467,CONCATENATE("S",AA467))</f>
        <v>0</v>
      </c>
      <c r="AK467" s="154" t="e">
        <f t="shared" si="101"/>
        <v>#VALUE!</v>
      </c>
      <c r="AL467" s="154">
        <f>IF(AND(Times!J467="M",AJ467&gt;3),3, IF(AND(Times!J467="F",AJ467&gt;2),2,AJ467))</f>
        <v>0</v>
      </c>
      <c r="AM467" s="154" t="str">
        <f>IF(Times!J467="M",6, IF(Times!J467="F",4,""))</f>
        <v/>
      </c>
      <c r="AN467" s="154" t="str">
        <f t="shared" si="102"/>
        <v/>
      </c>
      <c r="AO467" s="154" t="str">
        <f t="shared" si="103"/>
        <v/>
      </c>
    </row>
    <row r="468" spans="26:41" x14ac:dyDescent="0.25">
      <c r="Z468" s="154" t="str">
        <f>CONCATENATE(AE468,Times!AD468)</f>
        <v/>
      </c>
      <c r="AA468" s="154" t="str">
        <f>Times!AD468</f>
        <v/>
      </c>
      <c r="AB468" s="154" t="e">
        <f>IF(AK468="Y",CONCATENATE(AA468,COUNTIFS($AK$2:AK468,"=Y",$AA$2:AA468,AA468)),"")</f>
        <v>#VALUE!</v>
      </c>
      <c r="AC468" s="154" t="str">
        <f>Times!K468</f>
        <v/>
      </c>
      <c r="AD468" s="154">
        <f>Times!G468</f>
        <v>162</v>
      </c>
      <c r="AE468" s="154" t="str">
        <f>IF(Times!D468&lt;&gt;"",IF(ISERR(SEARCH("V",Times!I468,1)),IF(ISERR(SEARCH("S",Times!I468,1)),"S","S"),"V"),"")</f>
        <v/>
      </c>
      <c r="AF468" s="161" t="str">
        <f>IF(Times!D468&lt;&gt;"",SUMIFS(Times!$G$2:G468,$AA$2:AA468,AA468,$AK$2:AK468,"Y"),"")</f>
        <v/>
      </c>
      <c r="AG468" s="154" t="str">
        <f>IF(Times!D468&lt;&gt;"",IF(AND(Times!J468="M",AI468+AL468=AM468,AK468="Y"),AF468,""),"")</f>
        <v/>
      </c>
      <c r="AH468" s="154" t="str">
        <f>IF(Times!D468&lt;&gt;"",IF(AND(Times!J468="F",AI468+AL468=AM468,AK468="Y"),AF468,""),"")</f>
        <v/>
      </c>
      <c r="AI468" s="154">
        <f>COUNTIF(Z$2:Z468,CONCATENATE("V",AA468))</f>
        <v>0</v>
      </c>
      <c r="AJ468" s="154">
        <f>COUNTIF(Z$2:Z468,CONCATENATE("S",AA468))</f>
        <v>0</v>
      </c>
      <c r="AK468" s="154" t="e">
        <f t="shared" si="101"/>
        <v>#VALUE!</v>
      </c>
      <c r="AL468" s="154">
        <f>IF(AND(Times!J468="M",AJ468&gt;3),3, IF(AND(Times!J468="F",AJ468&gt;2),2,AJ468))</f>
        <v>0</v>
      </c>
      <c r="AM468" s="154" t="str">
        <f>IF(Times!J468="M",6, IF(Times!J468="F",4,""))</f>
        <v/>
      </c>
      <c r="AN468" s="154" t="str">
        <f t="shared" si="102"/>
        <v/>
      </c>
      <c r="AO468" s="154" t="str">
        <f t="shared" si="103"/>
        <v/>
      </c>
    </row>
    <row r="469" spans="26:41" x14ac:dyDescent="0.25">
      <c r="Z469" s="154" t="str">
        <f>CONCATENATE(AE469,Times!AD469)</f>
        <v/>
      </c>
      <c r="AA469" s="154" t="str">
        <f>Times!AD469</f>
        <v/>
      </c>
      <c r="AB469" s="154" t="e">
        <f>IF(AK469="Y",CONCATENATE(AA469,COUNTIFS($AK$2:AK469,"=Y",$AA$2:AA469,AA469)),"")</f>
        <v>#VALUE!</v>
      </c>
      <c r="AC469" s="154" t="str">
        <f>Times!K469</f>
        <v/>
      </c>
      <c r="AD469" s="154">
        <f>Times!G469</f>
        <v>163</v>
      </c>
      <c r="AE469" s="154" t="str">
        <f>IF(Times!D469&lt;&gt;"",IF(ISERR(SEARCH("V",Times!I469,1)),IF(ISERR(SEARCH("S",Times!I469,1)),"S","S"),"V"),"")</f>
        <v/>
      </c>
      <c r="AF469" s="161" t="str">
        <f>IF(Times!D469&lt;&gt;"",SUMIFS(Times!$G$2:G469,$AA$2:AA469,AA469,$AK$2:AK469,"Y"),"")</f>
        <v/>
      </c>
      <c r="AG469" s="154" t="str">
        <f>IF(Times!D469&lt;&gt;"",IF(AND(Times!J469="M",AI469+AL469=AM469,AK469="Y"),AF469,""),"")</f>
        <v/>
      </c>
      <c r="AH469" s="154" t="str">
        <f>IF(Times!D469&lt;&gt;"",IF(AND(Times!J469="F",AI469+AL469=AM469,AK469="Y"),AF469,""),"")</f>
        <v/>
      </c>
      <c r="AI469" s="154">
        <f>COUNTIF(Z$2:Z469,CONCATENATE("V",AA469))</f>
        <v>0</v>
      </c>
      <c r="AJ469" s="154">
        <f>COUNTIF(Z$2:Z469,CONCATENATE("S",AA469))</f>
        <v>0</v>
      </c>
      <c r="AK469" s="154" t="e">
        <f t="shared" si="101"/>
        <v>#VALUE!</v>
      </c>
      <c r="AL469" s="154">
        <f>IF(AND(Times!J469="M",AJ469&gt;3),3, IF(AND(Times!J469="F",AJ469&gt;2),2,AJ469))</f>
        <v>0</v>
      </c>
      <c r="AM469" s="154" t="str">
        <f>IF(Times!J469="M",6, IF(Times!J469="F",4,""))</f>
        <v/>
      </c>
      <c r="AN469" s="154" t="str">
        <f t="shared" si="102"/>
        <v/>
      </c>
      <c r="AO469" s="154" t="str">
        <f t="shared" si="103"/>
        <v/>
      </c>
    </row>
    <row r="470" spans="26:41" x14ac:dyDescent="0.25">
      <c r="Z470" s="154" t="str">
        <f>CONCATENATE(AE470,Times!AD470)</f>
        <v/>
      </c>
      <c r="AA470" s="154" t="str">
        <f>Times!AD470</f>
        <v/>
      </c>
      <c r="AB470" s="154" t="e">
        <f>IF(AK470="Y",CONCATENATE(AA470,COUNTIFS($AK$2:AK470,"=Y",$AA$2:AA470,AA470)),"")</f>
        <v>#VALUE!</v>
      </c>
      <c r="AC470" s="154" t="str">
        <f>Times!K470</f>
        <v/>
      </c>
      <c r="AD470" s="154">
        <f>Times!G470</f>
        <v>164</v>
      </c>
      <c r="AE470" s="154" t="str">
        <f>IF(Times!D470&lt;&gt;"",IF(ISERR(SEARCH("V",Times!I470,1)),IF(ISERR(SEARCH("S",Times!I470,1)),"S","S"),"V"),"")</f>
        <v/>
      </c>
      <c r="AF470" s="161" t="str">
        <f>IF(Times!D470&lt;&gt;"",SUMIFS(Times!$G$2:G470,$AA$2:AA470,AA470,$AK$2:AK470,"Y"),"")</f>
        <v/>
      </c>
      <c r="AG470" s="154" t="str">
        <f>IF(Times!D470&lt;&gt;"",IF(AND(Times!J470="M",AI470+AL470=AM470,AK470="Y"),AF470,""),"")</f>
        <v/>
      </c>
      <c r="AH470" s="154" t="str">
        <f>IF(Times!D470&lt;&gt;"",IF(AND(Times!J470="F",AI470+AL470=AM470,AK470="Y"),AF470,""),"")</f>
        <v/>
      </c>
      <c r="AI470" s="154">
        <f>COUNTIF(Z$2:Z470,CONCATENATE("V",AA470))</f>
        <v>0</v>
      </c>
      <c r="AJ470" s="154">
        <f>COUNTIF(Z$2:Z470,CONCATENATE("S",AA470))</f>
        <v>0</v>
      </c>
      <c r="AK470" s="154" t="e">
        <f t="shared" si="101"/>
        <v>#VALUE!</v>
      </c>
      <c r="AL470" s="154">
        <f>IF(AND(Times!J470="M",AJ470&gt;3),3, IF(AND(Times!J470="F",AJ470&gt;2),2,AJ470))</f>
        <v>0</v>
      </c>
      <c r="AM470" s="154" t="str">
        <f>IF(Times!J470="M",6, IF(Times!J470="F",4,""))</f>
        <v/>
      </c>
      <c r="AN470" s="154" t="str">
        <f t="shared" si="102"/>
        <v/>
      </c>
      <c r="AO470" s="154" t="str">
        <f t="shared" si="103"/>
        <v/>
      </c>
    </row>
    <row r="471" spans="26:41" x14ac:dyDescent="0.25">
      <c r="Z471" s="154" t="str">
        <f>CONCATENATE(AE471,Times!AD471)</f>
        <v/>
      </c>
      <c r="AA471" s="154" t="str">
        <f>Times!AD471</f>
        <v/>
      </c>
      <c r="AB471" s="154" t="e">
        <f>IF(AK471="Y",CONCATENATE(AA471,COUNTIFS($AK$2:AK471,"=Y",$AA$2:AA471,AA471)),"")</f>
        <v>#VALUE!</v>
      </c>
      <c r="AC471" s="154" t="str">
        <f>Times!K471</f>
        <v/>
      </c>
      <c r="AD471" s="154">
        <f>Times!G471</f>
        <v>165</v>
      </c>
      <c r="AE471" s="154" t="str">
        <f>IF(Times!D471&lt;&gt;"",IF(ISERR(SEARCH("V",Times!I471,1)),IF(ISERR(SEARCH("S",Times!I471,1)),"S","S"),"V"),"")</f>
        <v/>
      </c>
      <c r="AF471" s="161" t="str">
        <f>IF(Times!D471&lt;&gt;"",SUMIFS(Times!$G$2:G471,$AA$2:AA471,AA471,$AK$2:AK471,"Y"),"")</f>
        <v/>
      </c>
      <c r="AG471" s="154" t="str">
        <f>IF(Times!D471&lt;&gt;"",IF(AND(Times!J471="M",AI471+AL471=AM471,AK471="Y"),AF471,""),"")</f>
        <v/>
      </c>
      <c r="AH471" s="154" t="str">
        <f>IF(Times!D471&lt;&gt;"",IF(AND(Times!J471="F",AI471+AL471=AM471,AK471="Y"),AF471,""),"")</f>
        <v/>
      </c>
      <c r="AI471" s="154">
        <f>COUNTIF(Z$2:Z471,CONCATENATE("V",AA471))</f>
        <v>0</v>
      </c>
      <c r="AJ471" s="154">
        <f>COUNTIF(Z$2:Z471,CONCATENATE("S",AA471))</f>
        <v>0</v>
      </c>
      <c r="AK471" s="154" t="e">
        <f t="shared" si="101"/>
        <v>#VALUE!</v>
      </c>
      <c r="AL471" s="154">
        <f>IF(AND(Times!J471="M",AJ471&gt;3),3, IF(AND(Times!J471="F",AJ471&gt;2),2,AJ471))</f>
        <v>0</v>
      </c>
      <c r="AM471" s="154" t="str">
        <f>IF(Times!J471="M",6, IF(Times!J471="F",4,""))</f>
        <v/>
      </c>
      <c r="AN471" s="154" t="str">
        <f t="shared" si="102"/>
        <v/>
      </c>
      <c r="AO471" s="154" t="str">
        <f t="shared" si="103"/>
        <v/>
      </c>
    </row>
    <row r="472" spans="26:41" x14ac:dyDescent="0.25">
      <c r="Z472" s="154" t="str">
        <f>CONCATENATE(AE472,Times!AD472)</f>
        <v/>
      </c>
      <c r="AA472" s="154" t="str">
        <f>Times!AD472</f>
        <v/>
      </c>
      <c r="AB472" s="154" t="e">
        <f>IF(AK472="Y",CONCATENATE(AA472,COUNTIFS($AK$2:AK472,"=Y",$AA$2:AA472,AA472)),"")</f>
        <v>#VALUE!</v>
      </c>
      <c r="AC472" s="154" t="str">
        <f>Times!K472</f>
        <v/>
      </c>
      <c r="AD472" s="154">
        <f>Times!G472</f>
        <v>166</v>
      </c>
      <c r="AE472" s="154" t="str">
        <f>IF(Times!D472&lt;&gt;"",IF(ISERR(SEARCH("V",Times!I472,1)),IF(ISERR(SEARCH("S",Times!I472,1)),"S","S"),"V"),"")</f>
        <v/>
      </c>
      <c r="AF472" s="161" t="str">
        <f>IF(Times!D472&lt;&gt;"",SUMIFS(Times!$G$2:G472,$AA$2:AA472,AA472,$AK$2:AK472,"Y"),"")</f>
        <v/>
      </c>
      <c r="AG472" s="154" t="str">
        <f>IF(Times!D472&lt;&gt;"",IF(AND(Times!J472="M",AI472+AL472=AM472,AK472="Y"),AF472,""),"")</f>
        <v/>
      </c>
      <c r="AH472" s="154" t="str">
        <f>IF(Times!D472&lt;&gt;"",IF(AND(Times!J472="F",AI472+AL472=AM472,AK472="Y"),AF472,""),"")</f>
        <v/>
      </c>
      <c r="AI472" s="154">
        <f>COUNTIF(Z$2:Z472,CONCATENATE("V",AA472))</f>
        <v>0</v>
      </c>
      <c r="AJ472" s="154">
        <f>COUNTIF(Z$2:Z472,CONCATENATE("S",AA472))</f>
        <v>0</v>
      </c>
      <c r="AK472" s="154" t="e">
        <f t="shared" si="101"/>
        <v>#VALUE!</v>
      </c>
      <c r="AL472" s="154">
        <f>IF(AND(Times!J472="M",AJ472&gt;3),3, IF(AND(Times!J472="F",AJ472&gt;2),2,AJ472))</f>
        <v>0</v>
      </c>
      <c r="AM472" s="154" t="str">
        <f>IF(Times!J472="M",6, IF(Times!J472="F",4,""))</f>
        <v/>
      </c>
      <c r="AN472" s="154" t="str">
        <f t="shared" si="102"/>
        <v/>
      </c>
      <c r="AO472" s="154" t="str">
        <f t="shared" si="103"/>
        <v/>
      </c>
    </row>
    <row r="473" spans="26:41" x14ac:dyDescent="0.25">
      <c r="Z473" s="154" t="str">
        <f>CONCATENATE(AE473,Times!AD473)</f>
        <v/>
      </c>
      <c r="AA473" s="154" t="str">
        <f>Times!AD473</f>
        <v/>
      </c>
      <c r="AB473" s="154" t="e">
        <f>IF(AK473="Y",CONCATENATE(AA473,COUNTIFS($AK$2:AK473,"=Y",$AA$2:AA473,AA473)),"")</f>
        <v>#VALUE!</v>
      </c>
      <c r="AC473" s="154" t="str">
        <f>Times!K473</f>
        <v/>
      </c>
      <c r="AD473" s="154">
        <f>Times!G473</f>
        <v>167</v>
      </c>
      <c r="AE473" s="154" t="str">
        <f>IF(Times!D473&lt;&gt;"",IF(ISERR(SEARCH("V",Times!I473,1)),IF(ISERR(SEARCH("S",Times!I473,1)),"S","S"),"V"),"")</f>
        <v/>
      </c>
      <c r="AF473" s="161" t="str">
        <f>IF(Times!D473&lt;&gt;"",SUMIFS(Times!$G$2:G473,$AA$2:AA473,AA473,$AK$2:AK473,"Y"),"")</f>
        <v/>
      </c>
      <c r="AG473" s="154" t="str">
        <f>IF(Times!D473&lt;&gt;"",IF(AND(Times!J473="M",AI473+AL473=AM473,AK473="Y"),AF473,""),"")</f>
        <v/>
      </c>
      <c r="AH473" s="154" t="str">
        <f>IF(Times!D473&lt;&gt;"",IF(AND(Times!J473="F",AI473+AL473=AM473,AK473="Y"),AF473,""),"")</f>
        <v/>
      </c>
      <c r="AI473" s="154">
        <f>COUNTIF(Z$2:Z473,CONCATENATE("V",AA473))</f>
        <v>0</v>
      </c>
      <c r="AJ473" s="154">
        <f>COUNTIF(Z$2:Z473,CONCATENATE("S",AA473))</f>
        <v>0</v>
      </c>
      <c r="AK473" s="154" t="e">
        <f t="shared" si="101"/>
        <v>#VALUE!</v>
      </c>
      <c r="AL473" s="154">
        <f>IF(AND(Times!J473="M",AJ473&gt;3),3, IF(AND(Times!J473="F",AJ473&gt;2),2,AJ473))</f>
        <v>0</v>
      </c>
      <c r="AM473" s="154" t="str">
        <f>IF(Times!J473="M",6, IF(Times!J473="F",4,""))</f>
        <v/>
      </c>
      <c r="AN473" s="154" t="str">
        <f t="shared" si="102"/>
        <v/>
      </c>
      <c r="AO473" s="154" t="str">
        <f t="shared" si="103"/>
        <v/>
      </c>
    </row>
    <row r="474" spans="26:41" x14ac:dyDescent="0.25">
      <c r="Z474" s="154" t="str">
        <f>CONCATENATE(AE474,Times!AD474)</f>
        <v/>
      </c>
      <c r="AA474" s="154" t="str">
        <f>Times!AD474</f>
        <v/>
      </c>
      <c r="AB474" s="154" t="e">
        <f>IF(AK474="Y",CONCATENATE(AA474,COUNTIFS($AK$2:AK474,"=Y",$AA$2:AA474,AA474)),"")</f>
        <v>#VALUE!</v>
      </c>
      <c r="AC474" s="154" t="str">
        <f>Times!K474</f>
        <v/>
      </c>
      <c r="AD474" s="154">
        <f>Times!G474</f>
        <v>168</v>
      </c>
      <c r="AE474" s="154" t="str">
        <f>IF(Times!D474&lt;&gt;"",IF(ISERR(SEARCH("V",Times!I474,1)),IF(ISERR(SEARCH("S",Times!I474,1)),"S","S"),"V"),"")</f>
        <v/>
      </c>
      <c r="AF474" s="161" t="str">
        <f>IF(Times!D474&lt;&gt;"",SUMIFS(Times!$G$2:G474,$AA$2:AA474,AA474,$AK$2:AK474,"Y"),"")</f>
        <v/>
      </c>
      <c r="AG474" s="154" t="str">
        <f>IF(Times!D474&lt;&gt;"",IF(AND(Times!J474="M",AI474+AL474=AM474,AK474="Y"),AF474,""),"")</f>
        <v/>
      </c>
      <c r="AH474" s="154" t="str">
        <f>IF(Times!D474&lt;&gt;"",IF(AND(Times!J474="F",AI474+AL474=AM474,AK474="Y"),AF474,""),"")</f>
        <v/>
      </c>
      <c r="AI474" s="154">
        <f>COUNTIF(Z$2:Z474,CONCATENATE("V",AA474))</f>
        <v>0</v>
      </c>
      <c r="AJ474" s="154">
        <f>COUNTIF(Z$2:Z474,CONCATENATE("S",AA474))</f>
        <v>0</v>
      </c>
      <c r="AK474" s="154" t="e">
        <f t="shared" si="101"/>
        <v>#VALUE!</v>
      </c>
      <c r="AL474" s="154">
        <f>IF(AND(Times!J474="M",AJ474&gt;3),3, IF(AND(Times!J474="F",AJ474&gt;2),2,AJ474))</f>
        <v>0</v>
      </c>
      <c r="AM474" s="154" t="str">
        <f>IF(Times!J474="M",6, IF(Times!J474="F",4,""))</f>
        <v/>
      </c>
      <c r="AN474" s="154" t="str">
        <f t="shared" si="102"/>
        <v/>
      </c>
      <c r="AO474" s="154" t="str">
        <f t="shared" si="103"/>
        <v/>
      </c>
    </row>
    <row r="475" spans="26:41" x14ac:dyDescent="0.25">
      <c r="Z475" s="154" t="str">
        <f>CONCATENATE(AE475,Times!AD475)</f>
        <v/>
      </c>
      <c r="AA475" s="154" t="str">
        <f>Times!AD475</f>
        <v/>
      </c>
      <c r="AB475" s="154" t="e">
        <f>IF(AK475="Y",CONCATENATE(AA475,COUNTIFS($AK$2:AK475,"=Y",$AA$2:AA475,AA475)),"")</f>
        <v>#VALUE!</v>
      </c>
      <c r="AC475" s="154" t="str">
        <f>Times!K475</f>
        <v/>
      </c>
      <c r="AD475" s="154">
        <f>Times!G475</f>
        <v>169</v>
      </c>
      <c r="AE475" s="154" t="str">
        <f>IF(Times!D475&lt;&gt;"",IF(ISERR(SEARCH("V",Times!I475,1)),IF(ISERR(SEARCH("S",Times!I475,1)),"S","S"),"V"),"")</f>
        <v/>
      </c>
      <c r="AF475" s="161" t="str">
        <f>IF(Times!D475&lt;&gt;"",SUMIFS(Times!$G$2:G475,$AA$2:AA475,AA475,$AK$2:AK475,"Y"),"")</f>
        <v/>
      </c>
      <c r="AG475" s="154" t="str">
        <f>IF(Times!D475&lt;&gt;"",IF(AND(Times!J475="M",AI475+AL475=AM475,AK475="Y"),AF475,""),"")</f>
        <v/>
      </c>
      <c r="AH475" s="154" t="str">
        <f>IF(Times!D475&lt;&gt;"",IF(AND(Times!J475="F",AI475+AL475=AM475,AK475="Y"),AF475,""),"")</f>
        <v/>
      </c>
      <c r="AI475" s="154">
        <f>COUNTIF(Z$2:Z475,CONCATENATE("V",AA475))</f>
        <v>0</v>
      </c>
      <c r="AJ475" s="154">
        <f>COUNTIF(Z$2:Z475,CONCATENATE("S",AA475))</f>
        <v>0</v>
      </c>
      <c r="AK475" s="154" t="e">
        <f t="shared" si="101"/>
        <v>#VALUE!</v>
      </c>
      <c r="AL475" s="154">
        <f>IF(AND(Times!J475="M",AJ475&gt;3),3, IF(AND(Times!J475="F",AJ475&gt;2),2,AJ475))</f>
        <v>0</v>
      </c>
      <c r="AM475" s="154" t="str">
        <f>IF(Times!J475="M",6, IF(Times!J475="F",4,""))</f>
        <v/>
      </c>
      <c r="AN475" s="154" t="str">
        <f t="shared" si="102"/>
        <v/>
      </c>
      <c r="AO475" s="154" t="str">
        <f t="shared" si="103"/>
        <v/>
      </c>
    </row>
    <row r="476" spans="26:41" x14ac:dyDescent="0.25">
      <c r="Z476" s="154" t="str">
        <f>CONCATENATE(AE476,Times!AD476)</f>
        <v/>
      </c>
      <c r="AA476" s="154" t="str">
        <f>Times!AD476</f>
        <v/>
      </c>
      <c r="AB476" s="154" t="e">
        <f>IF(AK476="Y",CONCATENATE(AA476,COUNTIFS($AK$2:AK476,"=Y",$AA$2:AA476,AA476)),"")</f>
        <v>#VALUE!</v>
      </c>
      <c r="AC476" s="154" t="str">
        <f>Times!K476</f>
        <v/>
      </c>
      <c r="AD476" s="154">
        <f>Times!G476</f>
        <v>170</v>
      </c>
      <c r="AE476" s="154" t="str">
        <f>IF(Times!D476&lt;&gt;"",IF(ISERR(SEARCH("V",Times!I476,1)),IF(ISERR(SEARCH("S",Times!I476,1)),"S","S"),"V"),"")</f>
        <v/>
      </c>
      <c r="AF476" s="161" t="str">
        <f>IF(Times!D476&lt;&gt;"",SUMIFS(Times!$G$2:G476,$AA$2:AA476,AA476,$AK$2:AK476,"Y"),"")</f>
        <v/>
      </c>
      <c r="AG476" s="154" t="str">
        <f>IF(Times!D476&lt;&gt;"",IF(AND(Times!J476="M",AI476+AL476=AM476,AK476="Y"),AF476,""),"")</f>
        <v/>
      </c>
      <c r="AH476" s="154" t="str">
        <f>IF(Times!D476&lt;&gt;"",IF(AND(Times!J476="F",AI476+AL476=AM476,AK476="Y"),AF476,""),"")</f>
        <v/>
      </c>
      <c r="AI476" s="154">
        <f>COUNTIF(Z$2:Z476,CONCATENATE("V",AA476))</f>
        <v>0</v>
      </c>
      <c r="AJ476" s="154">
        <f>COUNTIF(Z$2:Z476,CONCATENATE("S",AA476))</f>
        <v>0</v>
      </c>
      <c r="AK476" s="154" t="e">
        <f t="shared" si="101"/>
        <v>#VALUE!</v>
      </c>
      <c r="AL476" s="154">
        <f>IF(AND(Times!J476="M",AJ476&gt;3),3, IF(AND(Times!J476="F",AJ476&gt;2),2,AJ476))</f>
        <v>0</v>
      </c>
      <c r="AM476" s="154" t="str">
        <f>IF(Times!J476="M",6, IF(Times!J476="F",4,""))</f>
        <v/>
      </c>
      <c r="AN476" s="154" t="str">
        <f t="shared" si="102"/>
        <v/>
      </c>
      <c r="AO476" s="154" t="str">
        <f t="shared" si="103"/>
        <v/>
      </c>
    </row>
    <row r="477" spans="26:41" x14ac:dyDescent="0.25">
      <c r="Z477" s="154" t="str">
        <f>CONCATENATE(AE477,Times!AD477)</f>
        <v/>
      </c>
      <c r="AA477" s="154" t="str">
        <f>Times!AD477</f>
        <v/>
      </c>
      <c r="AB477" s="154" t="e">
        <f>IF(AK477="Y",CONCATENATE(AA477,COUNTIFS($AK$2:AK477,"=Y",$AA$2:AA477,AA477)),"")</f>
        <v>#VALUE!</v>
      </c>
      <c r="AC477" s="154" t="str">
        <f>Times!K477</f>
        <v/>
      </c>
      <c r="AD477" s="154">
        <f>Times!G477</f>
        <v>171</v>
      </c>
      <c r="AE477" s="154" t="str">
        <f>IF(Times!D477&lt;&gt;"",IF(ISERR(SEARCH("V",Times!I477,1)),IF(ISERR(SEARCH("S",Times!I477,1)),"S","S"),"V"),"")</f>
        <v/>
      </c>
      <c r="AF477" s="161" t="str">
        <f>IF(Times!D477&lt;&gt;"",SUMIFS(Times!$G$2:G477,$AA$2:AA477,AA477,$AK$2:AK477,"Y"),"")</f>
        <v/>
      </c>
      <c r="AG477" s="154" t="str">
        <f>IF(Times!D477&lt;&gt;"",IF(AND(Times!J477="M",AI477+AL477=AM477,AK477="Y"),AF477,""),"")</f>
        <v/>
      </c>
      <c r="AH477" s="154" t="str">
        <f>IF(Times!D477&lt;&gt;"",IF(AND(Times!J477="F",AI477+AL477=AM477,AK477="Y"),AF477,""),"")</f>
        <v/>
      </c>
      <c r="AI477" s="154">
        <f>COUNTIF(Z$2:Z477,CONCATENATE("V",AA477))</f>
        <v>0</v>
      </c>
      <c r="AJ477" s="154">
        <f>COUNTIF(Z$2:Z477,CONCATENATE("S",AA477))</f>
        <v>0</v>
      </c>
      <c r="AK477" s="154" t="e">
        <f t="shared" si="101"/>
        <v>#VALUE!</v>
      </c>
      <c r="AL477" s="154">
        <f>IF(AND(Times!J477="M",AJ477&gt;3),3, IF(AND(Times!J477="F",AJ477&gt;2),2,AJ477))</f>
        <v>0</v>
      </c>
      <c r="AM477" s="154" t="str">
        <f>IF(Times!J477="M",6, IF(Times!J477="F",4,""))</f>
        <v/>
      </c>
      <c r="AN477" s="154" t="str">
        <f t="shared" si="102"/>
        <v/>
      </c>
      <c r="AO477" s="154" t="str">
        <f t="shared" si="103"/>
        <v/>
      </c>
    </row>
    <row r="478" spans="26:41" x14ac:dyDescent="0.25">
      <c r="Z478" s="154" t="str">
        <f>CONCATENATE(AE478,Times!AD478)</f>
        <v/>
      </c>
      <c r="AA478" s="154" t="str">
        <f>Times!AD478</f>
        <v/>
      </c>
      <c r="AB478" s="154" t="e">
        <f>IF(AK478="Y",CONCATENATE(AA478,COUNTIFS($AK$2:AK478,"=Y",$AA$2:AA478,AA478)),"")</f>
        <v>#VALUE!</v>
      </c>
      <c r="AC478" s="154" t="str">
        <f>Times!K478</f>
        <v/>
      </c>
      <c r="AD478" s="154">
        <f>Times!G478</f>
        <v>172</v>
      </c>
      <c r="AE478" s="154" t="str">
        <f>IF(Times!D478&lt;&gt;"",IF(ISERR(SEARCH("V",Times!I478,1)),IF(ISERR(SEARCH("S",Times!I478,1)),"S","S"),"V"),"")</f>
        <v/>
      </c>
      <c r="AF478" s="161" t="str">
        <f>IF(Times!D478&lt;&gt;"",SUMIFS(Times!$G$2:G478,$AA$2:AA478,AA478,$AK$2:AK478,"Y"),"")</f>
        <v/>
      </c>
      <c r="AG478" s="154" t="str">
        <f>IF(Times!D478&lt;&gt;"",IF(AND(Times!J478="M",AI478+AL478=AM478,AK478="Y"),AF478,""),"")</f>
        <v/>
      </c>
      <c r="AH478" s="154" t="str">
        <f>IF(Times!D478&lt;&gt;"",IF(AND(Times!J478="F",AI478+AL478=AM478,AK478="Y"),AF478,""),"")</f>
        <v/>
      </c>
      <c r="AI478" s="154">
        <f>COUNTIF(Z$2:Z478,CONCATENATE("V",AA478))</f>
        <v>0</v>
      </c>
      <c r="AJ478" s="154">
        <f>COUNTIF(Z$2:Z478,CONCATENATE("S",AA478))</f>
        <v>0</v>
      </c>
      <c r="AK478" s="154" t="e">
        <f t="shared" si="101"/>
        <v>#VALUE!</v>
      </c>
      <c r="AL478" s="154">
        <f>IF(AND(Times!J478="M",AJ478&gt;3),3, IF(AND(Times!J478="F",AJ478&gt;2),2,AJ478))</f>
        <v>0</v>
      </c>
      <c r="AM478" s="154" t="str">
        <f>IF(Times!J478="M",6, IF(Times!J478="F",4,""))</f>
        <v/>
      </c>
      <c r="AN478" s="154" t="str">
        <f t="shared" si="102"/>
        <v/>
      </c>
      <c r="AO478" s="154" t="str">
        <f t="shared" si="103"/>
        <v/>
      </c>
    </row>
    <row r="479" spans="26:41" x14ac:dyDescent="0.25">
      <c r="Z479" s="154" t="str">
        <f>CONCATENATE(AE479,Times!AD479)</f>
        <v/>
      </c>
      <c r="AA479" s="154" t="str">
        <f>Times!AD479</f>
        <v/>
      </c>
      <c r="AB479" s="154" t="e">
        <f>IF(AK479="Y",CONCATENATE(AA479,COUNTIFS($AK$2:AK479,"=Y",$AA$2:AA479,AA479)),"")</f>
        <v>#VALUE!</v>
      </c>
      <c r="AC479" s="154" t="str">
        <f>Times!K479</f>
        <v/>
      </c>
      <c r="AD479" s="154">
        <f>Times!G479</f>
        <v>173</v>
      </c>
      <c r="AE479" s="154" t="str">
        <f>IF(Times!D479&lt;&gt;"",IF(ISERR(SEARCH("V",Times!I479,1)),IF(ISERR(SEARCH("S",Times!I479,1)),"S","S"),"V"),"")</f>
        <v/>
      </c>
      <c r="AF479" s="161" t="str">
        <f>IF(Times!D479&lt;&gt;"",SUMIFS(Times!$G$2:G479,$AA$2:AA479,AA479,$AK$2:AK479,"Y"),"")</f>
        <v/>
      </c>
      <c r="AG479" s="154" t="str">
        <f>IF(Times!D479&lt;&gt;"",IF(AND(Times!J479="M",AI479+AL479=AM479,AK479="Y"),AF479,""),"")</f>
        <v/>
      </c>
      <c r="AH479" s="154" t="str">
        <f>IF(Times!D479&lt;&gt;"",IF(AND(Times!J479="F",AI479+AL479=AM479,AK479="Y"),AF479,""),"")</f>
        <v/>
      </c>
      <c r="AI479" s="154">
        <f>COUNTIF(Z$2:Z479,CONCATENATE("V",AA479))</f>
        <v>0</v>
      </c>
      <c r="AJ479" s="154">
        <f>COUNTIF(Z$2:Z479,CONCATENATE("S",AA479))</f>
        <v>0</v>
      </c>
      <c r="AK479" s="154" t="e">
        <f t="shared" si="101"/>
        <v>#VALUE!</v>
      </c>
      <c r="AL479" s="154">
        <f>IF(AND(Times!J479="M",AJ479&gt;3),3, IF(AND(Times!J479="F",AJ479&gt;2),2,AJ479))</f>
        <v>0</v>
      </c>
      <c r="AM479" s="154" t="str">
        <f>IF(Times!J479="M",6, IF(Times!J479="F",4,""))</f>
        <v/>
      </c>
      <c r="AN479" s="154" t="str">
        <f t="shared" si="102"/>
        <v/>
      </c>
      <c r="AO479" s="154" t="str">
        <f t="shared" si="103"/>
        <v/>
      </c>
    </row>
    <row r="480" spans="26:41" x14ac:dyDescent="0.25">
      <c r="Z480" s="154" t="str">
        <f>CONCATENATE(AE480,Times!AD480)</f>
        <v/>
      </c>
      <c r="AA480" s="154" t="str">
        <f>Times!AD480</f>
        <v/>
      </c>
      <c r="AB480" s="154" t="e">
        <f>IF(AK480="Y",CONCATENATE(AA480,COUNTIFS($AK$2:AK480,"=Y",$AA$2:AA480,AA480)),"")</f>
        <v>#VALUE!</v>
      </c>
      <c r="AC480" s="154" t="str">
        <f>Times!K480</f>
        <v/>
      </c>
      <c r="AD480" s="154">
        <f>Times!G480</f>
        <v>174</v>
      </c>
      <c r="AE480" s="154" t="str">
        <f>IF(Times!D480&lt;&gt;"",IF(ISERR(SEARCH("V",Times!I480,1)),IF(ISERR(SEARCH("S",Times!I480,1)),"S","S"),"V"),"")</f>
        <v/>
      </c>
      <c r="AF480" s="161" t="str">
        <f>IF(Times!D480&lt;&gt;"",SUMIFS(Times!$G$2:G480,$AA$2:AA480,AA480,$AK$2:AK480,"Y"),"")</f>
        <v/>
      </c>
      <c r="AG480" s="154" t="str">
        <f>IF(Times!D480&lt;&gt;"",IF(AND(Times!J480="M",AI480+AL480=AM480,AK480="Y"),AF480,""),"")</f>
        <v/>
      </c>
      <c r="AH480" s="154" t="str">
        <f>IF(Times!D480&lt;&gt;"",IF(AND(Times!J480="F",AI480+AL480=AM480,AK480="Y"),AF480,""),"")</f>
        <v/>
      </c>
      <c r="AI480" s="154">
        <f>COUNTIF(Z$2:Z480,CONCATENATE("V",AA480))</f>
        <v>0</v>
      </c>
      <c r="AJ480" s="154">
        <f>COUNTIF(Z$2:Z480,CONCATENATE("S",AA480))</f>
        <v>0</v>
      </c>
      <c r="AK480" s="154" t="e">
        <f t="shared" si="101"/>
        <v>#VALUE!</v>
      </c>
      <c r="AL480" s="154">
        <f>IF(AND(Times!J480="M",AJ480&gt;3),3, IF(AND(Times!J480="F",AJ480&gt;2),2,AJ480))</f>
        <v>0</v>
      </c>
      <c r="AM480" s="154" t="str">
        <f>IF(Times!J480="M",6, IF(Times!J480="F",4,""))</f>
        <v/>
      </c>
      <c r="AN480" s="154" t="str">
        <f t="shared" si="102"/>
        <v/>
      </c>
      <c r="AO480" s="154" t="str">
        <f t="shared" si="103"/>
        <v/>
      </c>
    </row>
    <row r="481" spans="26:41" x14ac:dyDescent="0.25">
      <c r="Z481" s="154" t="str">
        <f>CONCATENATE(AE481,Times!AD481)</f>
        <v/>
      </c>
      <c r="AA481" s="154" t="str">
        <f>Times!AD481</f>
        <v/>
      </c>
      <c r="AB481" s="154" t="e">
        <f>IF(AK481="Y",CONCATENATE(AA481,COUNTIFS($AK$2:AK481,"=Y",$AA$2:AA481,AA481)),"")</f>
        <v>#VALUE!</v>
      </c>
      <c r="AC481" s="154" t="str">
        <f>Times!K481</f>
        <v/>
      </c>
      <c r="AD481" s="154">
        <f>Times!G481</f>
        <v>175</v>
      </c>
      <c r="AE481" s="154" t="str">
        <f>IF(Times!D481&lt;&gt;"",IF(ISERR(SEARCH("V",Times!I481,1)),IF(ISERR(SEARCH("S",Times!I481,1)),"S","S"),"V"),"")</f>
        <v/>
      </c>
      <c r="AF481" s="161" t="str">
        <f>IF(Times!D481&lt;&gt;"",SUMIFS(Times!$G$2:G481,$AA$2:AA481,AA481,$AK$2:AK481,"Y"),"")</f>
        <v/>
      </c>
      <c r="AG481" s="154" t="str">
        <f>IF(Times!D481&lt;&gt;"",IF(AND(Times!J481="M",AI481+AL481=AM481,AK481="Y"),AF481,""),"")</f>
        <v/>
      </c>
      <c r="AH481" s="154" t="str">
        <f>IF(Times!D481&lt;&gt;"",IF(AND(Times!J481="F",AI481+AL481=AM481,AK481="Y"),AF481,""),"")</f>
        <v/>
      </c>
      <c r="AI481" s="154">
        <f>COUNTIF(Z$2:Z481,CONCATENATE("V",AA481))</f>
        <v>0</v>
      </c>
      <c r="AJ481" s="154">
        <f>COUNTIF(Z$2:Z481,CONCATENATE("S",AA481))</f>
        <v>0</v>
      </c>
      <c r="AK481" s="154" t="e">
        <f t="shared" si="101"/>
        <v>#VALUE!</v>
      </c>
      <c r="AL481" s="154">
        <f>IF(AND(Times!J481="M",AJ481&gt;3),3, IF(AND(Times!J481="F",AJ481&gt;2),2,AJ481))</f>
        <v>0</v>
      </c>
      <c r="AM481" s="154" t="str">
        <f>IF(Times!J481="M",6, IF(Times!J481="F",4,""))</f>
        <v/>
      </c>
      <c r="AN481" s="154" t="str">
        <f t="shared" si="102"/>
        <v/>
      </c>
      <c r="AO481" s="154" t="str">
        <f t="shared" si="103"/>
        <v/>
      </c>
    </row>
    <row r="482" spans="26:41" x14ac:dyDescent="0.25">
      <c r="Z482" s="154" t="str">
        <f>CONCATENATE(AE482,Times!AD482)</f>
        <v/>
      </c>
      <c r="AA482" s="154" t="str">
        <f>Times!AD482</f>
        <v/>
      </c>
      <c r="AB482" s="154" t="e">
        <f>IF(AK482="Y",CONCATENATE(AA482,COUNTIFS($AK$2:AK482,"=Y",$AA$2:AA482,AA482)),"")</f>
        <v>#VALUE!</v>
      </c>
      <c r="AC482" s="154" t="str">
        <f>Times!K482</f>
        <v/>
      </c>
      <c r="AD482" s="154">
        <f>Times!G482</f>
        <v>176</v>
      </c>
      <c r="AE482" s="154" t="str">
        <f>IF(Times!D482&lt;&gt;"",IF(ISERR(SEARCH("V",Times!I482,1)),IF(ISERR(SEARCH("S",Times!I482,1)),"S","S"),"V"),"")</f>
        <v/>
      </c>
      <c r="AF482" s="161" t="str">
        <f>IF(Times!D482&lt;&gt;"",SUMIFS(Times!$G$2:G482,$AA$2:AA482,AA482,$AK$2:AK482,"Y"),"")</f>
        <v/>
      </c>
      <c r="AG482" s="154" t="str">
        <f>IF(Times!D482&lt;&gt;"",IF(AND(Times!J482="M",AI482+AL482=AM482,AK482="Y"),AF482,""),"")</f>
        <v/>
      </c>
      <c r="AH482" s="154" t="str">
        <f>IF(Times!D482&lt;&gt;"",IF(AND(Times!J482="F",AI482+AL482=AM482,AK482="Y"),AF482,""),"")</f>
        <v/>
      </c>
      <c r="AI482" s="154">
        <f>COUNTIF(Z$2:Z482,CONCATENATE("V",AA482))</f>
        <v>0</v>
      </c>
      <c r="AJ482" s="154">
        <f>COUNTIF(Z$2:Z482,CONCATENATE("S",AA482))</f>
        <v>0</v>
      </c>
      <c r="AK482" s="154" t="e">
        <f t="shared" si="101"/>
        <v>#VALUE!</v>
      </c>
      <c r="AL482" s="154">
        <f>IF(AND(Times!J482="M",AJ482&gt;3),3, IF(AND(Times!J482="F",AJ482&gt;2),2,AJ482))</f>
        <v>0</v>
      </c>
      <c r="AM482" s="154" t="str">
        <f>IF(Times!J482="M",6, IF(Times!J482="F",4,""))</f>
        <v/>
      </c>
      <c r="AN482" s="154" t="str">
        <f t="shared" si="102"/>
        <v/>
      </c>
      <c r="AO482" s="154" t="str">
        <f t="shared" si="103"/>
        <v/>
      </c>
    </row>
    <row r="483" spans="26:41" x14ac:dyDescent="0.25">
      <c r="Z483" s="154" t="str">
        <f>CONCATENATE(AE483,Times!AD483)</f>
        <v/>
      </c>
      <c r="AA483" s="154" t="str">
        <f>Times!AD483</f>
        <v/>
      </c>
      <c r="AB483" s="154" t="e">
        <f>IF(AK483="Y",CONCATENATE(AA483,COUNTIFS($AK$2:AK483,"=Y",$AA$2:AA483,AA483)),"")</f>
        <v>#VALUE!</v>
      </c>
      <c r="AC483" s="154" t="str">
        <f>Times!K483</f>
        <v/>
      </c>
      <c r="AD483" s="154">
        <f>Times!G483</f>
        <v>177</v>
      </c>
      <c r="AE483" s="154" t="str">
        <f>IF(Times!D483&lt;&gt;"",IF(ISERR(SEARCH("V",Times!I483,1)),IF(ISERR(SEARCH("S",Times!I483,1)),"S","S"),"V"),"")</f>
        <v/>
      </c>
      <c r="AF483" s="161" t="str">
        <f>IF(Times!D483&lt;&gt;"",SUMIFS(Times!$G$2:G483,$AA$2:AA483,AA483,$AK$2:AK483,"Y"),"")</f>
        <v/>
      </c>
      <c r="AG483" s="154" t="str">
        <f>IF(Times!D483&lt;&gt;"",IF(AND(Times!J483="M",AI483+AL483=AM483,AK483="Y"),AF483,""),"")</f>
        <v/>
      </c>
      <c r="AH483" s="154" t="str">
        <f>IF(Times!D483&lt;&gt;"",IF(AND(Times!J483="F",AI483+AL483=AM483,AK483="Y"),AF483,""),"")</f>
        <v/>
      </c>
      <c r="AI483" s="154">
        <f>COUNTIF(Z$2:Z483,CONCATENATE("V",AA483))</f>
        <v>0</v>
      </c>
      <c r="AJ483" s="154">
        <f>COUNTIF(Z$2:Z483,CONCATENATE("S",AA483))</f>
        <v>0</v>
      </c>
      <c r="AK483" s="154" t="e">
        <f t="shared" si="101"/>
        <v>#VALUE!</v>
      </c>
      <c r="AL483" s="154">
        <f>IF(AND(Times!J483="M",AJ483&gt;3),3, IF(AND(Times!J483="F",AJ483&gt;2),2,AJ483))</f>
        <v>0</v>
      </c>
      <c r="AM483" s="154" t="str">
        <f>IF(Times!J483="M",6, IF(Times!J483="F",4,""))</f>
        <v/>
      </c>
      <c r="AN483" s="154" t="str">
        <f t="shared" si="102"/>
        <v/>
      </c>
      <c r="AO483" s="154" t="str">
        <f t="shared" si="103"/>
        <v/>
      </c>
    </row>
    <row r="484" spans="26:41" x14ac:dyDescent="0.25">
      <c r="Z484" s="154" t="str">
        <f>CONCATENATE(AE484,Times!AD484)</f>
        <v/>
      </c>
      <c r="AA484" s="154" t="str">
        <f>Times!AD484</f>
        <v/>
      </c>
      <c r="AB484" s="154" t="e">
        <f>IF(AK484="Y",CONCATENATE(AA484,COUNTIFS($AK$2:AK484,"=Y",$AA$2:AA484,AA484)),"")</f>
        <v>#VALUE!</v>
      </c>
      <c r="AC484" s="154" t="str">
        <f>Times!K484</f>
        <v/>
      </c>
      <c r="AD484" s="154">
        <f>Times!G484</f>
        <v>178</v>
      </c>
      <c r="AE484" s="154" t="str">
        <f>IF(Times!D484&lt;&gt;"",IF(ISERR(SEARCH("V",Times!I484,1)),IF(ISERR(SEARCH("S",Times!I484,1)),"S","S"),"V"),"")</f>
        <v/>
      </c>
      <c r="AF484" s="161" t="str">
        <f>IF(Times!D484&lt;&gt;"",SUMIFS(Times!$G$2:G484,$AA$2:AA484,AA484,$AK$2:AK484,"Y"),"")</f>
        <v/>
      </c>
      <c r="AG484" s="154" t="str">
        <f>IF(Times!D484&lt;&gt;"",IF(AND(Times!J484="M",AI484+AL484=AM484,AK484="Y"),AF484,""),"")</f>
        <v/>
      </c>
      <c r="AH484" s="154" t="str">
        <f>IF(Times!D484&lt;&gt;"",IF(AND(Times!J484="F",AI484+AL484=AM484,AK484="Y"),AF484,""),"")</f>
        <v/>
      </c>
      <c r="AI484" s="154">
        <f>COUNTIF(Z$2:Z484,CONCATENATE("V",AA484))</f>
        <v>0</v>
      </c>
      <c r="AJ484" s="154">
        <f>COUNTIF(Z$2:Z484,CONCATENATE("S",AA484))</f>
        <v>0</v>
      </c>
      <c r="AK484" s="154" t="e">
        <f t="shared" si="101"/>
        <v>#VALUE!</v>
      </c>
      <c r="AL484" s="154">
        <f>IF(AND(Times!J484="M",AJ484&gt;3),3, IF(AND(Times!J484="F",AJ484&gt;2),2,AJ484))</f>
        <v>0</v>
      </c>
      <c r="AM484" s="154" t="str">
        <f>IF(Times!J484="M",6, IF(Times!J484="F",4,""))</f>
        <v/>
      </c>
      <c r="AN484" s="154" t="str">
        <f t="shared" si="102"/>
        <v/>
      </c>
      <c r="AO484" s="154" t="str">
        <f t="shared" si="103"/>
        <v/>
      </c>
    </row>
    <row r="485" spans="26:41" x14ac:dyDescent="0.25">
      <c r="Z485" s="154" t="str">
        <f>CONCATENATE(AE485,Times!AD485)</f>
        <v/>
      </c>
      <c r="AA485" s="154" t="str">
        <f>Times!AD485</f>
        <v/>
      </c>
      <c r="AB485" s="154" t="e">
        <f>IF(AK485="Y",CONCATENATE(AA485,COUNTIFS($AK$2:AK485,"=Y",$AA$2:AA485,AA485)),"")</f>
        <v>#VALUE!</v>
      </c>
      <c r="AC485" s="154" t="str">
        <f>Times!K485</f>
        <v/>
      </c>
      <c r="AD485" s="154">
        <f>Times!G485</f>
        <v>179</v>
      </c>
      <c r="AE485" s="154" t="str">
        <f>IF(Times!D485&lt;&gt;"",IF(ISERR(SEARCH("V",Times!I485,1)),IF(ISERR(SEARCH("S",Times!I485,1)),"S","S"),"V"),"")</f>
        <v/>
      </c>
      <c r="AF485" s="161" t="str">
        <f>IF(Times!D485&lt;&gt;"",SUMIFS(Times!$G$2:G485,$AA$2:AA485,AA485,$AK$2:AK485,"Y"),"")</f>
        <v/>
      </c>
      <c r="AG485" s="154" t="str">
        <f>IF(Times!D485&lt;&gt;"",IF(AND(Times!J485="M",AI485+AL485=AM485,AK485="Y"),AF485,""),"")</f>
        <v/>
      </c>
      <c r="AH485" s="154" t="str">
        <f>IF(Times!D485&lt;&gt;"",IF(AND(Times!J485="F",AI485+AL485=AM485,AK485="Y"),AF485,""),"")</f>
        <v/>
      </c>
      <c r="AI485" s="154">
        <f>COUNTIF(Z$2:Z485,CONCATENATE("V",AA485))</f>
        <v>0</v>
      </c>
      <c r="AJ485" s="154">
        <f>COUNTIF(Z$2:Z485,CONCATENATE("S",AA485))</f>
        <v>0</v>
      </c>
      <c r="AK485" s="154" t="e">
        <f t="shared" si="101"/>
        <v>#VALUE!</v>
      </c>
      <c r="AL485" s="154">
        <f>IF(AND(Times!J485="M",AJ485&gt;3),3, IF(AND(Times!J485="F",AJ485&gt;2),2,AJ485))</f>
        <v>0</v>
      </c>
      <c r="AM485" s="154" t="str">
        <f>IF(Times!J485="M",6, IF(Times!J485="F",4,""))</f>
        <v/>
      </c>
      <c r="AN485" s="154" t="str">
        <f t="shared" si="102"/>
        <v/>
      </c>
      <c r="AO485" s="154" t="str">
        <f t="shared" si="103"/>
        <v/>
      </c>
    </row>
    <row r="486" spans="26:41" x14ac:dyDescent="0.25">
      <c r="Z486" s="154" t="str">
        <f>CONCATENATE(AE486,Times!AD486)</f>
        <v/>
      </c>
      <c r="AA486" s="154" t="str">
        <f>Times!AD486</f>
        <v/>
      </c>
      <c r="AB486" s="154" t="e">
        <f>IF(AK486="Y",CONCATENATE(AA486,COUNTIFS($AK$2:AK486,"=Y",$AA$2:AA486,AA486)),"")</f>
        <v>#VALUE!</v>
      </c>
      <c r="AC486" s="154" t="str">
        <f>Times!K486</f>
        <v/>
      </c>
      <c r="AD486" s="154">
        <f>Times!G486</f>
        <v>180</v>
      </c>
      <c r="AE486" s="154" t="str">
        <f>IF(Times!D486&lt;&gt;"",IF(ISERR(SEARCH("V",Times!I486,1)),IF(ISERR(SEARCH("S",Times!I486,1)),"S","S"),"V"),"")</f>
        <v/>
      </c>
      <c r="AF486" s="161" t="str">
        <f>IF(Times!D486&lt;&gt;"",SUMIFS(Times!$G$2:G486,$AA$2:AA486,AA486,$AK$2:AK486,"Y"),"")</f>
        <v/>
      </c>
      <c r="AG486" s="154" t="str">
        <f>IF(Times!D486&lt;&gt;"",IF(AND(Times!J486="M",AI486+AL486=AM486,AK486="Y"),AF486,""),"")</f>
        <v/>
      </c>
      <c r="AH486" s="154" t="str">
        <f>IF(Times!D486&lt;&gt;"",IF(AND(Times!J486="F",AI486+AL486=AM486,AK486="Y"),AF486,""),"")</f>
        <v/>
      </c>
      <c r="AI486" s="154">
        <f>COUNTIF(Z$2:Z486,CONCATENATE("V",AA486))</f>
        <v>0</v>
      </c>
      <c r="AJ486" s="154">
        <f>COUNTIF(Z$2:Z486,CONCATENATE("S",AA486))</f>
        <v>0</v>
      </c>
      <c r="AK486" s="154" t="e">
        <f t="shared" si="101"/>
        <v>#VALUE!</v>
      </c>
      <c r="AL486" s="154">
        <f>IF(AND(Times!J486="M",AJ486&gt;3),3, IF(AND(Times!J486="F",AJ486&gt;2),2,AJ486))</f>
        <v>0</v>
      </c>
      <c r="AM486" s="154" t="str">
        <f>IF(Times!J486="M",6, IF(Times!J486="F",4,""))</f>
        <v/>
      </c>
      <c r="AN486" s="154" t="str">
        <f t="shared" si="102"/>
        <v/>
      </c>
      <c r="AO486" s="154" t="str">
        <f t="shared" si="103"/>
        <v/>
      </c>
    </row>
    <row r="487" spans="26:41" x14ac:dyDescent="0.25">
      <c r="Z487" s="154" t="str">
        <f>CONCATENATE(AE487,Times!AD487)</f>
        <v/>
      </c>
      <c r="AA487" s="154" t="str">
        <f>Times!AD487</f>
        <v/>
      </c>
      <c r="AB487" s="154" t="e">
        <f>IF(AK487="Y",CONCATENATE(AA487,COUNTIFS($AK$2:AK487,"=Y",$AA$2:AA487,AA487)),"")</f>
        <v>#VALUE!</v>
      </c>
      <c r="AC487" s="154" t="str">
        <f>Times!K487</f>
        <v/>
      </c>
      <c r="AD487" s="154">
        <f>Times!G487</f>
        <v>181</v>
      </c>
      <c r="AE487" s="154" t="str">
        <f>IF(Times!D487&lt;&gt;"",IF(ISERR(SEARCH("V",Times!I487,1)),IF(ISERR(SEARCH("S",Times!I487,1)),"S","S"),"V"),"")</f>
        <v/>
      </c>
      <c r="AF487" s="161" t="str">
        <f>IF(Times!D487&lt;&gt;"",SUMIFS(Times!$G$2:G487,$AA$2:AA487,AA487,$AK$2:AK487,"Y"),"")</f>
        <v/>
      </c>
      <c r="AG487" s="154" t="str">
        <f>IF(Times!D487&lt;&gt;"",IF(AND(Times!J487="M",AI487+AL487=AM487,AK487="Y"),AF487,""),"")</f>
        <v/>
      </c>
      <c r="AH487" s="154" t="str">
        <f>IF(Times!D487&lt;&gt;"",IF(AND(Times!J487="F",AI487+AL487=AM487,AK487="Y"),AF487,""),"")</f>
        <v/>
      </c>
      <c r="AI487" s="154">
        <f>COUNTIF(Z$2:Z487,CONCATENATE("V",AA487))</f>
        <v>0</v>
      </c>
      <c r="AJ487" s="154">
        <f>COUNTIF(Z$2:Z487,CONCATENATE("S",AA487))</f>
        <v>0</v>
      </c>
      <c r="AK487" s="154" t="e">
        <f t="shared" si="101"/>
        <v>#VALUE!</v>
      </c>
      <c r="AL487" s="154">
        <f>IF(AND(Times!J487="M",AJ487&gt;3),3, IF(AND(Times!J487="F",AJ487&gt;2),2,AJ487))</f>
        <v>0</v>
      </c>
      <c r="AM487" s="154" t="str">
        <f>IF(Times!J487="M",6, IF(Times!J487="F",4,""))</f>
        <v/>
      </c>
      <c r="AN487" s="154" t="str">
        <f t="shared" si="102"/>
        <v/>
      </c>
      <c r="AO487" s="154" t="str">
        <f t="shared" si="103"/>
        <v/>
      </c>
    </row>
    <row r="488" spans="26:41" x14ac:dyDescent="0.25">
      <c r="Z488" s="154" t="str">
        <f>CONCATENATE(AE488,Times!AD488)</f>
        <v/>
      </c>
      <c r="AA488" s="154" t="str">
        <f>Times!AD488</f>
        <v/>
      </c>
      <c r="AB488" s="154" t="e">
        <f>IF(AK488="Y",CONCATENATE(AA488,COUNTIFS($AK$2:AK488,"=Y",$AA$2:AA488,AA488)),"")</f>
        <v>#VALUE!</v>
      </c>
      <c r="AC488" s="154" t="str">
        <f>Times!K488</f>
        <v/>
      </c>
      <c r="AD488" s="154">
        <f>Times!G488</f>
        <v>182</v>
      </c>
      <c r="AE488" s="154" t="str">
        <f>IF(Times!D488&lt;&gt;"",IF(ISERR(SEARCH("V",Times!I488,1)),IF(ISERR(SEARCH("S",Times!I488,1)),"S","S"),"V"),"")</f>
        <v/>
      </c>
      <c r="AF488" s="161" t="str">
        <f>IF(Times!D488&lt;&gt;"",SUMIFS(Times!$G$2:G488,$AA$2:AA488,AA488,$AK$2:AK488,"Y"),"")</f>
        <v/>
      </c>
      <c r="AG488" s="154" t="str">
        <f>IF(Times!D488&lt;&gt;"",IF(AND(Times!J488="M",AI488+AL488=AM488,AK488="Y"),AF488,""),"")</f>
        <v/>
      </c>
      <c r="AH488" s="154" t="str">
        <f>IF(Times!D488&lt;&gt;"",IF(AND(Times!J488="F",AI488+AL488=AM488,AK488="Y"),AF488,""),"")</f>
        <v/>
      </c>
      <c r="AI488" s="154">
        <f>COUNTIF(Z$2:Z488,CONCATENATE("V",AA488))</f>
        <v>0</v>
      </c>
      <c r="AJ488" s="154">
        <f>COUNTIF(Z$2:Z488,CONCATENATE("S",AA488))</f>
        <v>0</v>
      </c>
      <c r="AK488" s="154" t="e">
        <f t="shared" si="101"/>
        <v>#VALUE!</v>
      </c>
      <c r="AL488" s="154">
        <f>IF(AND(Times!J488="M",AJ488&gt;3),3, IF(AND(Times!J488="F",AJ488&gt;2),2,AJ488))</f>
        <v>0</v>
      </c>
      <c r="AM488" s="154" t="str">
        <f>IF(Times!J488="M",6, IF(Times!J488="F",4,""))</f>
        <v/>
      </c>
      <c r="AN488" s="154" t="str">
        <f t="shared" si="102"/>
        <v/>
      </c>
      <c r="AO488" s="154" t="str">
        <f t="shared" si="103"/>
        <v/>
      </c>
    </row>
    <row r="489" spans="26:41" x14ac:dyDescent="0.25">
      <c r="Z489" s="154" t="str">
        <f>CONCATENATE(AE489,Times!AD489)</f>
        <v/>
      </c>
      <c r="AA489" s="154" t="str">
        <f>Times!AD489</f>
        <v/>
      </c>
      <c r="AB489" s="154" t="e">
        <f>IF(AK489="Y",CONCATENATE(AA489,COUNTIFS($AK$2:AK489,"=Y",$AA$2:AA489,AA489)),"")</f>
        <v>#VALUE!</v>
      </c>
      <c r="AC489" s="154" t="str">
        <f>Times!K489</f>
        <v/>
      </c>
      <c r="AD489" s="154">
        <f>Times!G489</f>
        <v>183</v>
      </c>
      <c r="AE489" s="154" t="str">
        <f>IF(Times!D489&lt;&gt;"",IF(ISERR(SEARCH("V",Times!I489,1)),IF(ISERR(SEARCH("S",Times!I489,1)),"S","S"),"V"),"")</f>
        <v/>
      </c>
      <c r="AF489" s="161" t="str">
        <f>IF(Times!D489&lt;&gt;"",SUMIFS(Times!$G$2:G489,$AA$2:AA489,AA489,$AK$2:AK489,"Y"),"")</f>
        <v/>
      </c>
      <c r="AG489" s="154" t="str">
        <f>IF(Times!D489&lt;&gt;"",IF(AND(Times!J489="M",AI489+AL489=AM489,AK489="Y"),AF489,""),"")</f>
        <v/>
      </c>
      <c r="AH489" s="154" t="str">
        <f>IF(Times!D489&lt;&gt;"",IF(AND(Times!J489="F",AI489+AL489=AM489,AK489="Y"),AF489,""),"")</f>
        <v/>
      </c>
      <c r="AI489" s="154">
        <f>COUNTIF(Z$2:Z489,CONCATENATE("V",AA489))</f>
        <v>0</v>
      </c>
      <c r="AJ489" s="154">
        <f>COUNTIF(Z$2:Z489,CONCATENATE("S",AA489))</f>
        <v>0</v>
      </c>
      <c r="AK489" s="154" t="e">
        <f t="shared" si="101"/>
        <v>#VALUE!</v>
      </c>
      <c r="AL489" s="154">
        <f>IF(AND(Times!J489="M",AJ489&gt;3),3, IF(AND(Times!J489="F",AJ489&gt;2),2,AJ489))</f>
        <v>0</v>
      </c>
      <c r="AM489" s="154" t="str">
        <f>IF(Times!J489="M",6, IF(Times!J489="F",4,""))</f>
        <v/>
      </c>
      <c r="AN489" s="154" t="str">
        <f t="shared" si="102"/>
        <v/>
      </c>
      <c r="AO489" s="154" t="str">
        <f t="shared" si="103"/>
        <v/>
      </c>
    </row>
    <row r="490" spans="26:41" x14ac:dyDescent="0.25">
      <c r="Z490" s="154" t="str">
        <f>CONCATENATE(AE490,Times!AD490)</f>
        <v/>
      </c>
      <c r="AA490" s="154" t="str">
        <f>Times!AD490</f>
        <v/>
      </c>
      <c r="AB490" s="154" t="e">
        <f>IF(AK490="Y",CONCATENATE(AA490,COUNTIFS($AK$2:AK490,"=Y",$AA$2:AA490,AA490)),"")</f>
        <v>#VALUE!</v>
      </c>
      <c r="AC490" s="154" t="str">
        <f>Times!K490</f>
        <v/>
      </c>
      <c r="AD490" s="154">
        <f>Times!G490</f>
        <v>184</v>
      </c>
      <c r="AE490" s="154" t="str">
        <f>IF(Times!D490&lt;&gt;"",IF(ISERR(SEARCH("V",Times!I490,1)),IF(ISERR(SEARCH("S",Times!I490,1)),"S","S"),"V"),"")</f>
        <v/>
      </c>
      <c r="AF490" s="161" t="str">
        <f>IF(Times!D490&lt;&gt;"",SUMIFS(Times!$G$2:G490,$AA$2:AA490,AA490,$AK$2:AK490,"Y"),"")</f>
        <v/>
      </c>
      <c r="AG490" s="154" t="str">
        <f>IF(Times!D490&lt;&gt;"",IF(AND(Times!J490="M",AI490+AL490=AM490,AK490="Y"),AF490,""),"")</f>
        <v/>
      </c>
      <c r="AH490" s="154" t="str">
        <f>IF(Times!D490&lt;&gt;"",IF(AND(Times!J490="F",AI490+AL490=AM490,AK490="Y"),AF490,""),"")</f>
        <v/>
      </c>
      <c r="AI490" s="154">
        <f>COUNTIF(Z$2:Z490,CONCATENATE("V",AA490))</f>
        <v>0</v>
      </c>
      <c r="AJ490" s="154">
        <f>COUNTIF(Z$2:Z490,CONCATENATE("S",AA490))</f>
        <v>0</v>
      </c>
      <c r="AK490" s="154" t="e">
        <f t="shared" si="101"/>
        <v>#VALUE!</v>
      </c>
      <c r="AL490" s="154">
        <f>IF(AND(Times!J490="M",AJ490&gt;3),3, IF(AND(Times!J490="F",AJ490&gt;2),2,AJ490))</f>
        <v>0</v>
      </c>
      <c r="AM490" s="154" t="str">
        <f>IF(Times!J490="M",6, IF(Times!J490="F",4,""))</f>
        <v/>
      </c>
      <c r="AN490" s="154" t="str">
        <f t="shared" si="102"/>
        <v/>
      </c>
      <c r="AO490" s="154" t="str">
        <f t="shared" si="103"/>
        <v/>
      </c>
    </row>
    <row r="491" spans="26:41" x14ac:dyDescent="0.25">
      <c r="Z491" s="154" t="str">
        <f>CONCATENATE(AE491,Times!AD491)</f>
        <v/>
      </c>
      <c r="AA491" s="154" t="str">
        <f>Times!AD491</f>
        <v/>
      </c>
      <c r="AB491" s="154" t="e">
        <f>IF(AK491="Y",CONCATENATE(AA491,COUNTIFS($AK$2:AK491,"=Y",$AA$2:AA491,AA491)),"")</f>
        <v>#VALUE!</v>
      </c>
      <c r="AC491" s="154" t="str">
        <f>Times!K491</f>
        <v/>
      </c>
      <c r="AD491" s="154">
        <f>Times!G491</f>
        <v>185</v>
      </c>
      <c r="AE491" s="154" t="str">
        <f>IF(Times!D491&lt;&gt;"",IF(ISERR(SEARCH("V",Times!I491,1)),IF(ISERR(SEARCH("S",Times!I491,1)),"S","S"),"V"),"")</f>
        <v/>
      </c>
      <c r="AF491" s="161" t="str">
        <f>IF(Times!D491&lt;&gt;"",SUMIFS(Times!$G$2:G491,$AA$2:AA491,AA491,$AK$2:AK491,"Y"),"")</f>
        <v/>
      </c>
      <c r="AG491" s="154" t="str">
        <f>IF(Times!D491&lt;&gt;"",IF(AND(Times!J491="M",AI491+AL491=AM491,AK491="Y"),AF491,""),"")</f>
        <v/>
      </c>
      <c r="AH491" s="154" t="str">
        <f>IF(Times!D491&lt;&gt;"",IF(AND(Times!J491="F",AI491+AL491=AM491,AK491="Y"),AF491,""),"")</f>
        <v/>
      </c>
      <c r="AI491" s="154">
        <f>COUNTIF(Z$2:Z491,CONCATENATE("V",AA491))</f>
        <v>0</v>
      </c>
      <c r="AJ491" s="154">
        <f>COUNTIF(Z$2:Z491,CONCATENATE("S",AA491))</f>
        <v>0</v>
      </c>
      <c r="AK491" s="154" t="e">
        <f t="shared" si="101"/>
        <v>#VALUE!</v>
      </c>
      <c r="AL491" s="154">
        <f>IF(AND(Times!J491="M",AJ491&gt;3),3, IF(AND(Times!J491="F",AJ491&gt;2),2,AJ491))</f>
        <v>0</v>
      </c>
      <c r="AM491" s="154" t="str">
        <f>IF(Times!J491="M",6, IF(Times!J491="F",4,""))</f>
        <v/>
      </c>
      <c r="AN491" s="154" t="str">
        <f t="shared" si="102"/>
        <v/>
      </c>
      <c r="AO491" s="154" t="str">
        <f t="shared" si="103"/>
        <v/>
      </c>
    </row>
    <row r="492" spans="26:41" x14ac:dyDescent="0.25">
      <c r="Z492" s="154" t="str">
        <f>CONCATENATE(AE492,Times!AD492)</f>
        <v/>
      </c>
      <c r="AA492" s="154" t="str">
        <f>Times!AD492</f>
        <v/>
      </c>
      <c r="AB492" s="154" t="e">
        <f>IF(AK492="Y",CONCATENATE(AA492,COUNTIFS($AK$2:AK492,"=Y",$AA$2:AA492,AA492)),"")</f>
        <v>#VALUE!</v>
      </c>
      <c r="AC492" s="154" t="str">
        <f>Times!K492</f>
        <v/>
      </c>
      <c r="AD492" s="154">
        <f>Times!G492</f>
        <v>186</v>
      </c>
      <c r="AE492" s="154" t="str">
        <f>IF(Times!D492&lt;&gt;"",IF(ISERR(SEARCH("V",Times!I492,1)),IF(ISERR(SEARCH("S",Times!I492,1)),"S","S"),"V"),"")</f>
        <v/>
      </c>
      <c r="AF492" s="161" t="str">
        <f>IF(Times!D492&lt;&gt;"",SUMIFS(Times!$G$2:G492,$AA$2:AA492,AA492,$AK$2:AK492,"Y"),"")</f>
        <v/>
      </c>
      <c r="AG492" s="154" t="str">
        <f>IF(Times!D492&lt;&gt;"",IF(AND(Times!J492="M",AI492+AL492=AM492,AK492="Y"),AF492,""),"")</f>
        <v/>
      </c>
      <c r="AH492" s="154" t="str">
        <f>IF(Times!D492&lt;&gt;"",IF(AND(Times!J492="F",AI492+AL492=AM492,AK492="Y"),AF492,""),"")</f>
        <v/>
      </c>
      <c r="AI492" s="154">
        <f>COUNTIF(Z$2:Z492,CONCATENATE("V",AA492))</f>
        <v>0</v>
      </c>
      <c r="AJ492" s="154">
        <f>COUNTIF(Z$2:Z492,CONCATENATE("S",AA492))</f>
        <v>0</v>
      </c>
      <c r="AK492" s="154" t="e">
        <f t="shared" si="101"/>
        <v>#VALUE!</v>
      </c>
      <c r="AL492" s="154">
        <f>IF(AND(Times!J492="M",AJ492&gt;3),3, IF(AND(Times!J492="F",AJ492&gt;2),2,AJ492))</f>
        <v>0</v>
      </c>
      <c r="AM492" s="154" t="str">
        <f>IF(Times!J492="M",6, IF(Times!J492="F",4,""))</f>
        <v/>
      </c>
      <c r="AN492" s="154" t="str">
        <f t="shared" si="102"/>
        <v/>
      </c>
      <c r="AO492" s="154" t="str">
        <f t="shared" si="103"/>
        <v/>
      </c>
    </row>
    <row r="493" spans="26:41" x14ac:dyDescent="0.25">
      <c r="Z493" s="154" t="str">
        <f>CONCATENATE(AE493,Times!AD493)</f>
        <v/>
      </c>
      <c r="AA493" s="154" t="str">
        <f>Times!AD493</f>
        <v/>
      </c>
      <c r="AB493" s="154" t="e">
        <f>IF(AK493="Y",CONCATENATE(AA493,COUNTIFS($AK$2:AK493,"=Y",$AA$2:AA493,AA493)),"")</f>
        <v>#VALUE!</v>
      </c>
      <c r="AC493" s="154" t="str">
        <f>Times!K493</f>
        <v/>
      </c>
      <c r="AD493" s="154">
        <f>Times!G493</f>
        <v>187</v>
      </c>
      <c r="AE493" s="154" t="str">
        <f>IF(Times!D493&lt;&gt;"",IF(ISERR(SEARCH("V",Times!I493,1)),IF(ISERR(SEARCH("S",Times!I493,1)),"S","S"),"V"),"")</f>
        <v/>
      </c>
      <c r="AF493" s="161" t="str">
        <f>IF(Times!D493&lt;&gt;"",SUMIFS(Times!$G$2:G493,$AA$2:AA493,AA493,$AK$2:AK493,"Y"),"")</f>
        <v/>
      </c>
      <c r="AG493" s="154" t="str">
        <f>IF(Times!D493&lt;&gt;"",IF(AND(Times!J493="M",AI493+AL493=AM493,AK493="Y"),AF493,""),"")</f>
        <v/>
      </c>
      <c r="AH493" s="154" t="str">
        <f>IF(Times!D493&lt;&gt;"",IF(AND(Times!J493="F",AI493+AL493=AM493,AK493="Y"),AF493,""),"")</f>
        <v/>
      </c>
      <c r="AI493" s="154">
        <f>COUNTIF(Z$2:Z493,CONCATENATE("V",AA493))</f>
        <v>0</v>
      </c>
      <c r="AJ493" s="154">
        <f>COUNTIF(Z$2:Z493,CONCATENATE("S",AA493))</f>
        <v>0</v>
      </c>
      <c r="AK493" s="154" t="e">
        <f t="shared" si="101"/>
        <v>#VALUE!</v>
      </c>
      <c r="AL493" s="154">
        <f>IF(AND(Times!J493="M",AJ493&gt;3),3, IF(AND(Times!J493="F",AJ493&gt;2),2,AJ493))</f>
        <v>0</v>
      </c>
      <c r="AM493" s="154" t="str">
        <f>IF(Times!J493="M",6, IF(Times!J493="F",4,""))</f>
        <v/>
      </c>
      <c r="AN493" s="154" t="str">
        <f t="shared" si="102"/>
        <v/>
      </c>
      <c r="AO493" s="154" t="str">
        <f t="shared" si="103"/>
        <v/>
      </c>
    </row>
    <row r="494" spans="26:41" x14ac:dyDescent="0.25">
      <c r="Z494" s="154" t="str">
        <f>CONCATENATE(AE494,Times!AD494)</f>
        <v/>
      </c>
      <c r="AA494" s="154" t="str">
        <f>Times!AD494</f>
        <v/>
      </c>
      <c r="AB494" s="154" t="e">
        <f>IF(AK494="Y",CONCATENATE(AA494,COUNTIFS($AK$2:AK494,"=Y",$AA$2:AA494,AA494)),"")</f>
        <v>#VALUE!</v>
      </c>
      <c r="AC494" s="154" t="str">
        <f>Times!K494</f>
        <v/>
      </c>
      <c r="AD494" s="154">
        <f>Times!G494</f>
        <v>188</v>
      </c>
      <c r="AE494" s="154" t="str">
        <f>IF(Times!D494&lt;&gt;"",IF(ISERR(SEARCH("V",Times!I494,1)),IF(ISERR(SEARCH("S",Times!I494,1)),"S","S"),"V"),"")</f>
        <v/>
      </c>
      <c r="AF494" s="161" t="str">
        <f>IF(Times!D494&lt;&gt;"",SUMIFS(Times!$G$2:G494,$AA$2:AA494,AA494,$AK$2:AK494,"Y"),"")</f>
        <v/>
      </c>
      <c r="AG494" s="154" t="str">
        <f>IF(Times!D494&lt;&gt;"",IF(AND(Times!J494="M",AI494+AL494=AM494,AK494="Y"),AF494,""),"")</f>
        <v/>
      </c>
      <c r="AH494" s="154" t="str">
        <f>IF(Times!D494&lt;&gt;"",IF(AND(Times!J494="F",AI494+AL494=AM494,AK494="Y"),AF494,""),"")</f>
        <v/>
      </c>
      <c r="AI494" s="154">
        <f>COUNTIF(Z$2:Z494,CONCATENATE("V",AA494))</f>
        <v>0</v>
      </c>
      <c r="AJ494" s="154">
        <f>COUNTIF(Z$2:Z494,CONCATENATE("S",AA494))</f>
        <v>0</v>
      </c>
      <c r="AK494" s="154" t="e">
        <f t="shared" si="101"/>
        <v>#VALUE!</v>
      </c>
      <c r="AL494" s="154">
        <f>IF(AND(Times!J494="M",AJ494&gt;3),3, IF(AND(Times!J494="F",AJ494&gt;2),2,AJ494))</f>
        <v>0</v>
      </c>
      <c r="AM494" s="154" t="str">
        <f>IF(Times!J494="M",6, IF(Times!J494="F",4,""))</f>
        <v/>
      </c>
      <c r="AN494" s="154" t="str">
        <f t="shared" si="102"/>
        <v/>
      </c>
      <c r="AO494" s="154" t="str">
        <f t="shared" si="103"/>
        <v/>
      </c>
    </row>
    <row r="495" spans="26:41" x14ac:dyDescent="0.25">
      <c r="Z495" s="154" t="str">
        <f>CONCATENATE(AE495,Times!AD495)</f>
        <v/>
      </c>
      <c r="AA495" s="154" t="str">
        <f>Times!AD495</f>
        <v/>
      </c>
      <c r="AB495" s="154" t="e">
        <f>IF(AK495="Y",CONCATENATE(AA495,COUNTIFS($AK$2:AK495,"=Y",$AA$2:AA495,AA495)),"")</f>
        <v>#VALUE!</v>
      </c>
      <c r="AC495" s="154" t="str">
        <f>Times!K495</f>
        <v/>
      </c>
      <c r="AD495" s="154">
        <f>Times!G495</f>
        <v>189</v>
      </c>
      <c r="AE495" s="154" t="str">
        <f>IF(Times!D495&lt;&gt;"",IF(ISERR(SEARCH("V",Times!I495,1)),IF(ISERR(SEARCH("S",Times!I495,1)),"S","S"),"V"),"")</f>
        <v/>
      </c>
      <c r="AF495" s="161" t="str">
        <f>IF(Times!D495&lt;&gt;"",SUMIFS(Times!$G$2:G495,$AA$2:AA495,AA495,$AK$2:AK495,"Y"),"")</f>
        <v/>
      </c>
      <c r="AG495" s="154" t="str">
        <f>IF(Times!D495&lt;&gt;"",IF(AND(Times!J495="M",AI495+AL495=AM495,AK495="Y"),AF495,""),"")</f>
        <v/>
      </c>
      <c r="AH495" s="154" t="str">
        <f>IF(Times!D495&lt;&gt;"",IF(AND(Times!J495="F",AI495+AL495=AM495,AK495="Y"),AF495,""),"")</f>
        <v/>
      </c>
      <c r="AI495" s="154">
        <f>COUNTIF(Z$2:Z495,CONCATENATE("V",AA495))</f>
        <v>0</v>
      </c>
      <c r="AJ495" s="154">
        <f>COUNTIF(Z$2:Z495,CONCATENATE("S",AA495))</f>
        <v>0</v>
      </c>
      <c r="AK495" s="154" t="e">
        <f t="shared" si="101"/>
        <v>#VALUE!</v>
      </c>
      <c r="AL495" s="154">
        <f>IF(AND(Times!J495="M",AJ495&gt;3),3, IF(AND(Times!J495="F",AJ495&gt;2),2,AJ495))</f>
        <v>0</v>
      </c>
      <c r="AM495" s="154" t="str">
        <f>IF(Times!J495="M",6, IF(Times!J495="F",4,""))</f>
        <v/>
      </c>
      <c r="AN495" s="154" t="str">
        <f t="shared" si="102"/>
        <v/>
      </c>
      <c r="AO495" s="154" t="str">
        <f t="shared" si="103"/>
        <v/>
      </c>
    </row>
    <row r="496" spans="26:41" x14ac:dyDescent="0.25">
      <c r="Z496" s="154" t="str">
        <f>CONCATENATE(AE496,Times!AD496)</f>
        <v/>
      </c>
      <c r="AA496" s="154" t="str">
        <f>Times!AD496</f>
        <v/>
      </c>
      <c r="AB496" s="154" t="e">
        <f>IF(AK496="Y",CONCATENATE(AA496,COUNTIFS($AK$2:AK496,"=Y",$AA$2:AA496,AA496)),"")</f>
        <v>#VALUE!</v>
      </c>
      <c r="AC496" s="154" t="str">
        <f>Times!K496</f>
        <v/>
      </c>
      <c r="AD496" s="154">
        <f>Times!G496</f>
        <v>190</v>
      </c>
      <c r="AE496" s="154" t="str">
        <f>IF(Times!D496&lt;&gt;"",IF(ISERR(SEARCH("V",Times!I496,1)),IF(ISERR(SEARCH("S",Times!I496,1)),"S","S"),"V"),"")</f>
        <v/>
      </c>
      <c r="AF496" s="161" t="str">
        <f>IF(Times!D496&lt;&gt;"",SUMIFS(Times!$G$2:G496,$AA$2:AA496,AA496,$AK$2:AK496,"Y"),"")</f>
        <v/>
      </c>
      <c r="AG496" s="154" t="str">
        <f>IF(Times!D496&lt;&gt;"",IF(AND(Times!J496="M",AI496+AL496=AM496,AK496="Y"),AF496,""),"")</f>
        <v/>
      </c>
      <c r="AH496" s="154" t="str">
        <f>IF(Times!D496&lt;&gt;"",IF(AND(Times!J496="F",AI496+AL496=AM496,AK496="Y"),AF496,""),"")</f>
        <v/>
      </c>
      <c r="AI496" s="154">
        <f>COUNTIF(Z$2:Z496,CONCATENATE("V",AA496))</f>
        <v>0</v>
      </c>
      <c r="AJ496" s="154">
        <f>COUNTIF(Z$2:Z496,CONCATENATE("S",AA496))</f>
        <v>0</v>
      </c>
      <c r="AK496" s="154" t="e">
        <f t="shared" si="101"/>
        <v>#VALUE!</v>
      </c>
      <c r="AL496" s="154">
        <f>IF(AND(Times!J496="M",AJ496&gt;3),3, IF(AND(Times!J496="F",AJ496&gt;2),2,AJ496))</f>
        <v>0</v>
      </c>
      <c r="AM496" s="154" t="str">
        <f>IF(Times!J496="M",6, IF(Times!J496="F",4,""))</f>
        <v/>
      </c>
      <c r="AN496" s="154" t="str">
        <f t="shared" si="102"/>
        <v/>
      </c>
      <c r="AO496" s="154" t="str">
        <f t="shared" si="103"/>
        <v/>
      </c>
    </row>
    <row r="497" spans="26:41" x14ac:dyDescent="0.25">
      <c r="Z497" s="154" t="str">
        <f>CONCATENATE(AE497,Times!AD497)</f>
        <v/>
      </c>
      <c r="AA497" s="154" t="str">
        <f>Times!AD497</f>
        <v/>
      </c>
      <c r="AB497" s="154" t="e">
        <f>IF(AK497="Y",CONCATENATE(AA497,COUNTIFS($AK$2:AK497,"=Y",$AA$2:AA497,AA497)),"")</f>
        <v>#VALUE!</v>
      </c>
      <c r="AC497" s="154" t="str">
        <f>Times!K497</f>
        <v/>
      </c>
      <c r="AD497" s="154">
        <f>Times!G497</f>
        <v>191</v>
      </c>
      <c r="AE497" s="154" t="str">
        <f>IF(Times!D497&lt;&gt;"",IF(ISERR(SEARCH("V",Times!I497,1)),IF(ISERR(SEARCH("S",Times!I497,1)),"S","S"),"V"),"")</f>
        <v/>
      </c>
      <c r="AF497" s="161" t="str">
        <f>IF(Times!D497&lt;&gt;"",SUMIFS(Times!$G$2:G497,$AA$2:AA497,AA497,$AK$2:AK497,"Y"),"")</f>
        <v/>
      </c>
      <c r="AG497" s="154" t="str">
        <f>IF(Times!D497&lt;&gt;"",IF(AND(Times!J497="M",AI497+AL497=AM497,AK497="Y"),AF497,""),"")</f>
        <v/>
      </c>
      <c r="AH497" s="154" t="str">
        <f>IF(Times!D497&lt;&gt;"",IF(AND(Times!J497="F",AI497+AL497=AM497,AK497="Y"),AF497,""),"")</f>
        <v/>
      </c>
      <c r="AI497" s="154">
        <f>COUNTIF(Z$2:Z497,CONCATENATE("V",AA497))</f>
        <v>0</v>
      </c>
      <c r="AJ497" s="154">
        <f>COUNTIF(Z$2:Z497,CONCATENATE("S",AA497))</f>
        <v>0</v>
      </c>
      <c r="AK497" s="154" t="e">
        <f t="shared" si="101"/>
        <v>#VALUE!</v>
      </c>
      <c r="AL497" s="154">
        <f>IF(AND(Times!J497="M",AJ497&gt;3),3, IF(AND(Times!J497="F",AJ497&gt;2),2,AJ497))</f>
        <v>0</v>
      </c>
      <c r="AM497" s="154" t="str">
        <f>IF(Times!J497="M",6, IF(Times!J497="F",4,""))</f>
        <v/>
      </c>
      <c r="AN497" s="154" t="str">
        <f t="shared" si="102"/>
        <v/>
      </c>
      <c r="AO497" s="154" t="str">
        <f t="shared" si="103"/>
        <v/>
      </c>
    </row>
    <row r="498" spans="26:41" x14ac:dyDescent="0.25">
      <c r="Z498" s="154" t="str">
        <f>CONCATENATE(AE498,Times!AD498)</f>
        <v/>
      </c>
      <c r="AA498" s="154" t="str">
        <f>Times!AD498</f>
        <v/>
      </c>
      <c r="AB498" s="154" t="e">
        <f>IF(AK498="Y",CONCATENATE(AA498,COUNTIFS($AK$2:AK498,"=Y",$AA$2:AA498,AA498)),"")</f>
        <v>#VALUE!</v>
      </c>
      <c r="AC498" s="154" t="str">
        <f>Times!K498</f>
        <v/>
      </c>
      <c r="AD498" s="154">
        <f>Times!G498</f>
        <v>192</v>
      </c>
      <c r="AE498" s="154" t="str">
        <f>IF(Times!D498&lt;&gt;"",IF(ISERR(SEARCH("V",Times!I498,1)),IF(ISERR(SEARCH("S",Times!I498,1)),"S","S"),"V"),"")</f>
        <v/>
      </c>
      <c r="AF498" s="161" t="str">
        <f>IF(Times!D498&lt;&gt;"",SUMIFS(Times!$G$2:G498,$AA$2:AA498,AA498,$AK$2:AK498,"Y"),"")</f>
        <v/>
      </c>
      <c r="AG498" s="154" t="str">
        <f>IF(Times!D498&lt;&gt;"",IF(AND(Times!J498="M",AI498+AL498=AM498,AK498="Y"),AF498,""),"")</f>
        <v/>
      </c>
      <c r="AH498" s="154" t="str">
        <f>IF(Times!D498&lt;&gt;"",IF(AND(Times!J498="F",AI498+AL498=AM498,AK498="Y"),AF498,""),"")</f>
        <v/>
      </c>
      <c r="AI498" s="154">
        <f>COUNTIF(Z$2:Z498,CONCATENATE("V",AA498))</f>
        <v>0</v>
      </c>
      <c r="AJ498" s="154">
        <f>COUNTIF(Z$2:Z498,CONCATENATE("S",AA498))</f>
        <v>0</v>
      </c>
      <c r="AK498" s="154" t="e">
        <f t="shared" si="101"/>
        <v>#VALUE!</v>
      </c>
      <c r="AL498" s="154">
        <f>IF(AND(Times!J498="M",AJ498&gt;3),3, IF(AND(Times!J498="F",AJ498&gt;2),2,AJ498))</f>
        <v>0</v>
      </c>
      <c r="AM498" s="154" t="str">
        <f>IF(Times!J498="M",6, IF(Times!J498="F",4,""))</f>
        <v/>
      </c>
      <c r="AN498" s="154" t="str">
        <f t="shared" si="102"/>
        <v/>
      </c>
      <c r="AO498" s="154" t="str">
        <f t="shared" si="103"/>
        <v/>
      </c>
    </row>
    <row r="499" spans="26:41" x14ac:dyDescent="0.25">
      <c r="Z499" s="154" t="str">
        <f>CONCATENATE(AE499,Times!AD499)</f>
        <v/>
      </c>
      <c r="AA499" s="154" t="str">
        <f>Times!AD499</f>
        <v/>
      </c>
      <c r="AB499" s="154" t="e">
        <f>IF(AK499="Y",CONCATENATE(AA499,COUNTIFS($AK$2:AK499,"=Y",$AA$2:AA499,AA499)),"")</f>
        <v>#VALUE!</v>
      </c>
      <c r="AC499" s="154" t="str">
        <f>Times!K499</f>
        <v/>
      </c>
      <c r="AD499" s="154">
        <f>Times!G499</f>
        <v>193</v>
      </c>
      <c r="AE499" s="154" t="str">
        <f>IF(Times!D499&lt;&gt;"",IF(ISERR(SEARCH("V",Times!I499,1)),IF(ISERR(SEARCH("S",Times!I499,1)),"S","S"),"V"),"")</f>
        <v/>
      </c>
      <c r="AF499" s="161" t="str">
        <f>IF(Times!D499&lt;&gt;"",SUMIFS(Times!$G$2:G499,$AA$2:AA499,AA499,$AK$2:AK499,"Y"),"")</f>
        <v/>
      </c>
      <c r="AG499" s="154" t="str">
        <f>IF(Times!D499&lt;&gt;"",IF(AND(Times!J499="M",AI499+AL499=AM499,AK499="Y"),AF499,""),"")</f>
        <v/>
      </c>
      <c r="AH499" s="154" t="str">
        <f>IF(Times!D499&lt;&gt;"",IF(AND(Times!J499="F",AI499+AL499=AM499,AK499="Y"),AF499,""),"")</f>
        <v/>
      </c>
      <c r="AI499" s="154">
        <f>COUNTIF(Z$2:Z499,CONCATENATE("V",AA499))</f>
        <v>0</v>
      </c>
      <c r="AJ499" s="154">
        <f>COUNTIF(Z$2:Z499,CONCATENATE("S",AA499))</f>
        <v>0</v>
      </c>
      <c r="AK499" s="154" t="e">
        <f t="shared" si="101"/>
        <v>#VALUE!</v>
      </c>
      <c r="AL499" s="154">
        <f>IF(AND(Times!J499="M",AJ499&gt;3),3, IF(AND(Times!J499="F",AJ499&gt;2),2,AJ499))</f>
        <v>0</v>
      </c>
      <c r="AM499" s="154" t="str">
        <f>IF(Times!J499="M",6, IF(Times!J499="F",4,""))</f>
        <v/>
      </c>
      <c r="AN499" s="154" t="str">
        <f t="shared" si="102"/>
        <v/>
      </c>
      <c r="AO499" s="154" t="str">
        <f t="shared" si="103"/>
        <v/>
      </c>
    </row>
    <row r="500" spans="26:41" x14ac:dyDescent="0.25">
      <c r="Z500" s="154" t="str">
        <f>CONCATENATE(AE500,Times!AD500)</f>
        <v/>
      </c>
      <c r="AA500" s="154" t="str">
        <f>Times!AD500</f>
        <v/>
      </c>
      <c r="AB500" s="154" t="e">
        <f>IF(AK500="Y",CONCATENATE(AA500,COUNTIFS($AK$2:AK500,"=Y",$AA$2:AA500,AA500)),"")</f>
        <v>#VALUE!</v>
      </c>
      <c r="AC500" s="154" t="str">
        <f>Times!K500</f>
        <v/>
      </c>
      <c r="AD500" s="154">
        <f>Times!G500</f>
        <v>194</v>
      </c>
      <c r="AE500" s="154" t="str">
        <f>IF(Times!D500&lt;&gt;"",IF(ISERR(SEARCH("V",Times!I500,1)),IF(ISERR(SEARCH("S",Times!I500,1)),"S","S"),"V"),"")</f>
        <v/>
      </c>
      <c r="AF500" s="161" t="str">
        <f>IF(Times!D500&lt;&gt;"",SUMIFS(Times!$G$2:G500,$AA$2:AA500,AA500,$AK$2:AK500,"Y"),"")</f>
        <v/>
      </c>
      <c r="AG500" s="154" t="str">
        <f>IF(Times!D500&lt;&gt;"",IF(AND(Times!J500="M",AI500+AL500=AM500,AK500="Y"),AF500,""),"")</f>
        <v/>
      </c>
      <c r="AH500" s="154" t="str">
        <f>IF(Times!D500&lt;&gt;"",IF(AND(Times!J500="F",AI500+AL500=AM500,AK500="Y"),AF500,""),"")</f>
        <v/>
      </c>
      <c r="AI500" s="154">
        <f>COUNTIF(Z$2:Z500,CONCATENATE("V",AA500))</f>
        <v>0</v>
      </c>
      <c r="AJ500" s="154">
        <f>COUNTIF(Z$2:Z500,CONCATENATE("S",AA500))</f>
        <v>0</v>
      </c>
      <c r="AK500" s="154" t="e">
        <f t="shared" si="101"/>
        <v>#VALUE!</v>
      </c>
      <c r="AL500" s="154">
        <f>IF(AND(Times!J500="M",AJ500&gt;3),3, IF(AND(Times!J500="F",AJ500&gt;2),2,AJ500))</f>
        <v>0</v>
      </c>
      <c r="AM500" s="154" t="str">
        <f>IF(Times!J500="M",6, IF(Times!J500="F",4,""))</f>
        <v/>
      </c>
      <c r="AN500" s="154" t="str">
        <f t="shared" si="102"/>
        <v/>
      </c>
      <c r="AO500" s="154" t="str">
        <f t="shared" si="103"/>
        <v/>
      </c>
    </row>
    <row r="501" spans="26:41" x14ac:dyDescent="0.25">
      <c r="Z501" s="154" t="str">
        <f>CONCATENATE(AE501,Times!AD501)</f>
        <v/>
      </c>
      <c r="AA501" s="154" t="str">
        <f>Times!AD501</f>
        <v/>
      </c>
      <c r="AB501" s="154" t="e">
        <f>IF(AK501="Y",CONCATENATE(AA501,COUNTIFS($AK$2:AK501,"=Y",$AA$2:AA501,AA501)),"")</f>
        <v>#VALUE!</v>
      </c>
      <c r="AC501" s="154" t="str">
        <f>Times!K501</f>
        <v/>
      </c>
      <c r="AD501" s="154">
        <f>Times!G501</f>
        <v>195</v>
      </c>
      <c r="AE501" s="154" t="str">
        <f>IF(Times!D501&lt;&gt;"",IF(ISERR(SEARCH("V",Times!I501,1)),IF(ISERR(SEARCH("S",Times!I501,1)),"S","S"),"V"),"")</f>
        <v/>
      </c>
      <c r="AF501" s="161" t="str">
        <f>IF(Times!D501&lt;&gt;"",SUMIFS(Times!$G$2:G501,$AA$2:AA501,AA501,$AK$2:AK501,"Y"),"")</f>
        <v/>
      </c>
      <c r="AG501" s="154" t="str">
        <f>IF(Times!D501&lt;&gt;"",IF(AND(Times!J501="M",AI501+AL501=AM501,AK501="Y"),AF501,""),"")</f>
        <v/>
      </c>
      <c r="AH501" s="154" t="str">
        <f>IF(Times!D501&lt;&gt;"",IF(AND(Times!J501="F",AI501+AL501=AM501,AK501="Y"),AF501,""),"")</f>
        <v/>
      </c>
      <c r="AI501" s="154">
        <f>COUNTIF(Z$2:Z501,CONCATENATE("V",AA501))</f>
        <v>0</v>
      </c>
      <c r="AJ501" s="154">
        <f>COUNTIF(Z$2:Z501,CONCATENATE("S",AA501))</f>
        <v>0</v>
      </c>
      <c r="AK501" s="154" t="e">
        <f t="shared" si="101"/>
        <v>#VALUE!</v>
      </c>
      <c r="AL501" s="154">
        <f>IF(AND(Times!J501="M",AJ501&gt;3),3, IF(AND(Times!J501="F",AJ501&gt;2),2,AJ501))</f>
        <v>0</v>
      </c>
      <c r="AM501" s="154" t="str">
        <f>IF(Times!J501="M",6, IF(Times!J501="F",4,""))</f>
        <v/>
      </c>
      <c r="AN501" s="154" t="str">
        <f t="shared" si="102"/>
        <v/>
      </c>
      <c r="AO501" s="154" t="str">
        <f t="shared" si="103"/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J275"/>
  <sheetViews>
    <sheetView workbookViewId="0">
      <selection activeCell="A2" sqref="A2"/>
    </sheetView>
  </sheetViews>
  <sheetFormatPr defaultRowHeight="15.75" x14ac:dyDescent="0.25"/>
  <cols>
    <col min="1" max="1" width="20.625" customWidth="1"/>
    <col min="2" max="4" width="3.625" customWidth="1"/>
    <col min="5" max="5" width="20.625" customWidth="1"/>
    <col min="6" max="7" width="3.625" customWidth="1"/>
    <col min="8" max="8" width="20.625" customWidth="1"/>
    <col min="9" max="10" width="3.625" customWidth="1"/>
    <col min="11" max="11" width="20.625" customWidth="1"/>
    <col min="12" max="13" width="3.625" customWidth="1"/>
    <col min="14" max="14" width="20.625" customWidth="1"/>
    <col min="15" max="16" width="3.625" customWidth="1"/>
    <col min="17" max="17" width="20.625" customWidth="1"/>
    <col min="18" max="19" width="3.625" customWidth="1"/>
    <col min="20" max="20" width="20.625" customWidth="1"/>
    <col min="21" max="22" width="3.625" customWidth="1"/>
    <col min="25" max="26" width="9" customWidth="1"/>
    <col min="27" max="27" width="19.75" customWidth="1"/>
    <col min="28" max="31" width="9" customWidth="1"/>
    <col min="32" max="32" width="9" style="127" customWidth="1"/>
    <col min="33" max="35" width="9" customWidth="1"/>
  </cols>
  <sheetData>
    <row r="1" spans="1:36" x14ac:dyDescent="0.25">
      <c r="A1" s="125" t="s">
        <v>1317</v>
      </c>
      <c r="B1" s="125"/>
      <c r="C1" s="125"/>
      <c r="D1" s="125"/>
    </row>
    <row r="2" spans="1:36" s="2" customFormat="1" x14ac:dyDescent="0.25">
      <c r="A2" s="125" t="s">
        <v>2184</v>
      </c>
      <c r="B2" s="125"/>
      <c r="C2" s="125"/>
      <c r="D2" s="125"/>
      <c r="AF2" s="173"/>
    </row>
    <row r="3" spans="1:36" s="2" customFormat="1" x14ac:dyDescent="0.25">
      <c r="A3" s="125" t="s">
        <v>153</v>
      </c>
      <c r="B3" s="125" t="s">
        <v>0</v>
      </c>
      <c r="C3" s="125" t="s">
        <v>1205</v>
      </c>
      <c r="D3" s="125" t="s">
        <v>1206</v>
      </c>
      <c r="E3" s="125" t="s">
        <v>148</v>
      </c>
      <c r="F3" s="125" t="s">
        <v>587</v>
      </c>
      <c r="G3" s="125" t="s">
        <v>0</v>
      </c>
      <c r="H3" s="125" t="s">
        <v>1207</v>
      </c>
      <c r="I3" s="125" t="s">
        <v>587</v>
      </c>
      <c r="J3" s="125" t="s">
        <v>0</v>
      </c>
      <c r="K3" s="125" t="s">
        <v>150</v>
      </c>
      <c r="L3" s="125" t="s">
        <v>587</v>
      </c>
      <c r="M3" s="125" t="s">
        <v>0</v>
      </c>
      <c r="N3" s="125" t="s">
        <v>151</v>
      </c>
      <c r="O3" s="125" t="s">
        <v>587</v>
      </c>
      <c r="P3" s="125" t="s">
        <v>0</v>
      </c>
      <c r="Q3" s="125" t="s">
        <v>1208</v>
      </c>
      <c r="R3" s="125" t="s">
        <v>587</v>
      </c>
      <c r="S3" s="125" t="s">
        <v>0</v>
      </c>
      <c r="T3" s="125" t="s">
        <v>1209</v>
      </c>
      <c r="U3" s="125" t="s">
        <v>587</v>
      </c>
      <c r="V3" s="125" t="s">
        <v>0</v>
      </c>
      <c r="AF3" s="173"/>
    </row>
    <row r="4" spans="1:36" x14ac:dyDescent="0.25">
      <c r="Y4" s="48"/>
    </row>
    <row r="5" spans="1:36" x14ac:dyDescent="0.25">
      <c r="A5" t="s">
        <v>1277</v>
      </c>
    </row>
    <row r="6" spans="1:36" x14ac:dyDescent="0.25">
      <c r="A6" t="s">
        <v>12</v>
      </c>
      <c r="B6">
        <v>1</v>
      </c>
      <c r="C6">
        <v>6</v>
      </c>
      <c r="D6">
        <v>46</v>
      </c>
      <c r="E6" t="s">
        <v>335</v>
      </c>
      <c r="F6" t="s">
        <v>1813</v>
      </c>
      <c r="G6">
        <v>1</v>
      </c>
      <c r="H6" t="s">
        <v>364</v>
      </c>
      <c r="I6" t="s">
        <v>1813</v>
      </c>
      <c r="J6">
        <v>3</v>
      </c>
      <c r="K6" t="s">
        <v>596</v>
      </c>
      <c r="L6" t="s">
        <v>1813</v>
      </c>
      <c r="M6">
        <v>4</v>
      </c>
      <c r="N6" t="s">
        <v>363</v>
      </c>
      <c r="O6" t="s">
        <v>1814</v>
      </c>
      <c r="P6">
        <v>8</v>
      </c>
      <c r="Q6" t="s">
        <v>2286</v>
      </c>
      <c r="R6" t="s">
        <v>1814</v>
      </c>
      <c r="S6">
        <v>14</v>
      </c>
      <c r="T6" t="s">
        <v>895</v>
      </c>
      <c r="U6" t="s">
        <v>1814</v>
      </c>
      <c r="V6">
        <v>16</v>
      </c>
      <c r="Z6" t="s">
        <v>6</v>
      </c>
      <c r="AA6" t="s">
        <v>2</v>
      </c>
      <c r="AB6" t="s">
        <v>3</v>
      </c>
      <c r="AC6" t="s">
        <v>22</v>
      </c>
      <c r="AD6" t="s">
        <v>37</v>
      </c>
      <c r="AE6" t="s">
        <v>1242</v>
      </c>
      <c r="AF6" s="127" t="s">
        <v>1240</v>
      </c>
      <c r="AG6" t="s">
        <v>8</v>
      </c>
      <c r="AI6" t="s">
        <v>4</v>
      </c>
    </row>
    <row r="7" spans="1:36" x14ac:dyDescent="0.25">
      <c r="A7" t="s">
        <v>108</v>
      </c>
      <c r="B7">
        <v>2</v>
      </c>
      <c r="C7">
        <v>6</v>
      </c>
      <c r="D7">
        <v>113</v>
      </c>
      <c r="E7" t="s">
        <v>302</v>
      </c>
      <c r="F7" t="s">
        <v>1814</v>
      </c>
      <c r="G7">
        <v>6</v>
      </c>
      <c r="H7" t="s">
        <v>1389</v>
      </c>
      <c r="I7" t="s">
        <v>1814</v>
      </c>
      <c r="J7">
        <v>7</v>
      </c>
      <c r="K7" t="s">
        <v>1808</v>
      </c>
      <c r="L7" t="s">
        <v>1813</v>
      </c>
      <c r="M7">
        <v>17</v>
      </c>
      <c r="N7" t="s">
        <v>1682</v>
      </c>
      <c r="O7" t="s">
        <v>1813</v>
      </c>
      <c r="P7">
        <v>20</v>
      </c>
      <c r="Q7" t="s">
        <v>2196</v>
      </c>
      <c r="R7" t="s">
        <v>1814</v>
      </c>
      <c r="S7">
        <v>27</v>
      </c>
      <c r="T7" t="s">
        <v>337</v>
      </c>
      <c r="U7" t="s">
        <v>1814</v>
      </c>
      <c r="V7">
        <v>36</v>
      </c>
      <c r="Z7">
        <v>109</v>
      </c>
      <c r="AA7" t="s">
        <v>335</v>
      </c>
      <c r="AB7" t="s">
        <v>12</v>
      </c>
      <c r="AC7" t="s">
        <v>24</v>
      </c>
      <c r="AG7">
        <v>109</v>
      </c>
      <c r="AI7">
        <v>27</v>
      </c>
      <c r="AJ7">
        <v>16</v>
      </c>
    </row>
    <row r="8" spans="1:36" x14ac:dyDescent="0.25">
      <c r="A8" t="s">
        <v>43</v>
      </c>
      <c r="B8">
        <v>3</v>
      </c>
      <c r="C8">
        <v>6</v>
      </c>
      <c r="D8">
        <v>198</v>
      </c>
      <c r="E8" t="s">
        <v>565</v>
      </c>
      <c r="F8" t="s">
        <v>1813</v>
      </c>
      <c r="G8">
        <v>2</v>
      </c>
      <c r="H8" t="s">
        <v>1789</v>
      </c>
      <c r="I8" t="s">
        <v>1814</v>
      </c>
      <c r="J8">
        <v>29</v>
      </c>
      <c r="K8" t="s">
        <v>239</v>
      </c>
      <c r="L8" t="s">
        <v>1814</v>
      </c>
      <c r="M8">
        <v>32</v>
      </c>
      <c r="N8" t="s">
        <v>1119</v>
      </c>
      <c r="O8" t="s">
        <v>1813</v>
      </c>
      <c r="P8">
        <v>38</v>
      </c>
      <c r="Q8" t="s">
        <v>353</v>
      </c>
      <c r="R8" t="s">
        <v>1814</v>
      </c>
      <c r="S8">
        <v>44</v>
      </c>
      <c r="T8" t="s">
        <v>2275</v>
      </c>
      <c r="U8" t="s">
        <v>1813</v>
      </c>
      <c r="V8">
        <v>53</v>
      </c>
      <c r="Z8">
        <v>139</v>
      </c>
      <c r="AA8" t="s">
        <v>565</v>
      </c>
      <c r="AB8" t="s">
        <v>43</v>
      </c>
      <c r="AC8" t="s">
        <v>24</v>
      </c>
      <c r="AG8">
        <v>139</v>
      </c>
      <c r="AI8">
        <v>27</v>
      </c>
      <c r="AJ8">
        <v>44</v>
      </c>
    </row>
    <row r="9" spans="1:36" x14ac:dyDescent="0.25">
      <c r="A9" t="s">
        <v>38</v>
      </c>
      <c r="B9">
        <v>4</v>
      </c>
      <c r="C9">
        <v>6</v>
      </c>
      <c r="D9">
        <v>324</v>
      </c>
      <c r="E9" t="s">
        <v>2198</v>
      </c>
      <c r="F9" t="s">
        <v>1813</v>
      </c>
      <c r="G9">
        <v>25</v>
      </c>
      <c r="H9" t="s">
        <v>2276</v>
      </c>
      <c r="I9" t="s">
        <v>1813</v>
      </c>
      <c r="J9">
        <v>42</v>
      </c>
      <c r="K9" t="s">
        <v>2202</v>
      </c>
      <c r="L9" t="s">
        <v>1814</v>
      </c>
      <c r="M9">
        <v>45</v>
      </c>
      <c r="N9" t="s">
        <v>2205</v>
      </c>
      <c r="O9" t="s">
        <v>1814</v>
      </c>
      <c r="P9">
        <v>51</v>
      </c>
      <c r="Q9" t="s">
        <v>204</v>
      </c>
      <c r="R9" t="s">
        <v>1814</v>
      </c>
      <c r="S9">
        <v>79</v>
      </c>
      <c r="T9" t="s">
        <v>2212</v>
      </c>
      <c r="U9" t="s">
        <v>1814</v>
      </c>
      <c r="V9">
        <v>82</v>
      </c>
      <c r="Z9">
        <v>30</v>
      </c>
      <c r="AA9" t="s">
        <v>364</v>
      </c>
      <c r="AB9" t="s">
        <v>12</v>
      </c>
      <c r="AC9" t="s">
        <v>24</v>
      </c>
      <c r="AG9">
        <v>30</v>
      </c>
      <c r="AI9">
        <v>27</v>
      </c>
      <c r="AJ9">
        <v>52</v>
      </c>
    </row>
    <row r="10" spans="1:36" x14ac:dyDescent="0.25">
      <c r="A10" t="s">
        <v>1805</v>
      </c>
      <c r="B10">
        <v>5</v>
      </c>
      <c r="C10">
        <v>6</v>
      </c>
      <c r="D10">
        <v>346</v>
      </c>
      <c r="E10" t="s">
        <v>2193</v>
      </c>
      <c r="F10" t="s">
        <v>1813</v>
      </c>
      <c r="G10">
        <v>12</v>
      </c>
      <c r="H10" t="s">
        <v>1822</v>
      </c>
      <c r="I10" t="s">
        <v>1813</v>
      </c>
      <c r="J10">
        <v>26</v>
      </c>
      <c r="K10" t="s">
        <v>2197</v>
      </c>
      <c r="L10" t="s">
        <v>1813</v>
      </c>
      <c r="M10">
        <v>31</v>
      </c>
      <c r="N10" t="s">
        <v>2310</v>
      </c>
      <c r="O10" t="s">
        <v>1814</v>
      </c>
      <c r="P10">
        <v>77</v>
      </c>
      <c r="Q10" t="s">
        <v>2214</v>
      </c>
      <c r="R10" t="s">
        <v>1814</v>
      </c>
      <c r="S10">
        <v>98</v>
      </c>
      <c r="T10" t="s">
        <v>2217</v>
      </c>
      <c r="U10" t="s">
        <v>1814</v>
      </c>
      <c r="V10">
        <v>102</v>
      </c>
      <c r="Z10">
        <v>223</v>
      </c>
      <c r="AA10" t="s">
        <v>596</v>
      </c>
      <c r="AB10" t="s">
        <v>12</v>
      </c>
      <c r="AC10" t="s">
        <v>24</v>
      </c>
      <c r="AG10">
        <v>223</v>
      </c>
      <c r="AI10">
        <v>28</v>
      </c>
      <c r="AJ10">
        <v>10</v>
      </c>
    </row>
    <row r="11" spans="1:36" x14ac:dyDescent="0.25">
      <c r="A11" t="s">
        <v>14</v>
      </c>
      <c r="B11">
        <v>6</v>
      </c>
      <c r="C11">
        <v>6</v>
      </c>
      <c r="D11">
        <v>366</v>
      </c>
      <c r="E11" t="s">
        <v>1522</v>
      </c>
      <c r="F11" t="s">
        <v>1814</v>
      </c>
      <c r="G11">
        <v>35</v>
      </c>
      <c r="H11" t="s">
        <v>1911</v>
      </c>
      <c r="I11" t="s">
        <v>1814</v>
      </c>
      <c r="J11">
        <v>52</v>
      </c>
      <c r="K11" t="s">
        <v>2148</v>
      </c>
      <c r="L11" t="s">
        <v>1814</v>
      </c>
      <c r="M11">
        <v>54</v>
      </c>
      <c r="N11" t="s">
        <v>1662</v>
      </c>
      <c r="O11" t="s">
        <v>1814</v>
      </c>
      <c r="P11">
        <v>68</v>
      </c>
      <c r="Q11" t="s">
        <v>549</v>
      </c>
      <c r="R11" t="s">
        <v>1814</v>
      </c>
      <c r="S11">
        <v>76</v>
      </c>
      <c r="T11" t="s">
        <v>2289</v>
      </c>
      <c r="U11" t="s">
        <v>1814</v>
      </c>
      <c r="V11">
        <v>81</v>
      </c>
      <c r="Z11">
        <v>63</v>
      </c>
      <c r="AA11" t="s">
        <v>1867</v>
      </c>
      <c r="AB11" t="s">
        <v>817</v>
      </c>
      <c r="AC11" t="s">
        <v>24</v>
      </c>
      <c r="AG11">
        <v>63</v>
      </c>
      <c r="AI11">
        <v>28</v>
      </c>
      <c r="AJ11">
        <v>11</v>
      </c>
    </row>
    <row r="12" spans="1:36" x14ac:dyDescent="0.25">
      <c r="A12" t="s">
        <v>154</v>
      </c>
      <c r="B12">
        <v>7</v>
      </c>
      <c r="C12">
        <v>6</v>
      </c>
      <c r="D12">
        <v>400</v>
      </c>
      <c r="E12" t="s">
        <v>311</v>
      </c>
      <c r="F12" t="s">
        <v>1814</v>
      </c>
      <c r="G12">
        <v>13</v>
      </c>
      <c r="H12" t="s">
        <v>1903</v>
      </c>
      <c r="I12" t="s">
        <v>1813</v>
      </c>
      <c r="J12">
        <v>15</v>
      </c>
      <c r="K12" t="s">
        <v>301</v>
      </c>
      <c r="L12" t="s">
        <v>1814</v>
      </c>
      <c r="M12">
        <v>37</v>
      </c>
      <c r="N12" t="s">
        <v>1699</v>
      </c>
      <c r="O12" t="s">
        <v>1814</v>
      </c>
      <c r="P12">
        <v>61</v>
      </c>
      <c r="Q12" t="s">
        <v>2141</v>
      </c>
      <c r="R12" t="s">
        <v>1814</v>
      </c>
      <c r="S12">
        <v>128</v>
      </c>
      <c r="T12" t="s">
        <v>456</v>
      </c>
      <c r="U12" t="s">
        <v>1814</v>
      </c>
      <c r="V12">
        <v>146</v>
      </c>
      <c r="Z12">
        <v>217</v>
      </c>
      <c r="AA12" t="s">
        <v>302</v>
      </c>
      <c r="AB12" t="s">
        <v>108</v>
      </c>
      <c r="AC12" t="s">
        <v>24</v>
      </c>
      <c r="AG12">
        <v>217</v>
      </c>
      <c r="AI12">
        <v>29</v>
      </c>
      <c r="AJ12">
        <v>12</v>
      </c>
    </row>
    <row r="13" spans="1:36" x14ac:dyDescent="0.25">
      <c r="A13" t="s">
        <v>155</v>
      </c>
      <c r="B13">
        <v>8</v>
      </c>
      <c r="C13">
        <v>6</v>
      </c>
      <c r="D13">
        <v>429</v>
      </c>
      <c r="E13" t="s">
        <v>414</v>
      </c>
      <c r="F13" t="s">
        <v>1814</v>
      </c>
      <c r="G13">
        <v>34</v>
      </c>
      <c r="H13" t="s">
        <v>1406</v>
      </c>
      <c r="I13" t="s">
        <v>1813</v>
      </c>
      <c r="J13">
        <v>69</v>
      </c>
      <c r="K13" t="s">
        <v>2277</v>
      </c>
      <c r="L13" t="s">
        <v>1813</v>
      </c>
      <c r="M13">
        <v>74</v>
      </c>
      <c r="N13" t="s">
        <v>1370</v>
      </c>
      <c r="O13" t="s">
        <v>1814</v>
      </c>
      <c r="P13">
        <v>78</v>
      </c>
      <c r="Q13" t="s">
        <v>872</v>
      </c>
      <c r="R13" t="s">
        <v>1814</v>
      </c>
      <c r="S13">
        <v>83</v>
      </c>
      <c r="T13" t="s">
        <v>1404</v>
      </c>
      <c r="U13" t="s">
        <v>1813</v>
      </c>
      <c r="V13">
        <v>91</v>
      </c>
      <c r="Z13">
        <v>64</v>
      </c>
      <c r="AA13" t="s">
        <v>1389</v>
      </c>
      <c r="AB13" t="s">
        <v>108</v>
      </c>
      <c r="AC13" t="s">
        <v>24</v>
      </c>
      <c r="AG13">
        <v>64</v>
      </c>
      <c r="AI13">
        <v>29</v>
      </c>
      <c r="AJ13">
        <v>24</v>
      </c>
    </row>
    <row r="14" spans="1:36" x14ac:dyDescent="0.25">
      <c r="A14" t="s">
        <v>63</v>
      </c>
      <c r="B14">
        <v>9</v>
      </c>
      <c r="C14">
        <v>6</v>
      </c>
      <c r="D14">
        <v>457</v>
      </c>
      <c r="E14" t="s">
        <v>408</v>
      </c>
      <c r="F14" t="s">
        <v>1813</v>
      </c>
      <c r="G14">
        <v>19</v>
      </c>
      <c r="H14" t="s">
        <v>2194</v>
      </c>
      <c r="I14" t="s">
        <v>1813</v>
      </c>
      <c r="J14">
        <v>22</v>
      </c>
      <c r="K14" t="s">
        <v>2304</v>
      </c>
      <c r="L14" t="s">
        <v>1813</v>
      </c>
      <c r="M14">
        <v>43</v>
      </c>
      <c r="N14" t="s">
        <v>1410</v>
      </c>
      <c r="O14" t="s">
        <v>1814</v>
      </c>
      <c r="P14">
        <v>96</v>
      </c>
      <c r="Q14" t="s">
        <v>2294</v>
      </c>
      <c r="R14" t="s">
        <v>1814</v>
      </c>
      <c r="S14">
        <v>130</v>
      </c>
      <c r="T14" t="s">
        <v>1322</v>
      </c>
      <c r="U14" t="s">
        <v>1814</v>
      </c>
      <c r="V14">
        <v>147</v>
      </c>
      <c r="Z14">
        <v>50</v>
      </c>
      <c r="AA14" t="s">
        <v>363</v>
      </c>
      <c r="AB14" t="s">
        <v>12</v>
      </c>
      <c r="AC14" t="s">
        <v>24</v>
      </c>
      <c r="AG14">
        <v>50</v>
      </c>
      <c r="AI14">
        <v>29</v>
      </c>
      <c r="AJ14">
        <v>29</v>
      </c>
    </row>
    <row r="15" spans="1:36" x14ac:dyDescent="0.25">
      <c r="A15" t="s">
        <v>1278</v>
      </c>
      <c r="Z15">
        <v>246</v>
      </c>
      <c r="AA15" t="s">
        <v>2146</v>
      </c>
      <c r="AB15" t="s">
        <v>817</v>
      </c>
      <c r="AC15" t="s">
        <v>24</v>
      </c>
      <c r="AG15">
        <v>246</v>
      </c>
      <c r="AI15">
        <v>29</v>
      </c>
      <c r="AJ15">
        <v>31</v>
      </c>
    </row>
    <row r="16" spans="1:36" x14ac:dyDescent="0.25">
      <c r="A16" t="s">
        <v>12</v>
      </c>
      <c r="B16">
        <v>1</v>
      </c>
      <c r="C16">
        <v>4</v>
      </c>
      <c r="D16">
        <v>14</v>
      </c>
      <c r="E16" t="s">
        <v>901</v>
      </c>
      <c r="F16" t="s">
        <v>1813</v>
      </c>
      <c r="G16">
        <v>1</v>
      </c>
      <c r="H16" t="s">
        <v>260</v>
      </c>
      <c r="I16" t="s">
        <v>1814</v>
      </c>
      <c r="J16">
        <v>3</v>
      </c>
      <c r="K16" t="s">
        <v>1323</v>
      </c>
      <c r="L16" t="s">
        <v>1813</v>
      </c>
      <c r="M16">
        <v>4</v>
      </c>
      <c r="N16" t="s">
        <v>271</v>
      </c>
      <c r="O16" t="s">
        <v>1814</v>
      </c>
      <c r="P16">
        <v>6</v>
      </c>
      <c r="Z16">
        <v>85</v>
      </c>
      <c r="AA16" t="s">
        <v>197</v>
      </c>
      <c r="AB16" t="s">
        <v>12</v>
      </c>
      <c r="AC16" t="s">
        <v>24</v>
      </c>
      <c r="AG16">
        <v>85</v>
      </c>
      <c r="AI16">
        <v>29</v>
      </c>
      <c r="AJ16">
        <v>41</v>
      </c>
    </row>
    <row r="17" spans="1:36" x14ac:dyDescent="0.25">
      <c r="A17" t="s">
        <v>154</v>
      </c>
      <c r="B17">
        <v>2</v>
      </c>
      <c r="C17">
        <v>4</v>
      </c>
      <c r="D17">
        <v>33</v>
      </c>
      <c r="E17" t="s">
        <v>1956</v>
      </c>
      <c r="F17" t="s">
        <v>1814</v>
      </c>
      <c r="G17">
        <v>2</v>
      </c>
      <c r="H17" t="s">
        <v>1883</v>
      </c>
      <c r="I17" t="s">
        <v>1814</v>
      </c>
      <c r="J17">
        <v>5</v>
      </c>
      <c r="K17" t="s">
        <v>365</v>
      </c>
      <c r="L17" t="s">
        <v>1814</v>
      </c>
      <c r="M17">
        <v>11</v>
      </c>
      <c r="N17" t="s">
        <v>1059</v>
      </c>
      <c r="O17" t="s">
        <v>1814</v>
      </c>
      <c r="P17">
        <v>15</v>
      </c>
      <c r="Z17">
        <v>54</v>
      </c>
      <c r="AA17" t="s">
        <v>1180</v>
      </c>
      <c r="AB17" t="s">
        <v>817</v>
      </c>
      <c r="AC17" t="s">
        <v>24</v>
      </c>
      <c r="AG17">
        <v>54</v>
      </c>
      <c r="AI17">
        <v>29</v>
      </c>
      <c r="AJ17">
        <v>58</v>
      </c>
    </row>
    <row r="18" spans="1:36" x14ac:dyDescent="0.25">
      <c r="A18" t="s">
        <v>108</v>
      </c>
      <c r="B18">
        <v>3</v>
      </c>
      <c r="C18">
        <v>4</v>
      </c>
      <c r="D18">
        <v>68</v>
      </c>
      <c r="E18" t="s">
        <v>229</v>
      </c>
      <c r="F18" t="s">
        <v>1814</v>
      </c>
      <c r="G18">
        <v>9</v>
      </c>
      <c r="H18" t="s">
        <v>1833</v>
      </c>
      <c r="I18" t="s">
        <v>1813</v>
      </c>
      <c r="J18">
        <v>10</v>
      </c>
      <c r="K18" t="s">
        <v>375</v>
      </c>
      <c r="L18" t="s">
        <v>1814</v>
      </c>
      <c r="M18">
        <v>17</v>
      </c>
      <c r="N18" t="s">
        <v>188</v>
      </c>
      <c r="O18" t="s">
        <v>1813</v>
      </c>
      <c r="P18">
        <v>32</v>
      </c>
      <c r="Z18">
        <v>17</v>
      </c>
      <c r="AA18" t="s">
        <v>2193</v>
      </c>
      <c r="AB18" t="s">
        <v>1805</v>
      </c>
      <c r="AC18" t="s">
        <v>24</v>
      </c>
      <c r="AG18">
        <v>17</v>
      </c>
      <c r="AI18">
        <v>30</v>
      </c>
      <c r="AJ18">
        <v>10</v>
      </c>
    </row>
    <row r="19" spans="1:36" x14ac:dyDescent="0.25">
      <c r="A19" t="s">
        <v>63</v>
      </c>
      <c r="B19">
        <v>4</v>
      </c>
      <c r="C19">
        <v>4</v>
      </c>
      <c r="D19">
        <v>77</v>
      </c>
      <c r="E19" t="s">
        <v>1767</v>
      </c>
      <c r="F19" t="s">
        <v>1813</v>
      </c>
      <c r="G19">
        <v>12</v>
      </c>
      <c r="H19" t="s">
        <v>1335</v>
      </c>
      <c r="I19" t="s">
        <v>1814</v>
      </c>
      <c r="J19">
        <v>18</v>
      </c>
      <c r="K19" t="s">
        <v>2211</v>
      </c>
      <c r="L19" t="s">
        <v>1813</v>
      </c>
      <c r="M19">
        <v>19</v>
      </c>
      <c r="N19" t="s">
        <v>1182</v>
      </c>
      <c r="O19" t="s">
        <v>1814</v>
      </c>
      <c r="P19">
        <v>28</v>
      </c>
      <c r="Z19">
        <v>29</v>
      </c>
      <c r="AA19" t="s">
        <v>311</v>
      </c>
      <c r="AB19" t="s">
        <v>154</v>
      </c>
      <c r="AC19" t="s">
        <v>24</v>
      </c>
      <c r="AG19">
        <v>29</v>
      </c>
      <c r="AI19">
        <v>30</v>
      </c>
      <c r="AJ19">
        <v>14</v>
      </c>
    </row>
    <row r="20" spans="1:36" x14ac:dyDescent="0.25">
      <c r="A20" t="s">
        <v>1805</v>
      </c>
      <c r="B20">
        <v>5</v>
      </c>
      <c r="C20">
        <v>4</v>
      </c>
      <c r="D20">
        <v>88</v>
      </c>
      <c r="E20" t="s">
        <v>2278</v>
      </c>
      <c r="F20" t="s">
        <v>1814</v>
      </c>
      <c r="G20">
        <v>13</v>
      </c>
      <c r="H20" t="s">
        <v>2216</v>
      </c>
      <c r="I20" t="s">
        <v>1813</v>
      </c>
      <c r="J20">
        <v>16</v>
      </c>
      <c r="K20" t="s">
        <v>2218</v>
      </c>
      <c r="L20" t="s">
        <v>1814</v>
      </c>
      <c r="M20">
        <v>25</v>
      </c>
      <c r="N20" t="s">
        <v>2306</v>
      </c>
      <c r="O20" t="s">
        <v>1814</v>
      </c>
      <c r="P20">
        <v>34</v>
      </c>
      <c r="Z20">
        <v>241</v>
      </c>
      <c r="AA20" t="s">
        <v>2286</v>
      </c>
      <c r="AB20" t="s">
        <v>12</v>
      </c>
      <c r="AC20" t="s">
        <v>24</v>
      </c>
      <c r="AG20">
        <v>241</v>
      </c>
      <c r="AI20">
        <v>30</v>
      </c>
      <c r="AJ20">
        <v>17</v>
      </c>
    </row>
    <row r="21" spans="1:36" x14ac:dyDescent="0.25">
      <c r="A21" t="s">
        <v>14</v>
      </c>
      <c r="B21">
        <v>6</v>
      </c>
      <c r="C21">
        <v>4</v>
      </c>
      <c r="D21">
        <v>119</v>
      </c>
      <c r="E21" t="s">
        <v>991</v>
      </c>
      <c r="F21" t="s">
        <v>1814</v>
      </c>
      <c r="G21">
        <v>14</v>
      </c>
      <c r="H21" t="s">
        <v>1005</v>
      </c>
      <c r="I21" t="s">
        <v>1814</v>
      </c>
      <c r="J21">
        <v>20</v>
      </c>
      <c r="K21" t="s">
        <v>749</v>
      </c>
      <c r="L21" t="s">
        <v>1814</v>
      </c>
      <c r="M21">
        <v>36</v>
      </c>
      <c r="N21" t="s">
        <v>1677</v>
      </c>
      <c r="O21" t="s">
        <v>1814</v>
      </c>
      <c r="P21">
        <v>49</v>
      </c>
      <c r="Z21">
        <v>218</v>
      </c>
      <c r="AA21" t="s">
        <v>1903</v>
      </c>
      <c r="AB21" t="s">
        <v>154</v>
      </c>
      <c r="AC21" t="s">
        <v>24</v>
      </c>
      <c r="AG21">
        <v>218</v>
      </c>
      <c r="AI21">
        <v>30</v>
      </c>
      <c r="AJ21">
        <v>17</v>
      </c>
    </row>
    <row r="22" spans="1:36" x14ac:dyDescent="0.25">
      <c r="A22" t="s">
        <v>38</v>
      </c>
      <c r="B22">
        <v>7</v>
      </c>
      <c r="C22">
        <v>4</v>
      </c>
      <c r="D22">
        <v>136</v>
      </c>
      <c r="E22" t="s">
        <v>1418</v>
      </c>
      <c r="F22" t="s">
        <v>1813</v>
      </c>
      <c r="G22">
        <v>26</v>
      </c>
      <c r="H22" t="s">
        <v>2223</v>
      </c>
      <c r="I22" t="s">
        <v>1814</v>
      </c>
      <c r="J22">
        <v>27</v>
      </c>
      <c r="K22" t="s">
        <v>2225</v>
      </c>
      <c r="L22" t="s">
        <v>1814</v>
      </c>
      <c r="M22">
        <v>35</v>
      </c>
      <c r="N22" t="s">
        <v>1191</v>
      </c>
      <c r="O22" t="s">
        <v>1814</v>
      </c>
      <c r="P22">
        <v>48</v>
      </c>
      <c r="Z22">
        <v>165</v>
      </c>
      <c r="AA22" t="s">
        <v>895</v>
      </c>
      <c r="AB22" t="s">
        <v>12</v>
      </c>
      <c r="AC22" t="s">
        <v>24</v>
      </c>
      <c r="AG22">
        <v>165</v>
      </c>
      <c r="AI22">
        <v>30</v>
      </c>
      <c r="AJ22">
        <v>24</v>
      </c>
    </row>
    <row r="23" spans="1:36" x14ac:dyDescent="0.25">
      <c r="A23" t="s">
        <v>155</v>
      </c>
      <c r="B23">
        <v>8</v>
      </c>
      <c r="C23">
        <v>4</v>
      </c>
      <c r="D23">
        <v>168</v>
      </c>
      <c r="E23" t="s">
        <v>281</v>
      </c>
      <c r="F23" t="s">
        <v>1814</v>
      </c>
      <c r="G23">
        <v>29</v>
      </c>
      <c r="H23" t="s">
        <v>377</v>
      </c>
      <c r="I23" t="s">
        <v>1814</v>
      </c>
      <c r="J23">
        <v>42</v>
      </c>
      <c r="K23" t="s">
        <v>2274</v>
      </c>
      <c r="L23" t="s">
        <v>1814</v>
      </c>
      <c r="M23">
        <v>47</v>
      </c>
      <c r="N23" t="s">
        <v>1835</v>
      </c>
      <c r="O23" t="s">
        <v>1813</v>
      </c>
      <c r="P23">
        <v>50</v>
      </c>
      <c r="Z23">
        <v>209</v>
      </c>
      <c r="AA23" t="s">
        <v>1808</v>
      </c>
      <c r="AB23" t="s">
        <v>108</v>
      </c>
      <c r="AC23" t="s">
        <v>24</v>
      </c>
      <c r="AG23">
        <v>209</v>
      </c>
      <c r="AI23">
        <v>30</v>
      </c>
      <c r="AJ23">
        <v>29</v>
      </c>
    </row>
    <row r="24" spans="1:36" x14ac:dyDescent="0.25">
      <c r="A24" t="s">
        <v>43</v>
      </c>
      <c r="B24">
        <v>9</v>
      </c>
      <c r="C24">
        <v>2</v>
      </c>
      <c r="D24">
        <v>357</v>
      </c>
      <c r="E24" t="s">
        <v>380</v>
      </c>
      <c r="F24" t="s">
        <v>1814</v>
      </c>
      <c r="G24">
        <v>44</v>
      </c>
      <c r="H24" t="s">
        <v>1761</v>
      </c>
      <c r="I24" t="s">
        <v>1814</v>
      </c>
      <c r="J24">
        <v>88</v>
      </c>
      <c r="K24" t="s">
        <v>1815</v>
      </c>
      <c r="M24">
        <v>112</v>
      </c>
      <c r="N24" t="s">
        <v>1815</v>
      </c>
      <c r="P24">
        <v>113</v>
      </c>
      <c r="Z24">
        <v>81</v>
      </c>
      <c r="AA24" t="s">
        <v>1460</v>
      </c>
      <c r="AB24" t="s">
        <v>505</v>
      </c>
      <c r="AC24" t="s">
        <v>24</v>
      </c>
      <c r="AG24">
        <v>81</v>
      </c>
      <c r="AI24">
        <v>30</v>
      </c>
      <c r="AJ24">
        <v>40</v>
      </c>
    </row>
    <row r="25" spans="1:36" x14ac:dyDescent="0.25">
      <c r="Z25">
        <v>300</v>
      </c>
      <c r="AA25" t="s">
        <v>408</v>
      </c>
      <c r="AB25" t="s">
        <v>63</v>
      </c>
      <c r="AC25" t="s">
        <v>24</v>
      </c>
      <c r="AG25">
        <v>300</v>
      </c>
      <c r="AI25">
        <v>31</v>
      </c>
      <c r="AJ25">
        <v>7</v>
      </c>
    </row>
    <row r="26" spans="1:36" x14ac:dyDescent="0.25">
      <c r="Z26">
        <v>67</v>
      </c>
      <c r="AA26" t="s">
        <v>1682</v>
      </c>
      <c r="AB26" t="s">
        <v>108</v>
      </c>
      <c r="AC26" t="s">
        <v>24</v>
      </c>
      <c r="AG26">
        <v>67</v>
      </c>
      <c r="AI26">
        <v>31</v>
      </c>
      <c r="AJ26">
        <v>16</v>
      </c>
    </row>
    <row r="27" spans="1:36" x14ac:dyDescent="0.25">
      <c r="Z27">
        <v>197</v>
      </c>
      <c r="AA27" t="s">
        <v>272</v>
      </c>
      <c r="AB27" t="s">
        <v>12</v>
      </c>
      <c r="AC27" t="s">
        <v>24</v>
      </c>
      <c r="AG27">
        <v>197</v>
      </c>
      <c r="AI27">
        <v>31</v>
      </c>
      <c r="AJ27">
        <v>17</v>
      </c>
    </row>
    <row r="28" spans="1:36" x14ac:dyDescent="0.25">
      <c r="Z28">
        <v>166</v>
      </c>
      <c r="AA28" t="s">
        <v>2194</v>
      </c>
      <c r="AB28" t="s">
        <v>63</v>
      </c>
      <c r="AC28" t="s">
        <v>24</v>
      </c>
      <c r="AG28">
        <v>166</v>
      </c>
      <c r="AI28">
        <v>31</v>
      </c>
      <c r="AJ28">
        <v>22</v>
      </c>
    </row>
    <row r="29" spans="1:36" x14ac:dyDescent="0.25">
      <c r="Z29">
        <v>7</v>
      </c>
      <c r="AA29" t="s">
        <v>901</v>
      </c>
      <c r="AB29" t="s">
        <v>12</v>
      </c>
      <c r="AC29" t="s">
        <v>23</v>
      </c>
      <c r="AG29">
        <v>7</v>
      </c>
      <c r="AI29">
        <v>31</v>
      </c>
      <c r="AJ29">
        <v>26</v>
      </c>
    </row>
    <row r="30" spans="1:36" x14ac:dyDescent="0.25">
      <c r="Z30">
        <v>161</v>
      </c>
      <c r="AA30" t="s">
        <v>1745</v>
      </c>
      <c r="AB30" t="s">
        <v>12</v>
      </c>
      <c r="AC30" t="s">
        <v>24</v>
      </c>
      <c r="AG30">
        <v>161</v>
      </c>
      <c r="AI30">
        <v>31</v>
      </c>
      <c r="AJ30">
        <v>26</v>
      </c>
    </row>
    <row r="31" spans="1:36" x14ac:dyDescent="0.25">
      <c r="Z31">
        <v>183</v>
      </c>
      <c r="AA31" t="s">
        <v>2308</v>
      </c>
      <c r="AB31" t="s">
        <v>2265</v>
      </c>
      <c r="AC31" t="s">
        <v>24</v>
      </c>
      <c r="AG31">
        <v>183</v>
      </c>
      <c r="AI31">
        <v>31</v>
      </c>
      <c r="AJ31">
        <v>33</v>
      </c>
    </row>
    <row r="32" spans="1:36" x14ac:dyDescent="0.25">
      <c r="Z32">
        <v>84</v>
      </c>
      <c r="AA32" t="s">
        <v>2198</v>
      </c>
      <c r="AB32" t="s">
        <v>38</v>
      </c>
      <c r="AC32" t="s">
        <v>24</v>
      </c>
      <c r="AG32">
        <v>84</v>
      </c>
      <c r="AI32">
        <v>31</v>
      </c>
      <c r="AJ32">
        <v>38</v>
      </c>
    </row>
    <row r="33" spans="26:36" x14ac:dyDescent="0.25">
      <c r="Z33">
        <v>156</v>
      </c>
      <c r="AA33" t="s">
        <v>1822</v>
      </c>
      <c r="AB33" t="s">
        <v>1805</v>
      </c>
      <c r="AC33" t="s">
        <v>24</v>
      </c>
      <c r="AG33">
        <v>156</v>
      </c>
      <c r="AI33">
        <v>31</v>
      </c>
      <c r="AJ33">
        <v>52</v>
      </c>
    </row>
    <row r="34" spans="26:36" x14ac:dyDescent="0.25">
      <c r="Z34">
        <v>128</v>
      </c>
      <c r="AA34" t="s">
        <v>2196</v>
      </c>
      <c r="AB34" t="s">
        <v>108</v>
      </c>
      <c r="AC34" t="s">
        <v>24</v>
      </c>
      <c r="AG34">
        <v>128</v>
      </c>
      <c r="AI34">
        <v>32</v>
      </c>
      <c r="AJ34">
        <v>2</v>
      </c>
    </row>
    <row r="35" spans="26:36" x14ac:dyDescent="0.25">
      <c r="Z35">
        <v>186</v>
      </c>
      <c r="AA35" t="s">
        <v>1785</v>
      </c>
      <c r="AB35" t="s">
        <v>12</v>
      </c>
      <c r="AC35" t="s">
        <v>24</v>
      </c>
      <c r="AG35">
        <v>186</v>
      </c>
      <c r="AI35">
        <v>32</v>
      </c>
      <c r="AJ35">
        <v>9</v>
      </c>
    </row>
    <row r="36" spans="26:36" x14ac:dyDescent="0.25">
      <c r="Z36">
        <v>278</v>
      </c>
      <c r="AA36" t="s">
        <v>1789</v>
      </c>
      <c r="AB36" t="s">
        <v>43</v>
      </c>
      <c r="AC36" t="s">
        <v>24</v>
      </c>
      <c r="AG36">
        <v>278</v>
      </c>
      <c r="AI36">
        <v>32</v>
      </c>
      <c r="AJ36">
        <v>10</v>
      </c>
    </row>
    <row r="37" spans="26:36" x14ac:dyDescent="0.25">
      <c r="Z37">
        <v>182</v>
      </c>
      <c r="AA37" t="s">
        <v>2309</v>
      </c>
      <c r="AB37" t="s">
        <v>12</v>
      </c>
      <c r="AC37" t="s">
        <v>24</v>
      </c>
      <c r="AG37">
        <v>182</v>
      </c>
      <c r="AI37">
        <v>32</v>
      </c>
      <c r="AJ37">
        <v>13</v>
      </c>
    </row>
    <row r="38" spans="26:36" x14ac:dyDescent="0.25">
      <c r="Z38">
        <v>147</v>
      </c>
      <c r="AA38" t="s">
        <v>2197</v>
      </c>
      <c r="AB38" t="s">
        <v>1805</v>
      </c>
      <c r="AC38" t="s">
        <v>24</v>
      </c>
      <c r="AG38">
        <v>147</v>
      </c>
      <c r="AI38">
        <v>32</v>
      </c>
      <c r="AJ38">
        <v>43</v>
      </c>
    </row>
    <row r="39" spans="26:36" x14ac:dyDescent="0.25">
      <c r="Z39">
        <v>18</v>
      </c>
      <c r="AA39" t="s">
        <v>239</v>
      </c>
      <c r="AB39" t="s">
        <v>43</v>
      </c>
      <c r="AC39" t="s">
        <v>24</v>
      </c>
      <c r="AG39">
        <v>18</v>
      </c>
      <c r="AI39">
        <v>32</v>
      </c>
      <c r="AJ39">
        <v>46</v>
      </c>
    </row>
    <row r="40" spans="26:36" x14ac:dyDescent="0.25">
      <c r="Z40">
        <v>88</v>
      </c>
      <c r="AA40" t="s">
        <v>1956</v>
      </c>
      <c r="AB40" t="s">
        <v>154</v>
      </c>
      <c r="AC40" t="s">
        <v>23</v>
      </c>
      <c r="AG40">
        <v>88</v>
      </c>
      <c r="AI40">
        <v>32</v>
      </c>
      <c r="AJ40">
        <v>54</v>
      </c>
    </row>
    <row r="41" spans="26:36" x14ac:dyDescent="0.25">
      <c r="Z41">
        <v>164</v>
      </c>
      <c r="AA41" t="s">
        <v>260</v>
      </c>
      <c r="AB41" t="s">
        <v>12</v>
      </c>
      <c r="AC41" t="s">
        <v>23</v>
      </c>
      <c r="AG41">
        <v>164</v>
      </c>
      <c r="AI41">
        <v>33</v>
      </c>
      <c r="AJ41">
        <v>2</v>
      </c>
    </row>
    <row r="42" spans="26:36" x14ac:dyDescent="0.25">
      <c r="Z42">
        <v>169</v>
      </c>
      <c r="AA42" t="s">
        <v>176</v>
      </c>
      <c r="AB42" t="s">
        <v>12</v>
      </c>
      <c r="AC42" t="s">
        <v>24</v>
      </c>
      <c r="AG42">
        <v>169</v>
      </c>
      <c r="AI42">
        <v>33</v>
      </c>
      <c r="AJ42">
        <v>6</v>
      </c>
    </row>
    <row r="43" spans="26:36" x14ac:dyDescent="0.25">
      <c r="Z43">
        <v>234</v>
      </c>
      <c r="AA43" t="s">
        <v>414</v>
      </c>
      <c r="AB43" t="s">
        <v>155</v>
      </c>
      <c r="AC43" t="s">
        <v>24</v>
      </c>
      <c r="AG43">
        <v>234</v>
      </c>
      <c r="AI43">
        <v>33</v>
      </c>
      <c r="AJ43">
        <v>10</v>
      </c>
    </row>
    <row r="44" spans="26:36" x14ac:dyDescent="0.25">
      <c r="Z44">
        <v>107</v>
      </c>
      <c r="AA44" t="s">
        <v>1522</v>
      </c>
      <c r="AB44" t="s">
        <v>14</v>
      </c>
      <c r="AC44" t="s">
        <v>24</v>
      </c>
      <c r="AG44">
        <v>107</v>
      </c>
      <c r="AI44">
        <v>33</v>
      </c>
      <c r="AJ44">
        <v>15</v>
      </c>
    </row>
    <row r="45" spans="26:36" x14ac:dyDescent="0.25">
      <c r="Z45">
        <v>5</v>
      </c>
      <c r="AA45" t="s">
        <v>337</v>
      </c>
      <c r="AB45" t="s">
        <v>108</v>
      </c>
      <c r="AC45" t="s">
        <v>24</v>
      </c>
      <c r="AG45">
        <v>5</v>
      </c>
      <c r="AI45">
        <v>33</v>
      </c>
      <c r="AJ45">
        <v>24</v>
      </c>
    </row>
    <row r="46" spans="26:36" x14ac:dyDescent="0.25">
      <c r="Z46">
        <v>252</v>
      </c>
      <c r="AA46" t="s">
        <v>301</v>
      </c>
      <c r="AB46" t="s">
        <v>154</v>
      </c>
      <c r="AC46" t="s">
        <v>24</v>
      </c>
      <c r="AG46">
        <v>252</v>
      </c>
      <c r="AI46">
        <v>33</v>
      </c>
      <c r="AJ46">
        <v>27</v>
      </c>
    </row>
    <row r="47" spans="26:36" x14ac:dyDescent="0.25">
      <c r="Z47">
        <v>286</v>
      </c>
      <c r="AA47" t="s">
        <v>1323</v>
      </c>
      <c r="AB47" t="s">
        <v>12</v>
      </c>
      <c r="AC47" t="s">
        <v>23</v>
      </c>
      <c r="AG47">
        <v>286</v>
      </c>
      <c r="AI47">
        <v>33</v>
      </c>
      <c r="AJ47">
        <v>53</v>
      </c>
    </row>
    <row r="48" spans="26:36" x14ac:dyDescent="0.25">
      <c r="Z48">
        <v>292</v>
      </c>
      <c r="AA48" t="s">
        <v>1119</v>
      </c>
      <c r="AB48" t="s">
        <v>43</v>
      </c>
      <c r="AC48" t="s">
        <v>24</v>
      </c>
      <c r="AG48">
        <v>292</v>
      </c>
      <c r="AI48">
        <v>33</v>
      </c>
      <c r="AJ48">
        <v>57</v>
      </c>
    </row>
    <row r="49" spans="26:36" x14ac:dyDescent="0.25">
      <c r="Z49">
        <v>28</v>
      </c>
      <c r="AA49" t="s">
        <v>999</v>
      </c>
      <c r="AB49" t="s">
        <v>12</v>
      </c>
      <c r="AC49" t="s">
        <v>24</v>
      </c>
      <c r="AG49">
        <v>28</v>
      </c>
      <c r="AI49">
        <v>34</v>
      </c>
      <c r="AJ49">
        <v>1</v>
      </c>
    </row>
    <row r="50" spans="26:36" x14ac:dyDescent="0.25">
      <c r="Z50">
        <v>57</v>
      </c>
      <c r="AA50" t="s">
        <v>2204</v>
      </c>
      <c r="AB50" t="s">
        <v>12</v>
      </c>
      <c r="AC50" t="s">
        <v>24</v>
      </c>
      <c r="AG50">
        <v>57</v>
      </c>
      <c r="AI50">
        <v>34</v>
      </c>
      <c r="AJ50">
        <v>5</v>
      </c>
    </row>
    <row r="51" spans="26:36" x14ac:dyDescent="0.25">
      <c r="Z51">
        <v>179</v>
      </c>
      <c r="AA51" t="s">
        <v>928</v>
      </c>
      <c r="AB51" t="s">
        <v>12</v>
      </c>
      <c r="AC51" t="s">
        <v>24</v>
      </c>
      <c r="AG51">
        <v>179</v>
      </c>
      <c r="AI51">
        <v>34</v>
      </c>
      <c r="AJ51">
        <v>5</v>
      </c>
    </row>
    <row r="52" spans="26:36" x14ac:dyDescent="0.25">
      <c r="Z52">
        <v>125</v>
      </c>
      <c r="AA52" t="s">
        <v>2276</v>
      </c>
      <c r="AB52" t="s">
        <v>38</v>
      </c>
      <c r="AC52" t="s">
        <v>24</v>
      </c>
      <c r="AG52">
        <v>125</v>
      </c>
      <c r="AI52">
        <v>34</v>
      </c>
      <c r="AJ52">
        <v>6</v>
      </c>
    </row>
    <row r="53" spans="26:36" x14ac:dyDescent="0.25">
      <c r="Z53">
        <v>158</v>
      </c>
      <c r="AA53" t="s">
        <v>2304</v>
      </c>
      <c r="AB53" t="s">
        <v>63</v>
      </c>
      <c r="AC53" t="s">
        <v>24</v>
      </c>
      <c r="AG53">
        <v>158</v>
      </c>
      <c r="AI53">
        <v>34</v>
      </c>
      <c r="AJ53">
        <v>11</v>
      </c>
    </row>
    <row r="54" spans="26:36" x14ac:dyDescent="0.25">
      <c r="Z54">
        <v>124</v>
      </c>
      <c r="AA54" t="s">
        <v>1883</v>
      </c>
      <c r="AB54" t="s">
        <v>154</v>
      </c>
      <c r="AC54" t="s">
        <v>23</v>
      </c>
      <c r="AG54">
        <v>124</v>
      </c>
      <c r="AI54">
        <v>34</v>
      </c>
      <c r="AJ54">
        <v>14</v>
      </c>
    </row>
    <row r="55" spans="26:36" x14ac:dyDescent="0.25">
      <c r="Z55">
        <v>204</v>
      </c>
      <c r="AA55" t="s">
        <v>353</v>
      </c>
      <c r="AB55" t="s">
        <v>43</v>
      </c>
      <c r="AC55" t="s">
        <v>24</v>
      </c>
      <c r="AG55">
        <v>204</v>
      </c>
      <c r="AI55">
        <v>34</v>
      </c>
      <c r="AJ55">
        <v>21</v>
      </c>
    </row>
    <row r="56" spans="26:36" x14ac:dyDescent="0.25">
      <c r="Z56">
        <v>21</v>
      </c>
      <c r="AA56" t="s">
        <v>271</v>
      </c>
      <c r="AB56" t="s">
        <v>12</v>
      </c>
      <c r="AC56" t="s">
        <v>23</v>
      </c>
      <c r="AG56">
        <v>21</v>
      </c>
      <c r="AI56">
        <v>34</v>
      </c>
      <c r="AJ56">
        <v>22</v>
      </c>
    </row>
    <row r="57" spans="26:36" x14ac:dyDescent="0.25">
      <c r="Z57">
        <v>89</v>
      </c>
      <c r="AA57" t="s">
        <v>2202</v>
      </c>
      <c r="AB57" t="s">
        <v>38</v>
      </c>
      <c r="AC57" t="s">
        <v>24</v>
      </c>
      <c r="AG57">
        <v>89</v>
      </c>
      <c r="AI57">
        <v>34</v>
      </c>
      <c r="AJ57">
        <v>24</v>
      </c>
    </row>
    <row r="58" spans="26:36" x14ac:dyDescent="0.25">
      <c r="Z58">
        <v>56</v>
      </c>
      <c r="AA58" t="s">
        <v>1450</v>
      </c>
      <c r="AB58" t="s">
        <v>12</v>
      </c>
      <c r="AC58" t="s">
        <v>23</v>
      </c>
      <c r="AG58">
        <v>56</v>
      </c>
      <c r="AI58">
        <v>34</v>
      </c>
      <c r="AJ58">
        <v>28</v>
      </c>
    </row>
    <row r="59" spans="26:36" x14ac:dyDescent="0.25">
      <c r="Z59">
        <v>135</v>
      </c>
      <c r="AA59" t="s">
        <v>2201</v>
      </c>
      <c r="AB59" t="s">
        <v>12</v>
      </c>
      <c r="AC59" t="s">
        <v>24</v>
      </c>
      <c r="AG59">
        <v>135</v>
      </c>
      <c r="AI59">
        <v>34</v>
      </c>
      <c r="AJ59">
        <v>34</v>
      </c>
    </row>
    <row r="60" spans="26:36" x14ac:dyDescent="0.25">
      <c r="Z60">
        <v>13</v>
      </c>
      <c r="AA60" t="s">
        <v>1373</v>
      </c>
      <c r="AB60" t="s">
        <v>12</v>
      </c>
      <c r="AC60" t="s">
        <v>24</v>
      </c>
      <c r="AG60">
        <v>13</v>
      </c>
      <c r="AI60">
        <v>34</v>
      </c>
      <c r="AJ60">
        <v>42</v>
      </c>
    </row>
    <row r="61" spans="26:36" x14ac:dyDescent="0.25">
      <c r="Z61">
        <v>91</v>
      </c>
      <c r="AA61" t="s">
        <v>2124</v>
      </c>
      <c r="AB61" t="s">
        <v>12</v>
      </c>
      <c r="AC61" t="s">
        <v>23</v>
      </c>
      <c r="AG61">
        <v>91</v>
      </c>
      <c r="AI61">
        <v>34</v>
      </c>
      <c r="AJ61">
        <v>44</v>
      </c>
    </row>
    <row r="62" spans="26:36" x14ac:dyDescent="0.25">
      <c r="Z62">
        <v>32</v>
      </c>
      <c r="AA62" t="s">
        <v>1651</v>
      </c>
      <c r="AB62" t="s">
        <v>108</v>
      </c>
      <c r="AC62" t="s">
        <v>24</v>
      </c>
      <c r="AG62">
        <v>32</v>
      </c>
      <c r="AI62">
        <v>34</v>
      </c>
      <c r="AJ62">
        <v>52</v>
      </c>
    </row>
    <row r="63" spans="26:36" x14ac:dyDescent="0.25">
      <c r="Z63">
        <v>168</v>
      </c>
      <c r="AA63" t="s">
        <v>2206</v>
      </c>
      <c r="AB63" t="s">
        <v>12</v>
      </c>
      <c r="AC63" t="s">
        <v>24</v>
      </c>
      <c r="AG63">
        <v>168</v>
      </c>
      <c r="AI63">
        <v>34</v>
      </c>
      <c r="AJ63">
        <v>58</v>
      </c>
    </row>
    <row r="64" spans="26:36" x14ac:dyDescent="0.25">
      <c r="Z64">
        <v>266</v>
      </c>
      <c r="AA64" t="s">
        <v>180</v>
      </c>
      <c r="AB64" t="s">
        <v>12</v>
      </c>
      <c r="AC64" t="s">
        <v>24</v>
      </c>
      <c r="AG64">
        <v>266</v>
      </c>
      <c r="AI64">
        <v>35</v>
      </c>
      <c r="AJ64">
        <v>0</v>
      </c>
    </row>
    <row r="65" spans="26:36" x14ac:dyDescent="0.25">
      <c r="Z65">
        <v>93</v>
      </c>
      <c r="AA65" t="s">
        <v>2205</v>
      </c>
      <c r="AB65" t="s">
        <v>38</v>
      </c>
      <c r="AC65" t="s">
        <v>24</v>
      </c>
      <c r="AG65">
        <v>93</v>
      </c>
      <c r="AI65">
        <v>35</v>
      </c>
      <c r="AJ65">
        <v>5</v>
      </c>
    </row>
    <row r="66" spans="26:36" x14ac:dyDescent="0.25">
      <c r="Z66">
        <v>250</v>
      </c>
      <c r="AA66" t="s">
        <v>1911</v>
      </c>
      <c r="AB66" t="s">
        <v>14</v>
      </c>
      <c r="AC66" t="s">
        <v>24</v>
      </c>
      <c r="AG66">
        <v>250</v>
      </c>
      <c r="AI66">
        <v>35</v>
      </c>
      <c r="AJ66">
        <v>11</v>
      </c>
    </row>
    <row r="67" spans="26:36" x14ac:dyDescent="0.25">
      <c r="Z67">
        <v>43</v>
      </c>
      <c r="AA67" t="s">
        <v>2275</v>
      </c>
      <c r="AB67" t="s">
        <v>43</v>
      </c>
      <c r="AC67" t="s">
        <v>24</v>
      </c>
      <c r="AG67">
        <v>43</v>
      </c>
      <c r="AI67">
        <v>35</v>
      </c>
      <c r="AJ67">
        <v>11</v>
      </c>
    </row>
    <row r="68" spans="26:36" x14ac:dyDescent="0.25">
      <c r="Z68">
        <v>264</v>
      </c>
      <c r="AA68" t="s">
        <v>2148</v>
      </c>
      <c r="AB68" t="s">
        <v>14</v>
      </c>
      <c r="AC68" t="s">
        <v>24</v>
      </c>
      <c r="AG68">
        <v>264</v>
      </c>
      <c r="AI68">
        <v>35</v>
      </c>
      <c r="AJ68">
        <v>18</v>
      </c>
    </row>
    <row r="69" spans="26:36" x14ac:dyDescent="0.25">
      <c r="Z69">
        <v>298</v>
      </c>
      <c r="AA69" t="s">
        <v>300</v>
      </c>
      <c r="AB69" t="s">
        <v>43</v>
      </c>
      <c r="AC69" t="s">
        <v>24</v>
      </c>
      <c r="AG69">
        <v>298</v>
      </c>
      <c r="AI69">
        <v>35</v>
      </c>
      <c r="AJ69">
        <v>33</v>
      </c>
    </row>
    <row r="70" spans="26:36" x14ac:dyDescent="0.25">
      <c r="Z70">
        <v>73</v>
      </c>
      <c r="AA70" t="s">
        <v>781</v>
      </c>
      <c r="AB70" t="s">
        <v>12</v>
      </c>
      <c r="AC70" t="s">
        <v>24</v>
      </c>
      <c r="AG70">
        <v>73</v>
      </c>
      <c r="AI70">
        <v>35</v>
      </c>
      <c r="AJ70">
        <v>33</v>
      </c>
    </row>
    <row r="71" spans="26:36" x14ac:dyDescent="0.25">
      <c r="Z71">
        <v>163</v>
      </c>
      <c r="AA71" t="s">
        <v>609</v>
      </c>
      <c r="AB71" t="s">
        <v>43</v>
      </c>
      <c r="AC71" t="s">
        <v>24</v>
      </c>
      <c r="AG71">
        <v>163</v>
      </c>
      <c r="AI71">
        <v>35</v>
      </c>
      <c r="AJ71">
        <v>37</v>
      </c>
    </row>
    <row r="72" spans="26:36" x14ac:dyDescent="0.25">
      <c r="Z72">
        <v>51</v>
      </c>
      <c r="AA72" t="s">
        <v>367</v>
      </c>
      <c r="AB72" t="s">
        <v>108</v>
      </c>
      <c r="AC72" t="s">
        <v>24</v>
      </c>
      <c r="AG72">
        <v>51</v>
      </c>
      <c r="AI72">
        <v>35</v>
      </c>
      <c r="AJ72">
        <v>38</v>
      </c>
    </row>
    <row r="73" spans="26:36" x14ac:dyDescent="0.25">
      <c r="Z73">
        <v>62</v>
      </c>
      <c r="AA73" t="s">
        <v>264</v>
      </c>
      <c r="AB73" t="s">
        <v>12</v>
      </c>
      <c r="AC73" t="s">
        <v>24</v>
      </c>
      <c r="AG73">
        <v>62</v>
      </c>
      <c r="AI73">
        <v>35</v>
      </c>
      <c r="AJ73">
        <v>38</v>
      </c>
    </row>
    <row r="74" spans="26:36" x14ac:dyDescent="0.25">
      <c r="Z74">
        <v>213</v>
      </c>
      <c r="AA74" t="s">
        <v>1825</v>
      </c>
      <c r="AB74" t="s">
        <v>505</v>
      </c>
      <c r="AC74" t="s">
        <v>24</v>
      </c>
      <c r="AG74">
        <v>213</v>
      </c>
      <c r="AI74">
        <v>35</v>
      </c>
      <c r="AJ74">
        <v>45</v>
      </c>
    </row>
    <row r="75" spans="26:36" x14ac:dyDescent="0.25">
      <c r="Z75">
        <v>27</v>
      </c>
      <c r="AA75" t="s">
        <v>1699</v>
      </c>
      <c r="AB75" t="s">
        <v>154</v>
      </c>
      <c r="AC75" t="s">
        <v>24</v>
      </c>
      <c r="AG75">
        <v>27</v>
      </c>
      <c r="AI75">
        <v>35</v>
      </c>
      <c r="AJ75">
        <v>53</v>
      </c>
    </row>
    <row r="76" spans="26:36" x14ac:dyDescent="0.25">
      <c r="Z76">
        <v>167</v>
      </c>
      <c r="AA76" t="s">
        <v>2210</v>
      </c>
      <c r="AB76" t="s">
        <v>505</v>
      </c>
      <c r="AC76" t="s">
        <v>24</v>
      </c>
      <c r="AG76">
        <v>167</v>
      </c>
      <c r="AI76">
        <v>35</v>
      </c>
      <c r="AJ76">
        <v>58</v>
      </c>
    </row>
    <row r="77" spans="26:36" x14ac:dyDescent="0.25">
      <c r="Z77">
        <v>275</v>
      </c>
      <c r="AA77" t="s">
        <v>269</v>
      </c>
      <c r="AB77" t="s">
        <v>43</v>
      </c>
      <c r="AC77" t="s">
        <v>24</v>
      </c>
      <c r="AG77">
        <v>275</v>
      </c>
      <c r="AI77">
        <v>36</v>
      </c>
      <c r="AJ77">
        <v>1</v>
      </c>
    </row>
    <row r="78" spans="26:36" x14ac:dyDescent="0.25">
      <c r="Z78">
        <v>44</v>
      </c>
      <c r="AA78" t="s">
        <v>2273</v>
      </c>
      <c r="AB78" t="s">
        <v>43</v>
      </c>
      <c r="AC78" t="s">
        <v>24</v>
      </c>
      <c r="AG78">
        <v>44</v>
      </c>
      <c r="AI78">
        <v>36</v>
      </c>
      <c r="AJ78">
        <v>5</v>
      </c>
    </row>
    <row r="79" spans="26:36" x14ac:dyDescent="0.25">
      <c r="Z79">
        <v>119</v>
      </c>
      <c r="AA79" t="s">
        <v>340</v>
      </c>
      <c r="AB79" t="s">
        <v>12</v>
      </c>
      <c r="AC79" t="s">
        <v>24</v>
      </c>
      <c r="AG79">
        <v>119</v>
      </c>
      <c r="AI79">
        <v>36</v>
      </c>
      <c r="AJ79">
        <v>8</v>
      </c>
    </row>
    <row r="80" spans="26:36" x14ac:dyDescent="0.25">
      <c r="Z80">
        <v>77</v>
      </c>
      <c r="AA80" t="s">
        <v>277</v>
      </c>
      <c r="AB80" t="s">
        <v>63</v>
      </c>
      <c r="AC80" t="s">
        <v>24</v>
      </c>
      <c r="AG80">
        <v>77</v>
      </c>
      <c r="AI80">
        <v>36</v>
      </c>
      <c r="AJ80">
        <v>17</v>
      </c>
    </row>
    <row r="81" spans="26:36" x14ac:dyDescent="0.25">
      <c r="Z81">
        <v>206</v>
      </c>
      <c r="AA81" t="s">
        <v>2200</v>
      </c>
      <c r="AB81" t="s">
        <v>1805</v>
      </c>
      <c r="AC81" t="s">
        <v>24</v>
      </c>
      <c r="AG81">
        <v>206</v>
      </c>
      <c r="AI81">
        <v>36</v>
      </c>
      <c r="AJ81">
        <v>20</v>
      </c>
    </row>
    <row r="82" spans="26:36" x14ac:dyDescent="0.25">
      <c r="Z82">
        <v>87</v>
      </c>
      <c r="AA82" t="s">
        <v>1662</v>
      </c>
      <c r="AB82" t="s">
        <v>14</v>
      </c>
      <c r="AC82" t="s">
        <v>24</v>
      </c>
      <c r="AG82">
        <v>87</v>
      </c>
      <c r="AI82">
        <v>36</v>
      </c>
      <c r="AJ82">
        <v>22</v>
      </c>
    </row>
    <row r="83" spans="26:36" x14ac:dyDescent="0.25">
      <c r="Z83">
        <v>10</v>
      </c>
      <c r="AA83" t="s">
        <v>1406</v>
      </c>
      <c r="AB83" t="s">
        <v>155</v>
      </c>
      <c r="AC83" t="s">
        <v>24</v>
      </c>
      <c r="AG83">
        <v>10</v>
      </c>
      <c r="AI83">
        <v>36</v>
      </c>
      <c r="AJ83">
        <v>24</v>
      </c>
    </row>
    <row r="84" spans="26:36" x14ac:dyDescent="0.25">
      <c r="Z84">
        <v>199</v>
      </c>
      <c r="AA84" t="s">
        <v>229</v>
      </c>
      <c r="AB84" t="s">
        <v>108</v>
      </c>
      <c r="AC84" t="s">
        <v>23</v>
      </c>
      <c r="AG84">
        <v>199</v>
      </c>
      <c r="AI84">
        <v>36</v>
      </c>
      <c r="AJ84">
        <v>27</v>
      </c>
    </row>
    <row r="85" spans="26:36" x14ac:dyDescent="0.25">
      <c r="Z85">
        <v>211</v>
      </c>
      <c r="AA85" t="s">
        <v>186</v>
      </c>
      <c r="AB85" t="s">
        <v>12</v>
      </c>
      <c r="AC85" t="s">
        <v>24</v>
      </c>
      <c r="AG85">
        <v>211</v>
      </c>
      <c r="AI85">
        <v>36</v>
      </c>
      <c r="AJ85">
        <v>28</v>
      </c>
    </row>
    <row r="86" spans="26:36" x14ac:dyDescent="0.25">
      <c r="Z86">
        <v>176</v>
      </c>
      <c r="AA86" t="s">
        <v>1935</v>
      </c>
      <c r="AB86" t="s">
        <v>63</v>
      </c>
      <c r="AC86" t="s">
        <v>24</v>
      </c>
      <c r="AG86">
        <v>176</v>
      </c>
      <c r="AI86">
        <v>36</v>
      </c>
      <c r="AJ86">
        <v>30</v>
      </c>
    </row>
    <row r="87" spans="26:36" x14ac:dyDescent="0.25">
      <c r="Z87">
        <v>221</v>
      </c>
      <c r="AA87" t="s">
        <v>1833</v>
      </c>
      <c r="AB87" t="s">
        <v>108</v>
      </c>
      <c r="AC87" t="s">
        <v>23</v>
      </c>
      <c r="AG87">
        <v>221</v>
      </c>
      <c r="AI87">
        <v>36</v>
      </c>
      <c r="AJ87">
        <v>35</v>
      </c>
    </row>
    <row r="88" spans="26:36" x14ac:dyDescent="0.25">
      <c r="Z88">
        <v>58</v>
      </c>
      <c r="AA88" t="s">
        <v>2203</v>
      </c>
      <c r="AB88" t="s">
        <v>505</v>
      </c>
      <c r="AC88" t="s">
        <v>24</v>
      </c>
      <c r="AG88">
        <v>58</v>
      </c>
      <c r="AI88">
        <v>36</v>
      </c>
      <c r="AJ88">
        <v>38</v>
      </c>
    </row>
    <row r="89" spans="26:36" x14ac:dyDescent="0.25">
      <c r="Z89">
        <v>214</v>
      </c>
      <c r="AA89" t="s">
        <v>1762</v>
      </c>
      <c r="AB89" t="s">
        <v>108</v>
      </c>
      <c r="AC89" t="s">
        <v>24</v>
      </c>
      <c r="AG89">
        <v>214</v>
      </c>
      <c r="AI89">
        <v>36</v>
      </c>
      <c r="AJ89">
        <v>52</v>
      </c>
    </row>
    <row r="90" spans="26:36" x14ac:dyDescent="0.25">
      <c r="Z90">
        <v>219</v>
      </c>
      <c r="AA90" t="s">
        <v>2277</v>
      </c>
      <c r="AB90" t="s">
        <v>155</v>
      </c>
      <c r="AC90" t="s">
        <v>24</v>
      </c>
      <c r="AG90">
        <v>219</v>
      </c>
      <c r="AI90">
        <v>36</v>
      </c>
      <c r="AJ90">
        <v>54</v>
      </c>
    </row>
    <row r="91" spans="26:36" x14ac:dyDescent="0.25">
      <c r="Z91">
        <v>172</v>
      </c>
      <c r="AA91" t="s">
        <v>365</v>
      </c>
      <c r="AB91" t="s">
        <v>154</v>
      </c>
      <c r="AC91" t="s">
        <v>23</v>
      </c>
      <c r="AG91">
        <v>172</v>
      </c>
      <c r="AI91">
        <v>36</v>
      </c>
      <c r="AJ91">
        <v>55</v>
      </c>
    </row>
    <row r="92" spans="26:36" x14ac:dyDescent="0.25">
      <c r="Z92">
        <v>15</v>
      </c>
      <c r="AA92" t="s">
        <v>1797</v>
      </c>
      <c r="AB92" t="s">
        <v>1805</v>
      </c>
      <c r="AC92" t="s">
        <v>24</v>
      </c>
      <c r="AG92">
        <v>15</v>
      </c>
      <c r="AI92">
        <v>36</v>
      </c>
      <c r="AJ92">
        <v>56</v>
      </c>
    </row>
    <row r="93" spans="26:36" x14ac:dyDescent="0.25">
      <c r="Z93">
        <v>23</v>
      </c>
      <c r="AA93" t="s">
        <v>1767</v>
      </c>
      <c r="AB93" t="s">
        <v>63</v>
      </c>
      <c r="AC93" t="s">
        <v>23</v>
      </c>
      <c r="AG93">
        <v>23</v>
      </c>
      <c r="AI93">
        <v>36</v>
      </c>
      <c r="AJ93">
        <v>57</v>
      </c>
    </row>
    <row r="94" spans="26:36" x14ac:dyDescent="0.25">
      <c r="Z94">
        <v>288</v>
      </c>
      <c r="AA94" t="s">
        <v>549</v>
      </c>
      <c r="AB94" t="s">
        <v>14</v>
      </c>
      <c r="AC94" t="s">
        <v>24</v>
      </c>
      <c r="AG94">
        <v>288</v>
      </c>
      <c r="AI94">
        <v>37</v>
      </c>
      <c r="AJ94">
        <v>5</v>
      </c>
    </row>
    <row r="95" spans="26:36" x14ac:dyDescent="0.25">
      <c r="Z95">
        <v>151</v>
      </c>
      <c r="AA95" t="s">
        <v>2310</v>
      </c>
      <c r="AB95" t="s">
        <v>1805</v>
      </c>
      <c r="AC95" t="s">
        <v>24</v>
      </c>
      <c r="AG95">
        <v>151</v>
      </c>
      <c r="AI95">
        <v>37</v>
      </c>
      <c r="AJ95">
        <v>5</v>
      </c>
    </row>
    <row r="96" spans="26:36" x14ac:dyDescent="0.25">
      <c r="Z96">
        <v>255</v>
      </c>
      <c r="AA96" t="s">
        <v>2278</v>
      </c>
      <c r="AB96" t="s">
        <v>1805</v>
      </c>
      <c r="AC96" t="s">
        <v>23</v>
      </c>
      <c r="AG96">
        <v>255</v>
      </c>
      <c r="AI96">
        <v>37</v>
      </c>
      <c r="AJ96">
        <v>16</v>
      </c>
    </row>
    <row r="97" spans="26:36" x14ac:dyDescent="0.25">
      <c r="Z97">
        <v>37</v>
      </c>
      <c r="AA97" t="s">
        <v>1370</v>
      </c>
      <c r="AB97" t="s">
        <v>155</v>
      </c>
      <c r="AC97" t="s">
        <v>24</v>
      </c>
      <c r="AG97">
        <v>37</v>
      </c>
      <c r="AI97">
        <v>37</v>
      </c>
      <c r="AJ97">
        <v>17</v>
      </c>
    </row>
    <row r="98" spans="26:36" x14ac:dyDescent="0.25">
      <c r="Z98">
        <v>138</v>
      </c>
      <c r="AA98" t="s">
        <v>991</v>
      </c>
      <c r="AB98" t="s">
        <v>14</v>
      </c>
      <c r="AC98" t="s">
        <v>23</v>
      </c>
      <c r="AG98">
        <v>138</v>
      </c>
      <c r="AI98">
        <v>37</v>
      </c>
      <c r="AJ98">
        <v>24</v>
      </c>
    </row>
    <row r="99" spans="26:36" x14ac:dyDescent="0.25">
      <c r="Z99">
        <v>98</v>
      </c>
      <c r="AA99" t="s">
        <v>204</v>
      </c>
      <c r="AB99" t="s">
        <v>38</v>
      </c>
      <c r="AC99" t="s">
        <v>24</v>
      </c>
      <c r="AG99">
        <v>98</v>
      </c>
      <c r="AI99">
        <v>37</v>
      </c>
      <c r="AJ99">
        <v>31</v>
      </c>
    </row>
    <row r="100" spans="26:36" x14ac:dyDescent="0.25">
      <c r="Z100">
        <v>134</v>
      </c>
      <c r="AA100" t="s">
        <v>1654</v>
      </c>
      <c r="AB100" t="s">
        <v>12</v>
      </c>
      <c r="AC100" t="s">
        <v>24</v>
      </c>
      <c r="AG100">
        <v>134</v>
      </c>
      <c r="AI100">
        <v>37</v>
      </c>
      <c r="AJ100">
        <v>34</v>
      </c>
    </row>
    <row r="101" spans="26:36" x14ac:dyDescent="0.25">
      <c r="Z101">
        <v>280</v>
      </c>
      <c r="AA101" t="s">
        <v>2289</v>
      </c>
      <c r="AB101" t="s">
        <v>14</v>
      </c>
      <c r="AC101" t="s">
        <v>24</v>
      </c>
      <c r="AG101">
        <v>280</v>
      </c>
      <c r="AI101">
        <v>37</v>
      </c>
      <c r="AJ101">
        <v>37</v>
      </c>
    </row>
    <row r="102" spans="26:36" x14ac:dyDescent="0.25">
      <c r="Z102">
        <v>178</v>
      </c>
      <c r="AA102" t="s">
        <v>2212</v>
      </c>
      <c r="AB102" t="s">
        <v>38</v>
      </c>
      <c r="AC102" t="s">
        <v>24</v>
      </c>
      <c r="AG102">
        <v>178</v>
      </c>
      <c r="AI102">
        <v>37</v>
      </c>
      <c r="AJ102">
        <v>42</v>
      </c>
    </row>
    <row r="103" spans="26:36" x14ac:dyDescent="0.25">
      <c r="Z103">
        <v>295</v>
      </c>
      <c r="AA103" t="s">
        <v>872</v>
      </c>
      <c r="AB103" t="s">
        <v>155</v>
      </c>
      <c r="AC103" t="s">
        <v>24</v>
      </c>
      <c r="AG103">
        <v>295</v>
      </c>
      <c r="AI103">
        <v>37</v>
      </c>
      <c r="AJ103">
        <v>45</v>
      </c>
    </row>
    <row r="104" spans="26:36" x14ac:dyDescent="0.25">
      <c r="Z104">
        <v>103</v>
      </c>
      <c r="AA104" t="s">
        <v>1059</v>
      </c>
      <c r="AB104" t="s">
        <v>154</v>
      </c>
      <c r="AC104" t="s">
        <v>23</v>
      </c>
      <c r="AG104">
        <v>103</v>
      </c>
      <c r="AI104">
        <v>37</v>
      </c>
      <c r="AJ104">
        <v>49</v>
      </c>
    </row>
    <row r="105" spans="26:36" x14ac:dyDescent="0.25">
      <c r="Z105">
        <v>276</v>
      </c>
      <c r="AA105" t="s">
        <v>2285</v>
      </c>
      <c r="AB105" t="s">
        <v>63</v>
      </c>
      <c r="AC105" t="s">
        <v>24</v>
      </c>
      <c r="AG105">
        <v>276</v>
      </c>
      <c r="AI105">
        <v>37</v>
      </c>
      <c r="AJ105">
        <v>59</v>
      </c>
    </row>
    <row r="106" spans="26:36" x14ac:dyDescent="0.25">
      <c r="Z106">
        <v>299</v>
      </c>
      <c r="AA106" t="s">
        <v>1496</v>
      </c>
      <c r="AB106" t="s">
        <v>108</v>
      </c>
      <c r="AC106" t="s">
        <v>24</v>
      </c>
      <c r="AG106">
        <v>299</v>
      </c>
      <c r="AI106">
        <v>37</v>
      </c>
      <c r="AJ106">
        <v>59</v>
      </c>
    </row>
    <row r="107" spans="26:36" x14ac:dyDescent="0.25">
      <c r="Z107">
        <v>95</v>
      </c>
      <c r="AA107" t="s">
        <v>1783</v>
      </c>
      <c r="AB107" t="s">
        <v>108</v>
      </c>
      <c r="AC107" t="s">
        <v>24</v>
      </c>
      <c r="AG107">
        <v>95</v>
      </c>
      <c r="AI107">
        <v>38</v>
      </c>
      <c r="AJ107">
        <v>4</v>
      </c>
    </row>
    <row r="108" spans="26:36" x14ac:dyDescent="0.25">
      <c r="Z108">
        <v>233</v>
      </c>
      <c r="AA108" t="s">
        <v>973</v>
      </c>
      <c r="AB108" t="s">
        <v>38</v>
      </c>
      <c r="AC108" t="s">
        <v>24</v>
      </c>
      <c r="AG108">
        <v>233</v>
      </c>
      <c r="AI108">
        <v>38</v>
      </c>
      <c r="AJ108">
        <v>8</v>
      </c>
    </row>
    <row r="109" spans="26:36" x14ac:dyDescent="0.25">
      <c r="Z109">
        <v>35</v>
      </c>
      <c r="AA109" t="s">
        <v>1773</v>
      </c>
      <c r="AB109" t="s">
        <v>1805</v>
      </c>
      <c r="AC109" t="s">
        <v>24</v>
      </c>
      <c r="AG109">
        <v>35</v>
      </c>
      <c r="AI109">
        <v>38</v>
      </c>
      <c r="AJ109">
        <v>10</v>
      </c>
    </row>
    <row r="110" spans="26:36" x14ac:dyDescent="0.25">
      <c r="Z110">
        <v>205</v>
      </c>
      <c r="AA110" t="s">
        <v>255</v>
      </c>
      <c r="AB110" t="s">
        <v>12</v>
      </c>
      <c r="AC110" t="s">
        <v>24</v>
      </c>
      <c r="AG110">
        <v>205</v>
      </c>
      <c r="AI110">
        <v>38</v>
      </c>
      <c r="AJ110">
        <v>10</v>
      </c>
    </row>
    <row r="111" spans="26:36" x14ac:dyDescent="0.25">
      <c r="Z111">
        <v>78</v>
      </c>
      <c r="AA111" t="s">
        <v>2300</v>
      </c>
      <c r="AB111" t="s">
        <v>1805</v>
      </c>
      <c r="AC111" t="s">
        <v>24</v>
      </c>
      <c r="AG111">
        <v>78</v>
      </c>
      <c r="AI111">
        <v>38</v>
      </c>
      <c r="AJ111">
        <v>18</v>
      </c>
    </row>
    <row r="112" spans="26:36" x14ac:dyDescent="0.25">
      <c r="Z112">
        <v>59</v>
      </c>
      <c r="AA112" t="s">
        <v>1404</v>
      </c>
      <c r="AB112" t="s">
        <v>155</v>
      </c>
      <c r="AC112" t="s">
        <v>24</v>
      </c>
      <c r="AG112">
        <v>59</v>
      </c>
      <c r="AI112">
        <v>38</v>
      </c>
      <c r="AJ112">
        <v>19</v>
      </c>
    </row>
    <row r="113" spans="26:36" x14ac:dyDescent="0.25">
      <c r="Z113">
        <v>118</v>
      </c>
      <c r="AA113" t="s">
        <v>2216</v>
      </c>
      <c r="AB113" t="s">
        <v>1805</v>
      </c>
      <c r="AC113" t="s">
        <v>23</v>
      </c>
      <c r="AG113">
        <v>118</v>
      </c>
      <c r="AI113">
        <v>38</v>
      </c>
      <c r="AJ113">
        <v>26</v>
      </c>
    </row>
    <row r="114" spans="26:36" x14ac:dyDescent="0.25">
      <c r="Z114">
        <v>130</v>
      </c>
      <c r="AA114" t="s">
        <v>375</v>
      </c>
      <c r="AB114" t="s">
        <v>108</v>
      </c>
      <c r="AC114" t="s">
        <v>23</v>
      </c>
      <c r="AG114">
        <v>130</v>
      </c>
      <c r="AI114">
        <v>38</v>
      </c>
      <c r="AJ114">
        <v>33</v>
      </c>
    </row>
    <row r="115" spans="26:36" x14ac:dyDescent="0.25">
      <c r="Z115">
        <v>4</v>
      </c>
      <c r="AA115" t="s">
        <v>1571</v>
      </c>
      <c r="AB115" t="s">
        <v>108</v>
      </c>
      <c r="AC115" t="s">
        <v>24</v>
      </c>
      <c r="AG115">
        <v>4</v>
      </c>
      <c r="AI115">
        <v>38</v>
      </c>
      <c r="AJ115">
        <v>33</v>
      </c>
    </row>
    <row r="116" spans="26:36" x14ac:dyDescent="0.25">
      <c r="Z116">
        <v>270</v>
      </c>
      <c r="AA116" t="s">
        <v>221</v>
      </c>
      <c r="AB116" t="s">
        <v>38</v>
      </c>
      <c r="AC116" t="s">
        <v>24</v>
      </c>
      <c r="AG116">
        <v>270</v>
      </c>
      <c r="AI116">
        <v>38</v>
      </c>
      <c r="AJ116">
        <v>40</v>
      </c>
    </row>
    <row r="117" spans="26:36" x14ac:dyDescent="0.25">
      <c r="Z117">
        <v>112</v>
      </c>
      <c r="AA117" t="s">
        <v>1465</v>
      </c>
      <c r="AB117" t="s">
        <v>12</v>
      </c>
      <c r="AC117" t="s">
        <v>24</v>
      </c>
      <c r="AG117">
        <v>112</v>
      </c>
      <c r="AI117">
        <v>38</v>
      </c>
      <c r="AJ117">
        <v>42</v>
      </c>
    </row>
    <row r="118" spans="26:36" x14ac:dyDescent="0.25">
      <c r="Z118">
        <v>22</v>
      </c>
      <c r="AA118" t="s">
        <v>2219</v>
      </c>
      <c r="AB118" t="s">
        <v>108</v>
      </c>
      <c r="AC118" t="s">
        <v>24</v>
      </c>
      <c r="AG118">
        <v>22</v>
      </c>
      <c r="AI118">
        <v>38</v>
      </c>
      <c r="AJ118">
        <v>49</v>
      </c>
    </row>
    <row r="119" spans="26:36" x14ac:dyDescent="0.25">
      <c r="Z119">
        <v>104</v>
      </c>
      <c r="AA119" t="s">
        <v>1410</v>
      </c>
      <c r="AB119" t="s">
        <v>63</v>
      </c>
      <c r="AC119" t="s">
        <v>24</v>
      </c>
      <c r="AG119">
        <v>104</v>
      </c>
      <c r="AI119">
        <v>38</v>
      </c>
      <c r="AJ119">
        <v>49</v>
      </c>
    </row>
    <row r="120" spans="26:36" x14ac:dyDescent="0.25">
      <c r="Z120">
        <v>101</v>
      </c>
      <c r="AA120" t="s">
        <v>1335</v>
      </c>
      <c r="AB120" t="s">
        <v>63</v>
      </c>
      <c r="AC120" t="s">
        <v>23</v>
      </c>
      <c r="AG120">
        <v>101</v>
      </c>
      <c r="AI120">
        <v>38</v>
      </c>
      <c r="AJ120">
        <v>51</v>
      </c>
    </row>
    <row r="121" spans="26:36" x14ac:dyDescent="0.25">
      <c r="Z121">
        <v>143</v>
      </c>
      <c r="AA121" t="s">
        <v>1470</v>
      </c>
      <c r="AB121" t="s">
        <v>12</v>
      </c>
      <c r="AC121" t="s">
        <v>24</v>
      </c>
      <c r="AG121">
        <v>143</v>
      </c>
      <c r="AI121">
        <v>38</v>
      </c>
      <c r="AJ121">
        <v>52</v>
      </c>
    </row>
    <row r="122" spans="26:36" x14ac:dyDescent="0.25">
      <c r="Z122">
        <v>226</v>
      </c>
      <c r="AA122" t="s">
        <v>2214</v>
      </c>
      <c r="AB122" t="s">
        <v>1805</v>
      </c>
      <c r="AC122" t="s">
        <v>24</v>
      </c>
      <c r="AG122">
        <v>226</v>
      </c>
      <c r="AI122">
        <v>39</v>
      </c>
      <c r="AJ122">
        <v>0</v>
      </c>
    </row>
    <row r="123" spans="26:36" x14ac:dyDescent="0.25">
      <c r="Z123">
        <v>72</v>
      </c>
      <c r="AA123" t="s">
        <v>283</v>
      </c>
      <c r="AB123" t="s">
        <v>155</v>
      </c>
      <c r="AC123" t="s">
        <v>24</v>
      </c>
      <c r="AG123">
        <v>72</v>
      </c>
      <c r="AI123">
        <v>39</v>
      </c>
      <c r="AJ123">
        <v>1</v>
      </c>
    </row>
    <row r="124" spans="26:36" x14ac:dyDescent="0.25">
      <c r="Z124">
        <v>230</v>
      </c>
      <c r="AA124" t="s">
        <v>2211</v>
      </c>
      <c r="AB124" t="s">
        <v>63</v>
      </c>
      <c r="AC124" t="s">
        <v>23</v>
      </c>
      <c r="AG124">
        <v>230</v>
      </c>
      <c r="AI124">
        <v>39</v>
      </c>
      <c r="AJ124">
        <v>1</v>
      </c>
    </row>
    <row r="125" spans="26:36" x14ac:dyDescent="0.25">
      <c r="Z125">
        <v>289</v>
      </c>
      <c r="AA125" t="s">
        <v>1005</v>
      </c>
      <c r="AB125" t="s">
        <v>14</v>
      </c>
      <c r="AC125" t="s">
        <v>23</v>
      </c>
      <c r="AG125">
        <v>289</v>
      </c>
      <c r="AI125">
        <v>39</v>
      </c>
      <c r="AJ125">
        <v>1</v>
      </c>
    </row>
    <row r="126" spans="26:36" x14ac:dyDescent="0.25">
      <c r="Z126">
        <v>12</v>
      </c>
      <c r="AA126" t="s">
        <v>226</v>
      </c>
      <c r="AB126" t="s">
        <v>38</v>
      </c>
      <c r="AC126" t="s">
        <v>24</v>
      </c>
      <c r="AG126">
        <v>12</v>
      </c>
      <c r="AI126">
        <v>39</v>
      </c>
      <c r="AJ126">
        <v>4</v>
      </c>
    </row>
    <row r="127" spans="26:36" x14ac:dyDescent="0.25">
      <c r="Z127">
        <v>82</v>
      </c>
      <c r="AA127" t="s">
        <v>1778</v>
      </c>
      <c r="AB127" t="s">
        <v>154</v>
      </c>
      <c r="AC127" t="s">
        <v>23</v>
      </c>
      <c r="AG127">
        <v>82</v>
      </c>
      <c r="AI127">
        <v>39</v>
      </c>
      <c r="AJ127">
        <v>27</v>
      </c>
    </row>
    <row r="128" spans="26:36" x14ac:dyDescent="0.25">
      <c r="Z128">
        <v>26</v>
      </c>
      <c r="AA128" t="s">
        <v>2213</v>
      </c>
      <c r="AB128" t="s">
        <v>38</v>
      </c>
      <c r="AC128" t="s">
        <v>24</v>
      </c>
      <c r="AG128">
        <v>26</v>
      </c>
      <c r="AI128">
        <v>39</v>
      </c>
      <c r="AJ128">
        <v>34</v>
      </c>
    </row>
    <row r="129" spans="26:36" x14ac:dyDescent="0.25">
      <c r="Z129">
        <v>121</v>
      </c>
      <c r="AA129" t="s">
        <v>2217</v>
      </c>
      <c r="AB129" t="s">
        <v>1805</v>
      </c>
      <c r="AC129" t="s">
        <v>24</v>
      </c>
      <c r="AG129">
        <v>121</v>
      </c>
      <c r="AI129">
        <v>39</v>
      </c>
      <c r="AJ129">
        <v>40</v>
      </c>
    </row>
    <row r="130" spans="26:36" x14ac:dyDescent="0.25">
      <c r="Z130">
        <v>122</v>
      </c>
      <c r="AA130" t="s">
        <v>944</v>
      </c>
      <c r="AB130" t="s">
        <v>505</v>
      </c>
      <c r="AC130" t="s">
        <v>23</v>
      </c>
      <c r="AG130">
        <v>122</v>
      </c>
      <c r="AI130">
        <v>39</v>
      </c>
      <c r="AJ130">
        <v>58</v>
      </c>
    </row>
    <row r="131" spans="26:36" x14ac:dyDescent="0.25">
      <c r="Z131">
        <v>284</v>
      </c>
      <c r="AA131" t="s">
        <v>1780</v>
      </c>
      <c r="AB131" t="s">
        <v>12</v>
      </c>
      <c r="AC131" t="s">
        <v>23</v>
      </c>
      <c r="AG131">
        <v>284</v>
      </c>
      <c r="AI131">
        <v>39</v>
      </c>
      <c r="AJ131">
        <v>59</v>
      </c>
    </row>
    <row r="132" spans="26:36" x14ac:dyDescent="0.25">
      <c r="Z132">
        <v>34</v>
      </c>
      <c r="AA132" t="s">
        <v>1326</v>
      </c>
      <c r="AB132" t="s">
        <v>12</v>
      </c>
      <c r="AC132" t="s">
        <v>23</v>
      </c>
      <c r="AG132">
        <v>34</v>
      </c>
      <c r="AI132">
        <v>40</v>
      </c>
      <c r="AJ132">
        <v>8</v>
      </c>
    </row>
    <row r="133" spans="26:36" x14ac:dyDescent="0.25">
      <c r="Z133">
        <v>33</v>
      </c>
      <c r="AA133" t="s">
        <v>2221</v>
      </c>
      <c r="AB133" t="s">
        <v>1805</v>
      </c>
      <c r="AC133" t="s">
        <v>24</v>
      </c>
      <c r="AG133">
        <v>33</v>
      </c>
      <c r="AI133">
        <v>40</v>
      </c>
      <c r="AJ133">
        <v>15</v>
      </c>
    </row>
    <row r="134" spans="26:36" x14ac:dyDescent="0.25">
      <c r="Z134">
        <v>192</v>
      </c>
      <c r="AA134" t="s">
        <v>233</v>
      </c>
      <c r="AB134" t="s">
        <v>38</v>
      </c>
      <c r="AC134" t="s">
        <v>24</v>
      </c>
      <c r="AG134">
        <v>192</v>
      </c>
      <c r="AI134">
        <v>40</v>
      </c>
      <c r="AJ134">
        <v>21</v>
      </c>
    </row>
    <row r="135" spans="26:36" x14ac:dyDescent="0.25">
      <c r="Z135">
        <v>71</v>
      </c>
      <c r="AA135" t="s">
        <v>190</v>
      </c>
      <c r="AB135" t="s">
        <v>43</v>
      </c>
      <c r="AC135" t="s">
        <v>24</v>
      </c>
      <c r="AG135">
        <v>71</v>
      </c>
      <c r="AI135">
        <v>40</v>
      </c>
      <c r="AJ135">
        <v>21</v>
      </c>
    </row>
    <row r="136" spans="26:36" x14ac:dyDescent="0.25">
      <c r="Z136">
        <v>222</v>
      </c>
      <c r="AA136" t="s">
        <v>2218</v>
      </c>
      <c r="AB136" t="s">
        <v>1805</v>
      </c>
      <c r="AC136" t="s">
        <v>23</v>
      </c>
      <c r="AG136">
        <v>222</v>
      </c>
      <c r="AI136">
        <v>40</v>
      </c>
      <c r="AJ136">
        <v>22</v>
      </c>
    </row>
    <row r="137" spans="26:36" x14ac:dyDescent="0.25">
      <c r="Z137">
        <v>129</v>
      </c>
      <c r="AA137" t="s">
        <v>1468</v>
      </c>
      <c r="AB137" t="s">
        <v>155</v>
      </c>
      <c r="AC137" t="s">
        <v>24</v>
      </c>
      <c r="AG137">
        <v>129</v>
      </c>
      <c r="AI137">
        <v>40</v>
      </c>
      <c r="AJ137">
        <v>29</v>
      </c>
    </row>
    <row r="138" spans="26:36" x14ac:dyDescent="0.25">
      <c r="Z138">
        <v>240</v>
      </c>
      <c r="AA138" t="s">
        <v>1418</v>
      </c>
      <c r="AB138" t="s">
        <v>38</v>
      </c>
      <c r="AC138" t="s">
        <v>23</v>
      </c>
      <c r="AG138">
        <v>240</v>
      </c>
      <c r="AI138">
        <v>40</v>
      </c>
      <c r="AJ138">
        <v>32</v>
      </c>
    </row>
    <row r="139" spans="26:36" x14ac:dyDescent="0.25">
      <c r="Z139">
        <v>11</v>
      </c>
      <c r="AA139" t="s">
        <v>907</v>
      </c>
      <c r="AB139" t="s">
        <v>12</v>
      </c>
      <c r="AC139" t="s">
        <v>24</v>
      </c>
      <c r="AG139">
        <v>11</v>
      </c>
      <c r="AI139">
        <v>40</v>
      </c>
      <c r="AJ139">
        <v>33</v>
      </c>
    </row>
    <row r="140" spans="26:36" x14ac:dyDescent="0.25">
      <c r="Z140">
        <v>239</v>
      </c>
      <c r="AA140" t="s">
        <v>1483</v>
      </c>
      <c r="AB140" t="s">
        <v>38</v>
      </c>
      <c r="AC140" t="s">
        <v>24</v>
      </c>
      <c r="AG140">
        <v>239</v>
      </c>
      <c r="AI140">
        <v>40</v>
      </c>
      <c r="AJ140">
        <v>33</v>
      </c>
    </row>
    <row r="141" spans="26:36" x14ac:dyDescent="0.25">
      <c r="Z141">
        <v>6</v>
      </c>
      <c r="AA141" t="s">
        <v>2269</v>
      </c>
      <c r="AB141" t="s">
        <v>155</v>
      </c>
      <c r="AC141" t="s">
        <v>24</v>
      </c>
      <c r="AG141">
        <v>6</v>
      </c>
      <c r="AI141">
        <v>40</v>
      </c>
      <c r="AJ141">
        <v>37</v>
      </c>
    </row>
    <row r="142" spans="26:36" x14ac:dyDescent="0.25">
      <c r="Z142">
        <v>216</v>
      </c>
      <c r="AA142" t="s">
        <v>2223</v>
      </c>
      <c r="AB142" t="s">
        <v>38</v>
      </c>
      <c r="AC142" t="s">
        <v>23</v>
      </c>
      <c r="AG142">
        <v>216</v>
      </c>
      <c r="AI142">
        <v>40</v>
      </c>
      <c r="AJ142">
        <v>38</v>
      </c>
    </row>
    <row r="143" spans="26:36" x14ac:dyDescent="0.25">
      <c r="Z143">
        <v>149</v>
      </c>
      <c r="AA143" t="s">
        <v>421</v>
      </c>
      <c r="AB143" t="s">
        <v>14</v>
      </c>
      <c r="AC143" t="s">
        <v>24</v>
      </c>
      <c r="AG143">
        <v>149</v>
      </c>
      <c r="AI143">
        <v>40</v>
      </c>
      <c r="AJ143">
        <v>40</v>
      </c>
    </row>
    <row r="144" spans="26:36" x14ac:dyDescent="0.25">
      <c r="Z144">
        <v>8</v>
      </c>
      <c r="AA144" t="s">
        <v>1182</v>
      </c>
      <c r="AB144" t="s">
        <v>63</v>
      </c>
      <c r="AC144" t="s">
        <v>23</v>
      </c>
      <c r="AG144">
        <v>8</v>
      </c>
      <c r="AI144">
        <v>40</v>
      </c>
      <c r="AJ144">
        <v>45</v>
      </c>
    </row>
    <row r="145" spans="26:36" x14ac:dyDescent="0.25">
      <c r="Z145">
        <v>140</v>
      </c>
      <c r="AA145" t="s">
        <v>281</v>
      </c>
      <c r="AB145" t="s">
        <v>155</v>
      </c>
      <c r="AC145" t="s">
        <v>23</v>
      </c>
      <c r="AG145">
        <v>140</v>
      </c>
      <c r="AI145">
        <v>40</v>
      </c>
      <c r="AJ145">
        <v>53</v>
      </c>
    </row>
    <row r="146" spans="26:36" x14ac:dyDescent="0.25">
      <c r="Z146">
        <v>215</v>
      </c>
      <c r="AA146" t="s">
        <v>867</v>
      </c>
      <c r="AB146" t="s">
        <v>155</v>
      </c>
      <c r="AC146" t="s">
        <v>24</v>
      </c>
      <c r="AG146">
        <v>215</v>
      </c>
      <c r="AI146">
        <v>40</v>
      </c>
      <c r="AJ146">
        <v>53</v>
      </c>
    </row>
    <row r="147" spans="26:36" x14ac:dyDescent="0.25">
      <c r="Z147">
        <v>48</v>
      </c>
      <c r="AA147" t="s">
        <v>1690</v>
      </c>
      <c r="AB147" t="s">
        <v>12</v>
      </c>
      <c r="AC147" t="s">
        <v>23</v>
      </c>
      <c r="AG147">
        <v>48</v>
      </c>
      <c r="AI147">
        <v>40</v>
      </c>
      <c r="AJ147">
        <v>54</v>
      </c>
    </row>
    <row r="148" spans="26:36" x14ac:dyDescent="0.25">
      <c r="Z148">
        <v>123</v>
      </c>
      <c r="AA148" t="s">
        <v>1777</v>
      </c>
      <c r="AB148" t="s">
        <v>12</v>
      </c>
      <c r="AC148" t="s">
        <v>23</v>
      </c>
      <c r="AG148">
        <v>123</v>
      </c>
      <c r="AI148">
        <v>41</v>
      </c>
      <c r="AJ148">
        <v>1</v>
      </c>
    </row>
    <row r="149" spans="26:36" x14ac:dyDescent="0.25">
      <c r="Z149">
        <v>238</v>
      </c>
      <c r="AA149" t="s">
        <v>275</v>
      </c>
      <c r="AB149" t="s">
        <v>63</v>
      </c>
      <c r="AC149" t="s">
        <v>24</v>
      </c>
      <c r="AG149">
        <v>238</v>
      </c>
      <c r="AI149">
        <v>41</v>
      </c>
      <c r="AJ149">
        <v>28</v>
      </c>
    </row>
    <row r="150" spans="26:36" x14ac:dyDescent="0.25">
      <c r="Z150">
        <v>46</v>
      </c>
      <c r="AA150" t="s">
        <v>906</v>
      </c>
      <c r="AB150" t="s">
        <v>12</v>
      </c>
      <c r="AC150" t="s">
        <v>24</v>
      </c>
      <c r="AG150">
        <v>46</v>
      </c>
      <c r="AI150">
        <v>41</v>
      </c>
      <c r="AJ150">
        <v>41</v>
      </c>
    </row>
    <row r="151" spans="26:36" x14ac:dyDescent="0.25">
      <c r="Z151">
        <v>76</v>
      </c>
      <c r="AA151" t="s">
        <v>1788</v>
      </c>
      <c r="AB151" t="s">
        <v>12</v>
      </c>
      <c r="AC151" t="s">
        <v>24</v>
      </c>
      <c r="AG151">
        <v>76</v>
      </c>
      <c r="AI151">
        <v>41</v>
      </c>
      <c r="AJ151">
        <v>49</v>
      </c>
    </row>
    <row r="152" spans="26:36" x14ac:dyDescent="0.25">
      <c r="Z152">
        <v>55</v>
      </c>
      <c r="AA152" t="s">
        <v>1779</v>
      </c>
      <c r="AB152" t="s">
        <v>1805</v>
      </c>
      <c r="AC152" t="s">
        <v>24</v>
      </c>
      <c r="AG152">
        <v>55</v>
      </c>
      <c r="AI152">
        <v>41</v>
      </c>
      <c r="AJ152">
        <v>50</v>
      </c>
    </row>
    <row r="153" spans="26:36" x14ac:dyDescent="0.25">
      <c r="Z153">
        <v>242</v>
      </c>
      <c r="AA153" t="s">
        <v>188</v>
      </c>
      <c r="AB153" t="s">
        <v>108</v>
      </c>
      <c r="AC153" t="s">
        <v>23</v>
      </c>
      <c r="AG153">
        <v>242</v>
      </c>
      <c r="AI153">
        <v>41</v>
      </c>
      <c r="AJ153">
        <v>50</v>
      </c>
    </row>
    <row r="154" spans="26:36" x14ac:dyDescent="0.25">
      <c r="Z154">
        <v>38</v>
      </c>
      <c r="AA154" t="s">
        <v>2301</v>
      </c>
      <c r="AB154" t="s">
        <v>1805</v>
      </c>
      <c r="AC154" t="s">
        <v>24</v>
      </c>
      <c r="AG154">
        <v>38</v>
      </c>
      <c r="AI154">
        <v>41</v>
      </c>
      <c r="AJ154">
        <v>57</v>
      </c>
    </row>
    <row r="155" spans="26:36" x14ac:dyDescent="0.25">
      <c r="Z155">
        <v>283</v>
      </c>
      <c r="AA155" t="s">
        <v>871</v>
      </c>
      <c r="AB155" t="s">
        <v>155</v>
      </c>
      <c r="AC155" t="s">
        <v>24</v>
      </c>
      <c r="AG155">
        <v>283</v>
      </c>
      <c r="AI155">
        <v>42</v>
      </c>
      <c r="AJ155">
        <v>7</v>
      </c>
    </row>
    <row r="156" spans="26:36" x14ac:dyDescent="0.25">
      <c r="Z156">
        <v>68</v>
      </c>
      <c r="AA156" t="s">
        <v>794</v>
      </c>
      <c r="AB156" t="s">
        <v>108</v>
      </c>
      <c r="AC156" t="s">
        <v>23</v>
      </c>
      <c r="AG156">
        <v>68</v>
      </c>
      <c r="AI156">
        <v>42</v>
      </c>
      <c r="AJ156">
        <v>17</v>
      </c>
    </row>
    <row r="157" spans="26:36" x14ac:dyDescent="0.25">
      <c r="Z157">
        <v>47</v>
      </c>
      <c r="AA157" t="s">
        <v>2255</v>
      </c>
      <c r="AB157" t="s">
        <v>12</v>
      </c>
      <c r="AC157" t="s">
        <v>24</v>
      </c>
      <c r="AG157">
        <v>47</v>
      </c>
      <c r="AI157">
        <v>42</v>
      </c>
      <c r="AJ157">
        <v>20</v>
      </c>
    </row>
    <row r="158" spans="26:36" x14ac:dyDescent="0.25">
      <c r="Z158">
        <v>285</v>
      </c>
      <c r="AA158" t="s">
        <v>524</v>
      </c>
      <c r="AB158" t="s">
        <v>63</v>
      </c>
      <c r="AC158" t="s">
        <v>24</v>
      </c>
      <c r="AG158">
        <v>285</v>
      </c>
      <c r="AI158">
        <v>42</v>
      </c>
      <c r="AJ158">
        <v>32</v>
      </c>
    </row>
    <row r="159" spans="26:36" x14ac:dyDescent="0.25">
      <c r="Z159">
        <v>253</v>
      </c>
      <c r="AA159" t="s">
        <v>453</v>
      </c>
      <c r="AB159" t="s">
        <v>108</v>
      </c>
      <c r="AC159" t="s">
        <v>24</v>
      </c>
      <c r="AG159">
        <v>253</v>
      </c>
      <c r="AI159">
        <v>42</v>
      </c>
      <c r="AJ159">
        <v>33</v>
      </c>
    </row>
    <row r="160" spans="26:36" x14ac:dyDescent="0.25">
      <c r="Z160">
        <v>268</v>
      </c>
      <c r="AA160" t="s">
        <v>2306</v>
      </c>
      <c r="AB160" t="s">
        <v>1805</v>
      </c>
      <c r="AC160" t="s">
        <v>23</v>
      </c>
      <c r="AG160">
        <v>268</v>
      </c>
      <c r="AI160">
        <v>42</v>
      </c>
      <c r="AJ160">
        <v>34</v>
      </c>
    </row>
    <row r="161" spans="26:36" x14ac:dyDescent="0.25">
      <c r="Z161">
        <v>160</v>
      </c>
      <c r="AA161" t="s">
        <v>2225</v>
      </c>
      <c r="AB161" t="s">
        <v>38</v>
      </c>
      <c r="AC161" t="s">
        <v>23</v>
      </c>
      <c r="AG161">
        <v>160</v>
      </c>
      <c r="AI161">
        <v>42</v>
      </c>
      <c r="AJ161">
        <v>36</v>
      </c>
    </row>
    <row r="162" spans="26:36" x14ac:dyDescent="0.25">
      <c r="Z162">
        <v>171</v>
      </c>
      <c r="AA162" t="s">
        <v>749</v>
      </c>
      <c r="AB162" t="s">
        <v>14</v>
      </c>
      <c r="AC162" t="s">
        <v>23</v>
      </c>
      <c r="AG162">
        <v>171</v>
      </c>
      <c r="AI162">
        <v>42</v>
      </c>
      <c r="AJ162">
        <v>43</v>
      </c>
    </row>
    <row r="163" spans="26:36" x14ac:dyDescent="0.25">
      <c r="Z163">
        <v>137</v>
      </c>
      <c r="AA163" t="s">
        <v>427</v>
      </c>
      <c r="AB163" t="s">
        <v>63</v>
      </c>
      <c r="AC163" t="s">
        <v>24</v>
      </c>
      <c r="AG163">
        <v>137</v>
      </c>
      <c r="AI163">
        <v>42</v>
      </c>
      <c r="AJ163">
        <v>48</v>
      </c>
    </row>
    <row r="164" spans="26:36" x14ac:dyDescent="0.25">
      <c r="Z164">
        <v>111</v>
      </c>
      <c r="AA164" t="s">
        <v>238</v>
      </c>
      <c r="AB164" t="s">
        <v>43</v>
      </c>
      <c r="AC164" t="s">
        <v>24</v>
      </c>
      <c r="AG164">
        <v>111</v>
      </c>
      <c r="AI164">
        <v>42</v>
      </c>
      <c r="AJ164">
        <v>49</v>
      </c>
    </row>
    <row r="165" spans="26:36" x14ac:dyDescent="0.25">
      <c r="Z165">
        <v>114</v>
      </c>
      <c r="AA165" t="s">
        <v>830</v>
      </c>
      <c r="AB165" t="s">
        <v>43</v>
      </c>
      <c r="AC165" t="s">
        <v>24</v>
      </c>
      <c r="AG165">
        <v>114</v>
      </c>
      <c r="AI165">
        <v>42</v>
      </c>
      <c r="AJ165">
        <v>52</v>
      </c>
    </row>
    <row r="166" spans="26:36" x14ac:dyDescent="0.25">
      <c r="Z166">
        <v>282</v>
      </c>
      <c r="AA166" t="s">
        <v>788</v>
      </c>
      <c r="AB166" t="s">
        <v>155</v>
      </c>
      <c r="AC166" t="s">
        <v>24</v>
      </c>
      <c r="AG166">
        <v>282</v>
      </c>
      <c r="AI166">
        <v>42</v>
      </c>
      <c r="AJ166">
        <v>52</v>
      </c>
    </row>
    <row r="167" spans="26:36" x14ac:dyDescent="0.25">
      <c r="Z167">
        <v>260</v>
      </c>
      <c r="AA167" t="s">
        <v>1420</v>
      </c>
      <c r="AB167" t="s">
        <v>155</v>
      </c>
      <c r="AC167" t="s">
        <v>24</v>
      </c>
      <c r="AG167">
        <v>260</v>
      </c>
      <c r="AI167">
        <v>42</v>
      </c>
      <c r="AJ167">
        <v>58</v>
      </c>
    </row>
    <row r="168" spans="26:36" x14ac:dyDescent="0.25">
      <c r="Z168">
        <v>61</v>
      </c>
      <c r="AA168" t="s">
        <v>476</v>
      </c>
      <c r="AB168" t="s">
        <v>154</v>
      </c>
      <c r="AC168" t="s">
        <v>23</v>
      </c>
      <c r="AG168">
        <v>61</v>
      </c>
      <c r="AI168">
        <v>43</v>
      </c>
      <c r="AJ168">
        <v>0</v>
      </c>
    </row>
    <row r="169" spans="26:36" x14ac:dyDescent="0.25">
      <c r="Z169">
        <v>195</v>
      </c>
      <c r="AA169" t="s">
        <v>276</v>
      </c>
      <c r="AB169" t="s">
        <v>63</v>
      </c>
      <c r="AC169" t="s">
        <v>23</v>
      </c>
      <c r="AG169">
        <v>195</v>
      </c>
      <c r="AI169">
        <v>43</v>
      </c>
      <c r="AJ169">
        <v>5</v>
      </c>
    </row>
    <row r="170" spans="26:36" x14ac:dyDescent="0.25">
      <c r="Z170">
        <v>99</v>
      </c>
      <c r="AA170" t="s">
        <v>1763</v>
      </c>
      <c r="AB170" t="s">
        <v>63</v>
      </c>
      <c r="AC170" t="s">
        <v>24</v>
      </c>
      <c r="AG170">
        <v>99</v>
      </c>
      <c r="AI170">
        <v>43</v>
      </c>
      <c r="AJ170">
        <v>10</v>
      </c>
    </row>
    <row r="171" spans="26:36" x14ac:dyDescent="0.25">
      <c r="Z171">
        <v>162</v>
      </c>
      <c r="AA171" t="s">
        <v>2298</v>
      </c>
      <c r="AB171" t="s">
        <v>12</v>
      </c>
      <c r="AC171" t="s">
        <v>23</v>
      </c>
      <c r="AG171">
        <v>162</v>
      </c>
      <c r="AI171">
        <v>43</v>
      </c>
      <c r="AJ171">
        <v>11</v>
      </c>
    </row>
    <row r="172" spans="26:36" x14ac:dyDescent="0.25">
      <c r="Z172">
        <v>198</v>
      </c>
      <c r="AA172" t="s">
        <v>2284</v>
      </c>
      <c r="AB172" t="s">
        <v>505</v>
      </c>
      <c r="AC172" t="s">
        <v>23</v>
      </c>
      <c r="AG172">
        <v>198</v>
      </c>
      <c r="AI172">
        <v>43</v>
      </c>
      <c r="AJ172">
        <v>12</v>
      </c>
    </row>
    <row r="173" spans="26:36" x14ac:dyDescent="0.25">
      <c r="Z173">
        <v>277</v>
      </c>
      <c r="AA173" t="s">
        <v>452</v>
      </c>
      <c r="AB173" t="s">
        <v>12</v>
      </c>
      <c r="AC173" t="s">
        <v>23</v>
      </c>
      <c r="AG173">
        <v>277</v>
      </c>
      <c r="AI173">
        <v>43</v>
      </c>
      <c r="AJ173">
        <v>13</v>
      </c>
    </row>
    <row r="174" spans="26:36" x14ac:dyDescent="0.25">
      <c r="Z174">
        <v>3</v>
      </c>
      <c r="AA174" t="s">
        <v>377</v>
      </c>
      <c r="AB174" t="s">
        <v>155</v>
      </c>
      <c r="AC174" t="s">
        <v>23</v>
      </c>
      <c r="AG174">
        <v>3</v>
      </c>
      <c r="AI174">
        <v>43</v>
      </c>
      <c r="AJ174">
        <v>22</v>
      </c>
    </row>
    <row r="175" spans="26:36" x14ac:dyDescent="0.25">
      <c r="Z175">
        <v>105</v>
      </c>
      <c r="AA175" t="s">
        <v>1390</v>
      </c>
      <c r="AB175" t="s">
        <v>38</v>
      </c>
      <c r="AC175" t="s">
        <v>24</v>
      </c>
      <c r="AG175">
        <v>105</v>
      </c>
      <c r="AI175">
        <v>43</v>
      </c>
      <c r="AJ175">
        <v>32</v>
      </c>
    </row>
    <row r="176" spans="26:36" x14ac:dyDescent="0.25">
      <c r="Z176">
        <v>25</v>
      </c>
      <c r="AA176" t="s">
        <v>1413</v>
      </c>
      <c r="AB176" t="s">
        <v>12</v>
      </c>
      <c r="AC176" t="s">
        <v>23</v>
      </c>
      <c r="AG176">
        <v>25</v>
      </c>
      <c r="AI176">
        <v>43</v>
      </c>
      <c r="AJ176">
        <v>41</v>
      </c>
    </row>
    <row r="177" spans="26:36" x14ac:dyDescent="0.25">
      <c r="Z177">
        <v>269</v>
      </c>
      <c r="AA177" t="s">
        <v>380</v>
      </c>
      <c r="AB177" t="s">
        <v>43</v>
      </c>
      <c r="AC177" t="s">
        <v>23</v>
      </c>
      <c r="AG177">
        <v>269</v>
      </c>
      <c r="AI177">
        <v>43</v>
      </c>
      <c r="AJ177">
        <v>44</v>
      </c>
    </row>
    <row r="178" spans="26:36" x14ac:dyDescent="0.25">
      <c r="Z178">
        <v>272</v>
      </c>
      <c r="AA178" t="s">
        <v>2150</v>
      </c>
      <c r="AB178" t="s">
        <v>12</v>
      </c>
      <c r="AC178" t="s">
        <v>23</v>
      </c>
      <c r="AG178">
        <v>272</v>
      </c>
      <c r="AI178">
        <v>43</v>
      </c>
      <c r="AJ178">
        <v>45</v>
      </c>
    </row>
    <row r="179" spans="26:36" x14ac:dyDescent="0.25">
      <c r="Z179">
        <v>189</v>
      </c>
      <c r="AA179" t="s">
        <v>258</v>
      </c>
      <c r="AB179" t="s">
        <v>12</v>
      </c>
      <c r="AC179" t="s">
        <v>23</v>
      </c>
      <c r="AG179">
        <v>189</v>
      </c>
      <c r="AI179">
        <v>43</v>
      </c>
      <c r="AJ179">
        <v>50</v>
      </c>
    </row>
    <row r="180" spans="26:36" x14ac:dyDescent="0.25">
      <c r="Z180">
        <v>200</v>
      </c>
      <c r="AA180" t="s">
        <v>2274</v>
      </c>
      <c r="AB180" t="s">
        <v>155</v>
      </c>
      <c r="AC180" t="s">
        <v>23</v>
      </c>
      <c r="AG180">
        <v>200</v>
      </c>
      <c r="AI180">
        <v>43</v>
      </c>
      <c r="AJ180">
        <v>51</v>
      </c>
    </row>
    <row r="181" spans="26:36" x14ac:dyDescent="0.25">
      <c r="Z181">
        <v>196</v>
      </c>
      <c r="AA181" t="s">
        <v>2141</v>
      </c>
      <c r="AB181" t="s">
        <v>154</v>
      </c>
      <c r="AC181" t="s">
        <v>24</v>
      </c>
      <c r="AG181">
        <v>196</v>
      </c>
      <c r="AI181">
        <v>44</v>
      </c>
      <c r="AJ181">
        <v>2</v>
      </c>
    </row>
    <row r="182" spans="26:36" x14ac:dyDescent="0.25">
      <c r="Z182">
        <v>173</v>
      </c>
      <c r="AA182" t="s">
        <v>2313</v>
      </c>
      <c r="AB182" t="s">
        <v>38</v>
      </c>
      <c r="AC182" t="s">
        <v>24</v>
      </c>
      <c r="AG182">
        <v>173</v>
      </c>
      <c r="AI182">
        <v>44</v>
      </c>
      <c r="AJ182">
        <v>5</v>
      </c>
    </row>
    <row r="183" spans="26:36" x14ac:dyDescent="0.25">
      <c r="Z183">
        <v>294</v>
      </c>
      <c r="AA183" t="s">
        <v>1191</v>
      </c>
      <c r="AB183" t="s">
        <v>38</v>
      </c>
      <c r="AC183" t="s">
        <v>23</v>
      </c>
      <c r="AG183">
        <v>294</v>
      </c>
      <c r="AI183">
        <v>44</v>
      </c>
      <c r="AJ183">
        <v>6</v>
      </c>
    </row>
    <row r="184" spans="26:36" x14ac:dyDescent="0.25">
      <c r="Z184">
        <v>154</v>
      </c>
      <c r="AA184" t="s">
        <v>2294</v>
      </c>
      <c r="AB184" t="s">
        <v>63</v>
      </c>
      <c r="AC184" t="s">
        <v>24</v>
      </c>
      <c r="AG184">
        <v>154</v>
      </c>
      <c r="AI184">
        <v>44</v>
      </c>
      <c r="AJ184">
        <v>7</v>
      </c>
    </row>
    <row r="185" spans="26:36" x14ac:dyDescent="0.25">
      <c r="Z185">
        <v>251</v>
      </c>
      <c r="AA185" t="s">
        <v>1677</v>
      </c>
      <c r="AB185" t="s">
        <v>14</v>
      </c>
      <c r="AC185" t="s">
        <v>23</v>
      </c>
      <c r="AG185">
        <v>251</v>
      </c>
      <c r="AI185">
        <v>44</v>
      </c>
      <c r="AJ185">
        <v>12</v>
      </c>
    </row>
    <row r="186" spans="26:36" x14ac:dyDescent="0.25">
      <c r="Z186">
        <v>132</v>
      </c>
      <c r="AA186" t="s">
        <v>2295</v>
      </c>
      <c r="AB186" t="s">
        <v>38</v>
      </c>
      <c r="AC186" t="s">
        <v>24</v>
      </c>
      <c r="AG186">
        <v>132</v>
      </c>
      <c r="AI186">
        <v>44</v>
      </c>
      <c r="AJ186">
        <v>17</v>
      </c>
    </row>
    <row r="187" spans="26:36" x14ac:dyDescent="0.25">
      <c r="Z187">
        <v>258</v>
      </c>
      <c r="AA187" t="s">
        <v>768</v>
      </c>
      <c r="AB187" t="s">
        <v>155</v>
      </c>
      <c r="AC187" t="s">
        <v>24</v>
      </c>
      <c r="AG187">
        <v>258</v>
      </c>
      <c r="AI187">
        <v>44</v>
      </c>
      <c r="AJ187">
        <v>39</v>
      </c>
    </row>
    <row r="188" spans="26:36" x14ac:dyDescent="0.25">
      <c r="Z188">
        <v>41</v>
      </c>
      <c r="AA188" t="s">
        <v>1835</v>
      </c>
      <c r="AB188" t="s">
        <v>155</v>
      </c>
      <c r="AC188" t="s">
        <v>23</v>
      </c>
      <c r="AG188">
        <v>41</v>
      </c>
      <c r="AI188">
        <v>44</v>
      </c>
      <c r="AJ188">
        <v>39</v>
      </c>
    </row>
    <row r="189" spans="26:36" x14ac:dyDescent="0.25">
      <c r="Z189">
        <v>1</v>
      </c>
      <c r="AA189" t="s">
        <v>566</v>
      </c>
      <c r="AB189" t="s">
        <v>154</v>
      </c>
      <c r="AC189" t="s">
        <v>23</v>
      </c>
      <c r="AG189">
        <v>1</v>
      </c>
      <c r="AI189">
        <v>44</v>
      </c>
      <c r="AJ189">
        <v>50</v>
      </c>
    </row>
    <row r="190" spans="26:36" x14ac:dyDescent="0.25">
      <c r="Z190">
        <v>244</v>
      </c>
      <c r="AA190" t="s">
        <v>218</v>
      </c>
      <c r="AB190" t="s">
        <v>38</v>
      </c>
      <c r="AC190" t="s">
        <v>24</v>
      </c>
      <c r="AG190">
        <v>244</v>
      </c>
      <c r="AI190">
        <v>44</v>
      </c>
      <c r="AJ190">
        <v>53</v>
      </c>
    </row>
    <row r="191" spans="26:36" x14ac:dyDescent="0.25">
      <c r="Z191">
        <v>92</v>
      </c>
      <c r="AA191" t="s">
        <v>2230</v>
      </c>
      <c r="AB191" t="s">
        <v>12</v>
      </c>
      <c r="AC191" t="s">
        <v>23</v>
      </c>
      <c r="AG191">
        <v>92</v>
      </c>
      <c r="AI191">
        <v>44</v>
      </c>
      <c r="AJ191">
        <v>53</v>
      </c>
    </row>
    <row r="192" spans="26:36" x14ac:dyDescent="0.25">
      <c r="Z192">
        <v>52</v>
      </c>
      <c r="AA192" t="s">
        <v>280</v>
      </c>
      <c r="AB192" t="s">
        <v>155</v>
      </c>
      <c r="AC192" t="s">
        <v>23</v>
      </c>
      <c r="AG192">
        <v>52</v>
      </c>
      <c r="AI192">
        <v>45</v>
      </c>
      <c r="AJ192">
        <v>1</v>
      </c>
    </row>
    <row r="193" spans="26:36" x14ac:dyDescent="0.25">
      <c r="Z193">
        <v>243</v>
      </c>
      <c r="AA193" t="s">
        <v>1743</v>
      </c>
      <c r="AB193" t="s">
        <v>154</v>
      </c>
      <c r="AC193" t="s">
        <v>23</v>
      </c>
      <c r="AG193">
        <v>243</v>
      </c>
      <c r="AI193">
        <v>45</v>
      </c>
      <c r="AJ193">
        <v>2</v>
      </c>
    </row>
    <row r="194" spans="26:36" x14ac:dyDescent="0.25">
      <c r="Z194">
        <v>235</v>
      </c>
      <c r="AA194" t="s">
        <v>1159</v>
      </c>
      <c r="AB194" t="s">
        <v>155</v>
      </c>
      <c r="AC194" t="s">
        <v>23</v>
      </c>
      <c r="AG194">
        <v>235</v>
      </c>
      <c r="AI194">
        <v>45</v>
      </c>
      <c r="AJ194">
        <v>14</v>
      </c>
    </row>
    <row r="195" spans="26:36" x14ac:dyDescent="0.25">
      <c r="Z195">
        <v>291</v>
      </c>
      <c r="AA195" t="s">
        <v>1799</v>
      </c>
      <c r="AB195" t="s">
        <v>1805</v>
      </c>
      <c r="AC195" t="s">
        <v>24</v>
      </c>
      <c r="AG195">
        <v>291</v>
      </c>
      <c r="AI195">
        <v>45</v>
      </c>
      <c r="AJ195">
        <v>16</v>
      </c>
    </row>
    <row r="196" spans="26:36" x14ac:dyDescent="0.25">
      <c r="Z196">
        <v>120</v>
      </c>
      <c r="AA196" t="s">
        <v>2236</v>
      </c>
      <c r="AB196" t="s">
        <v>1805</v>
      </c>
      <c r="AC196" t="s">
        <v>23</v>
      </c>
      <c r="AG196">
        <v>120</v>
      </c>
      <c r="AI196">
        <v>45</v>
      </c>
      <c r="AJ196">
        <v>17</v>
      </c>
    </row>
    <row r="197" spans="26:36" x14ac:dyDescent="0.25">
      <c r="Z197">
        <v>39</v>
      </c>
      <c r="AA197" t="s">
        <v>385</v>
      </c>
      <c r="AB197" t="s">
        <v>12</v>
      </c>
      <c r="AC197" t="s">
        <v>23</v>
      </c>
      <c r="AG197">
        <v>39</v>
      </c>
      <c r="AI197">
        <v>45</v>
      </c>
      <c r="AJ197">
        <v>30</v>
      </c>
    </row>
    <row r="198" spans="26:36" x14ac:dyDescent="0.25">
      <c r="Z198">
        <v>152</v>
      </c>
      <c r="AA198" t="s">
        <v>1771</v>
      </c>
      <c r="AB198" t="s">
        <v>108</v>
      </c>
      <c r="AC198" t="s">
        <v>24</v>
      </c>
      <c r="AG198">
        <v>152</v>
      </c>
      <c r="AI198">
        <v>45</v>
      </c>
      <c r="AJ198">
        <v>37</v>
      </c>
    </row>
    <row r="199" spans="26:36" x14ac:dyDescent="0.25">
      <c r="Z199">
        <v>20</v>
      </c>
      <c r="AA199" t="s">
        <v>2235</v>
      </c>
      <c r="AB199" t="s">
        <v>155</v>
      </c>
      <c r="AC199" t="s">
        <v>24</v>
      </c>
      <c r="AG199">
        <v>20</v>
      </c>
      <c r="AI199">
        <v>45</v>
      </c>
      <c r="AJ199">
        <v>38</v>
      </c>
    </row>
    <row r="200" spans="26:36" x14ac:dyDescent="0.25">
      <c r="Z200">
        <v>97</v>
      </c>
      <c r="AA200" t="s">
        <v>228</v>
      </c>
      <c r="AB200" t="s">
        <v>2264</v>
      </c>
      <c r="AC200" t="s">
        <v>23</v>
      </c>
      <c r="AG200">
        <v>97</v>
      </c>
      <c r="AI200">
        <v>45</v>
      </c>
      <c r="AJ200">
        <v>44</v>
      </c>
    </row>
    <row r="201" spans="26:36" x14ac:dyDescent="0.25">
      <c r="Z201">
        <v>259</v>
      </c>
      <c r="AA201" t="s">
        <v>2279</v>
      </c>
      <c r="AB201" t="s">
        <v>38</v>
      </c>
      <c r="AC201" t="s">
        <v>23</v>
      </c>
      <c r="AG201">
        <v>259</v>
      </c>
      <c r="AI201">
        <v>45</v>
      </c>
      <c r="AJ201">
        <v>50</v>
      </c>
    </row>
    <row r="202" spans="26:36" x14ac:dyDescent="0.25">
      <c r="Z202">
        <v>228</v>
      </c>
      <c r="AA202" t="s">
        <v>179</v>
      </c>
      <c r="AB202" t="s">
        <v>505</v>
      </c>
      <c r="AC202" t="s">
        <v>23</v>
      </c>
      <c r="AG202">
        <v>228</v>
      </c>
      <c r="AI202">
        <v>45</v>
      </c>
      <c r="AJ202">
        <v>54</v>
      </c>
    </row>
    <row r="203" spans="26:36" x14ac:dyDescent="0.25">
      <c r="Z203">
        <v>203</v>
      </c>
      <c r="AA203" t="s">
        <v>2290</v>
      </c>
      <c r="AB203" t="s">
        <v>505</v>
      </c>
      <c r="AC203" t="s">
        <v>24</v>
      </c>
      <c r="AG203">
        <v>203</v>
      </c>
      <c r="AI203">
        <v>45</v>
      </c>
      <c r="AJ203">
        <v>56</v>
      </c>
    </row>
    <row r="204" spans="26:36" x14ac:dyDescent="0.25">
      <c r="Z204">
        <v>267</v>
      </c>
      <c r="AA204" t="s">
        <v>455</v>
      </c>
      <c r="AB204" t="s">
        <v>14</v>
      </c>
      <c r="AC204" t="s">
        <v>23</v>
      </c>
      <c r="AG204">
        <v>267</v>
      </c>
      <c r="AI204">
        <v>45</v>
      </c>
      <c r="AJ204">
        <v>59</v>
      </c>
    </row>
    <row r="205" spans="26:36" x14ac:dyDescent="0.25">
      <c r="Z205">
        <v>265</v>
      </c>
      <c r="AA205" t="s">
        <v>2288</v>
      </c>
      <c r="AB205" t="s">
        <v>63</v>
      </c>
      <c r="AC205" t="s">
        <v>23</v>
      </c>
      <c r="AG205">
        <v>265</v>
      </c>
      <c r="AI205">
        <v>46</v>
      </c>
      <c r="AJ205">
        <v>2</v>
      </c>
    </row>
    <row r="206" spans="26:36" x14ac:dyDescent="0.25">
      <c r="Z206">
        <v>232</v>
      </c>
      <c r="AA206" t="s">
        <v>2287</v>
      </c>
      <c r="AB206" t="s">
        <v>1805</v>
      </c>
      <c r="AC206" t="s">
        <v>24</v>
      </c>
      <c r="AG206">
        <v>232</v>
      </c>
      <c r="AI206">
        <v>46</v>
      </c>
      <c r="AJ206">
        <v>2</v>
      </c>
    </row>
    <row r="207" spans="26:36" x14ac:dyDescent="0.25">
      <c r="Z207">
        <v>191</v>
      </c>
      <c r="AA207" t="s">
        <v>1153</v>
      </c>
      <c r="AB207" t="s">
        <v>155</v>
      </c>
      <c r="AC207" t="s">
        <v>24</v>
      </c>
      <c r="AG207">
        <v>191</v>
      </c>
      <c r="AI207">
        <v>46</v>
      </c>
      <c r="AJ207">
        <v>22</v>
      </c>
    </row>
    <row r="208" spans="26:36" x14ac:dyDescent="0.25">
      <c r="Z208">
        <v>274</v>
      </c>
      <c r="AA208" t="s">
        <v>517</v>
      </c>
      <c r="AB208" t="s">
        <v>155</v>
      </c>
      <c r="AC208" t="s">
        <v>23</v>
      </c>
      <c r="AG208">
        <v>274</v>
      </c>
      <c r="AI208">
        <v>46</v>
      </c>
      <c r="AJ208">
        <v>35</v>
      </c>
    </row>
    <row r="209" spans="26:36" x14ac:dyDescent="0.25">
      <c r="Z209">
        <v>201</v>
      </c>
      <c r="AA209" t="s">
        <v>2272</v>
      </c>
      <c r="AB209" t="s">
        <v>155</v>
      </c>
      <c r="AC209" t="s">
        <v>23</v>
      </c>
      <c r="AG209">
        <v>201</v>
      </c>
      <c r="AI209">
        <v>46</v>
      </c>
      <c r="AJ209">
        <v>38</v>
      </c>
    </row>
    <row r="210" spans="26:36" x14ac:dyDescent="0.25">
      <c r="Z210">
        <v>74</v>
      </c>
      <c r="AA210" t="s">
        <v>1455</v>
      </c>
      <c r="AB210" t="s">
        <v>154</v>
      </c>
      <c r="AC210" t="s">
        <v>23</v>
      </c>
      <c r="AG210">
        <v>74</v>
      </c>
      <c r="AI210">
        <v>46</v>
      </c>
      <c r="AJ210">
        <v>43</v>
      </c>
    </row>
    <row r="211" spans="26:36" x14ac:dyDescent="0.25">
      <c r="Z211">
        <v>146</v>
      </c>
      <c r="AA211" t="s">
        <v>2234</v>
      </c>
      <c r="AB211" t="s">
        <v>1805</v>
      </c>
      <c r="AC211" t="s">
        <v>23</v>
      </c>
      <c r="AG211">
        <v>146</v>
      </c>
      <c r="AI211">
        <v>46</v>
      </c>
      <c r="AJ211">
        <v>48</v>
      </c>
    </row>
    <row r="212" spans="26:36" x14ac:dyDescent="0.25">
      <c r="Z212">
        <v>9</v>
      </c>
      <c r="AA212" t="s">
        <v>1348</v>
      </c>
      <c r="AB212" t="s">
        <v>12</v>
      </c>
      <c r="AC212" t="s">
        <v>24</v>
      </c>
      <c r="AG212">
        <v>9</v>
      </c>
      <c r="AI212">
        <v>46</v>
      </c>
      <c r="AJ212">
        <v>49</v>
      </c>
    </row>
    <row r="213" spans="26:36" x14ac:dyDescent="0.25">
      <c r="Z213">
        <v>133</v>
      </c>
      <c r="AA213" t="s">
        <v>2296</v>
      </c>
      <c r="AB213" t="s">
        <v>38</v>
      </c>
      <c r="AC213" t="s">
        <v>24</v>
      </c>
      <c r="AG213">
        <v>133</v>
      </c>
      <c r="AI213">
        <v>46</v>
      </c>
      <c r="AJ213">
        <v>53</v>
      </c>
    </row>
    <row r="214" spans="26:36" x14ac:dyDescent="0.25">
      <c r="Z214">
        <v>185</v>
      </c>
      <c r="AA214" t="s">
        <v>2283</v>
      </c>
      <c r="AB214" t="s">
        <v>1805</v>
      </c>
      <c r="AC214" t="s">
        <v>23</v>
      </c>
      <c r="AG214">
        <v>185</v>
      </c>
      <c r="AI214">
        <v>46</v>
      </c>
      <c r="AJ214">
        <v>59</v>
      </c>
    </row>
    <row r="215" spans="26:36" x14ac:dyDescent="0.25">
      <c r="Z215">
        <v>296</v>
      </c>
      <c r="AA215" t="s">
        <v>462</v>
      </c>
      <c r="AB215" t="s">
        <v>505</v>
      </c>
      <c r="AC215" t="s">
        <v>24</v>
      </c>
      <c r="AG215">
        <v>296</v>
      </c>
      <c r="AI215">
        <v>47</v>
      </c>
      <c r="AJ215">
        <v>3</v>
      </c>
    </row>
    <row r="216" spans="26:36" x14ac:dyDescent="0.25">
      <c r="Z216">
        <v>42</v>
      </c>
      <c r="AA216" t="s">
        <v>2293</v>
      </c>
      <c r="AB216" t="s">
        <v>38</v>
      </c>
      <c r="AC216" t="s">
        <v>23</v>
      </c>
      <c r="AG216">
        <v>42</v>
      </c>
      <c r="AI216">
        <v>47</v>
      </c>
      <c r="AJ216">
        <v>10</v>
      </c>
    </row>
    <row r="217" spans="26:36" x14ac:dyDescent="0.25">
      <c r="Z217">
        <v>65</v>
      </c>
      <c r="AA217" t="s">
        <v>857</v>
      </c>
      <c r="AB217" t="s">
        <v>43</v>
      </c>
      <c r="AC217" t="s">
        <v>24</v>
      </c>
      <c r="AG217">
        <v>65</v>
      </c>
      <c r="AI217">
        <v>47</v>
      </c>
      <c r="AJ217">
        <v>21</v>
      </c>
    </row>
    <row r="218" spans="26:36" x14ac:dyDescent="0.25">
      <c r="Z218">
        <v>254</v>
      </c>
      <c r="AA218" t="s">
        <v>683</v>
      </c>
      <c r="AB218" t="s">
        <v>43</v>
      </c>
      <c r="AC218" t="s">
        <v>24</v>
      </c>
      <c r="AG218">
        <v>254</v>
      </c>
      <c r="AI218">
        <v>47</v>
      </c>
      <c r="AJ218">
        <v>48</v>
      </c>
    </row>
    <row r="219" spans="26:36" x14ac:dyDescent="0.25">
      <c r="Z219">
        <v>180</v>
      </c>
      <c r="AA219" t="s">
        <v>2311</v>
      </c>
      <c r="AB219" t="s">
        <v>63</v>
      </c>
      <c r="AC219" t="s">
        <v>23</v>
      </c>
      <c r="AG219">
        <v>180</v>
      </c>
      <c r="AI219">
        <v>47</v>
      </c>
      <c r="AJ219">
        <v>54</v>
      </c>
    </row>
    <row r="220" spans="26:36" x14ac:dyDescent="0.25">
      <c r="Z220">
        <v>116</v>
      </c>
      <c r="AA220" t="s">
        <v>1133</v>
      </c>
      <c r="AB220" t="s">
        <v>38</v>
      </c>
      <c r="AC220" t="s">
        <v>23</v>
      </c>
      <c r="AG220">
        <v>116</v>
      </c>
      <c r="AI220">
        <v>48</v>
      </c>
      <c r="AJ220">
        <v>3</v>
      </c>
    </row>
    <row r="221" spans="26:36" x14ac:dyDescent="0.25">
      <c r="Z221">
        <v>45</v>
      </c>
      <c r="AA221" t="s">
        <v>1742</v>
      </c>
      <c r="AB221" t="s">
        <v>38</v>
      </c>
      <c r="AC221" t="s">
        <v>23</v>
      </c>
      <c r="AG221">
        <v>45</v>
      </c>
      <c r="AI221">
        <v>48</v>
      </c>
      <c r="AJ221">
        <v>4</v>
      </c>
    </row>
    <row r="222" spans="26:36" x14ac:dyDescent="0.25">
      <c r="Z222">
        <v>237</v>
      </c>
      <c r="AA222" t="s">
        <v>214</v>
      </c>
      <c r="AB222" t="s">
        <v>38</v>
      </c>
      <c r="AC222" t="s">
        <v>24</v>
      </c>
      <c r="AG222">
        <v>237</v>
      </c>
      <c r="AI222">
        <v>48</v>
      </c>
      <c r="AJ222">
        <v>7</v>
      </c>
    </row>
    <row r="223" spans="26:36" x14ac:dyDescent="0.25">
      <c r="Z223">
        <v>83</v>
      </c>
      <c r="AA223" t="s">
        <v>456</v>
      </c>
      <c r="AB223" t="s">
        <v>154</v>
      </c>
      <c r="AC223" t="s">
        <v>24</v>
      </c>
      <c r="AG223">
        <v>83</v>
      </c>
      <c r="AI223">
        <v>48</v>
      </c>
      <c r="AJ223">
        <v>25</v>
      </c>
    </row>
    <row r="224" spans="26:36" x14ac:dyDescent="0.25">
      <c r="Z224">
        <v>153</v>
      </c>
      <c r="AA224" t="s">
        <v>1749</v>
      </c>
      <c r="AB224" t="s">
        <v>108</v>
      </c>
      <c r="AC224" t="s">
        <v>23</v>
      </c>
      <c r="AG224">
        <v>153</v>
      </c>
      <c r="AI224">
        <v>48</v>
      </c>
      <c r="AJ224">
        <v>26</v>
      </c>
    </row>
    <row r="225" spans="26:36" x14ac:dyDescent="0.25">
      <c r="Z225">
        <v>225</v>
      </c>
      <c r="AA225" t="s">
        <v>1322</v>
      </c>
      <c r="AB225" t="s">
        <v>63</v>
      </c>
      <c r="AC225" t="s">
        <v>24</v>
      </c>
      <c r="AG225">
        <v>225</v>
      </c>
      <c r="AI225">
        <v>48</v>
      </c>
      <c r="AJ225">
        <v>28</v>
      </c>
    </row>
    <row r="226" spans="26:36" x14ac:dyDescent="0.25">
      <c r="Z226">
        <v>141</v>
      </c>
      <c r="AA226" t="s">
        <v>2305</v>
      </c>
      <c r="AB226" t="s">
        <v>1805</v>
      </c>
      <c r="AC226" t="s">
        <v>23</v>
      </c>
      <c r="AG226">
        <v>141</v>
      </c>
      <c r="AI226">
        <v>48</v>
      </c>
      <c r="AJ226">
        <v>51</v>
      </c>
    </row>
    <row r="227" spans="26:36" x14ac:dyDescent="0.25">
      <c r="Z227">
        <v>257</v>
      </c>
      <c r="AA227" t="s">
        <v>475</v>
      </c>
      <c r="AB227" t="s">
        <v>154</v>
      </c>
      <c r="AC227" t="s">
        <v>23</v>
      </c>
      <c r="AG227">
        <v>257</v>
      </c>
      <c r="AI227">
        <v>48</v>
      </c>
      <c r="AJ227">
        <v>58</v>
      </c>
    </row>
    <row r="228" spans="26:36" x14ac:dyDescent="0.25">
      <c r="Z228">
        <v>86</v>
      </c>
      <c r="AA228" t="s">
        <v>2291</v>
      </c>
      <c r="AB228" t="s">
        <v>108</v>
      </c>
      <c r="AC228" t="s">
        <v>24</v>
      </c>
      <c r="AG228">
        <v>86</v>
      </c>
      <c r="AI228">
        <v>49</v>
      </c>
      <c r="AJ228">
        <v>10</v>
      </c>
    </row>
    <row r="229" spans="26:36" x14ac:dyDescent="0.25">
      <c r="Z229">
        <v>174</v>
      </c>
      <c r="AA229" t="s">
        <v>2242</v>
      </c>
      <c r="AB229" t="s">
        <v>38</v>
      </c>
      <c r="AC229" t="s">
        <v>23</v>
      </c>
      <c r="AG229">
        <v>174</v>
      </c>
      <c r="AI229">
        <v>49</v>
      </c>
      <c r="AJ229">
        <v>22</v>
      </c>
    </row>
    <row r="230" spans="26:36" x14ac:dyDescent="0.25">
      <c r="Z230">
        <v>108</v>
      </c>
      <c r="AA230" t="s">
        <v>1366</v>
      </c>
      <c r="AB230" t="s">
        <v>38</v>
      </c>
      <c r="AC230" t="s">
        <v>23</v>
      </c>
      <c r="AG230">
        <v>108</v>
      </c>
      <c r="AI230">
        <v>49</v>
      </c>
      <c r="AJ230">
        <v>22</v>
      </c>
    </row>
    <row r="231" spans="26:36" x14ac:dyDescent="0.25">
      <c r="Z231">
        <v>207</v>
      </c>
      <c r="AA231" t="s">
        <v>2244</v>
      </c>
      <c r="AB231" t="s">
        <v>38</v>
      </c>
      <c r="AC231" t="s">
        <v>23</v>
      </c>
      <c r="AG231">
        <v>207</v>
      </c>
      <c r="AI231">
        <v>49</v>
      </c>
      <c r="AJ231">
        <v>27</v>
      </c>
    </row>
    <row r="232" spans="26:36" x14ac:dyDescent="0.25">
      <c r="Z232">
        <v>188</v>
      </c>
      <c r="AA232" t="s">
        <v>2271</v>
      </c>
      <c r="AB232" t="s">
        <v>155</v>
      </c>
      <c r="AC232" t="s">
        <v>23</v>
      </c>
      <c r="AG232">
        <v>188</v>
      </c>
      <c r="AI232">
        <v>49</v>
      </c>
      <c r="AJ232">
        <v>29</v>
      </c>
    </row>
    <row r="233" spans="26:36" x14ac:dyDescent="0.25">
      <c r="Z233">
        <v>126</v>
      </c>
      <c r="AA233" t="s">
        <v>1362</v>
      </c>
      <c r="AB233" t="s">
        <v>505</v>
      </c>
      <c r="AC233" t="s">
        <v>23</v>
      </c>
      <c r="AG233">
        <v>126</v>
      </c>
      <c r="AI233">
        <v>49</v>
      </c>
      <c r="AJ233">
        <v>32</v>
      </c>
    </row>
    <row r="234" spans="26:36" x14ac:dyDescent="0.25">
      <c r="Z234">
        <v>144</v>
      </c>
      <c r="AA234" t="s">
        <v>195</v>
      </c>
      <c r="AB234" t="s">
        <v>108</v>
      </c>
      <c r="AC234" t="s">
        <v>24</v>
      </c>
      <c r="AG234">
        <v>144</v>
      </c>
      <c r="AI234">
        <v>49</v>
      </c>
      <c r="AJ234">
        <v>48</v>
      </c>
    </row>
    <row r="235" spans="26:36" x14ac:dyDescent="0.25">
      <c r="Z235">
        <v>210</v>
      </c>
      <c r="AA235" t="s">
        <v>1791</v>
      </c>
      <c r="AB235" t="s">
        <v>12</v>
      </c>
      <c r="AC235" t="s">
        <v>23</v>
      </c>
      <c r="AG235">
        <v>210</v>
      </c>
      <c r="AI235">
        <v>49</v>
      </c>
      <c r="AJ235">
        <v>49</v>
      </c>
    </row>
    <row r="236" spans="26:36" x14ac:dyDescent="0.25">
      <c r="Z236">
        <v>229</v>
      </c>
      <c r="AA236" t="s">
        <v>1417</v>
      </c>
      <c r="AB236" t="s">
        <v>38</v>
      </c>
      <c r="AC236" t="s">
        <v>23</v>
      </c>
      <c r="AG236">
        <v>229</v>
      </c>
      <c r="AI236">
        <v>50</v>
      </c>
      <c r="AJ236">
        <v>9</v>
      </c>
    </row>
    <row r="237" spans="26:36" x14ac:dyDescent="0.25">
      <c r="Z237">
        <v>177</v>
      </c>
      <c r="AA237" t="s">
        <v>1772</v>
      </c>
      <c r="AB237" t="s">
        <v>108</v>
      </c>
      <c r="AC237" t="s">
        <v>23</v>
      </c>
      <c r="AG237">
        <v>177</v>
      </c>
      <c r="AI237">
        <v>50</v>
      </c>
      <c r="AJ237">
        <v>49</v>
      </c>
    </row>
    <row r="238" spans="26:36" x14ac:dyDescent="0.25">
      <c r="Z238">
        <v>90</v>
      </c>
      <c r="AA238" t="s">
        <v>1748</v>
      </c>
      <c r="AB238" t="s">
        <v>155</v>
      </c>
      <c r="AC238" t="s">
        <v>23</v>
      </c>
      <c r="AG238">
        <v>90</v>
      </c>
      <c r="AI238">
        <v>50</v>
      </c>
      <c r="AJ238">
        <v>52</v>
      </c>
    </row>
    <row r="239" spans="26:36" x14ac:dyDescent="0.25">
      <c r="Z239">
        <v>279</v>
      </c>
      <c r="AA239" t="s">
        <v>509</v>
      </c>
      <c r="AB239" t="s">
        <v>154</v>
      </c>
      <c r="AC239" t="s">
        <v>23</v>
      </c>
      <c r="AG239">
        <v>279</v>
      </c>
      <c r="AI239">
        <v>51</v>
      </c>
      <c r="AJ239">
        <v>42</v>
      </c>
    </row>
    <row r="240" spans="26:36" x14ac:dyDescent="0.25">
      <c r="Z240">
        <v>187</v>
      </c>
      <c r="AA240" t="s">
        <v>2246</v>
      </c>
      <c r="AB240" t="s">
        <v>38</v>
      </c>
      <c r="AC240" t="s">
        <v>24</v>
      </c>
      <c r="AG240">
        <v>187</v>
      </c>
      <c r="AI240">
        <v>52</v>
      </c>
      <c r="AJ240">
        <v>0</v>
      </c>
    </row>
    <row r="241" spans="26:36" x14ac:dyDescent="0.25">
      <c r="Z241">
        <v>271</v>
      </c>
      <c r="AA241" t="s">
        <v>967</v>
      </c>
      <c r="AB241" t="s">
        <v>154</v>
      </c>
      <c r="AC241" t="s">
        <v>23</v>
      </c>
      <c r="AG241">
        <v>271</v>
      </c>
      <c r="AI241">
        <v>52</v>
      </c>
      <c r="AJ241">
        <v>10</v>
      </c>
    </row>
    <row r="242" spans="26:36" x14ac:dyDescent="0.25">
      <c r="Z242">
        <v>224</v>
      </c>
      <c r="AA242" t="s">
        <v>2233</v>
      </c>
      <c r="AB242" t="s">
        <v>38</v>
      </c>
      <c r="AC242" t="s">
        <v>24</v>
      </c>
      <c r="AG242">
        <v>224</v>
      </c>
      <c r="AI242">
        <v>52</v>
      </c>
      <c r="AJ242">
        <v>11</v>
      </c>
    </row>
    <row r="243" spans="26:36" x14ac:dyDescent="0.25">
      <c r="Z243">
        <v>102</v>
      </c>
      <c r="AA243" t="s">
        <v>1851</v>
      </c>
      <c r="AB243" t="s">
        <v>63</v>
      </c>
      <c r="AC243" t="s">
        <v>23</v>
      </c>
      <c r="AG243">
        <v>102</v>
      </c>
      <c r="AI243">
        <v>52</v>
      </c>
      <c r="AJ243">
        <v>44</v>
      </c>
    </row>
    <row r="244" spans="26:36" x14ac:dyDescent="0.25">
      <c r="Z244">
        <v>293</v>
      </c>
      <c r="AA244" t="s">
        <v>253</v>
      </c>
      <c r="AB244" t="s">
        <v>63</v>
      </c>
      <c r="AC244" t="s">
        <v>23</v>
      </c>
      <c r="AG244">
        <v>293</v>
      </c>
      <c r="AI244">
        <v>52</v>
      </c>
      <c r="AJ244">
        <v>45</v>
      </c>
    </row>
    <row r="245" spans="26:36" x14ac:dyDescent="0.25">
      <c r="Z245">
        <v>66</v>
      </c>
      <c r="AA245" t="s">
        <v>1761</v>
      </c>
      <c r="AB245" t="s">
        <v>43</v>
      </c>
      <c r="AC245" t="s">
        <v>23</v>
      </c>
      <c r="AG245">
        <v>66</v>
      </c>
      <c r="AI245">
        <v>53</v>
      </c>
      <c r="AJ245">
        <v>3</v>
      </c>
    </row>
    <row r="246" spans="26:36" x14ac:dyDescent="0.25">
      <c r="Z246">
        <v>110</v>
      </c>
      <c r="AA246" t="s">
        <v>2159</v>
      </c>
      <c r="AB246" t="s">
        <v>38</v>
      </c>
      <c r="AC246" t="s">
        <v>24</v>
      </c>
      <c r="AG246">
        <v>110</v>
      </c>
      <c r="AI246">
        <v>53</v>
      </c>
      <c r="AJ246">
        <v>17</v>
      </c>
    </row>
    <row r="247" spans="26:36" x14ac:dyDescent="0.25">
      <c r="Z247">
        <v>184</v>
      </c>
      <c r="AA247" t="s">
        <v>2245</v>
      </c>
      <c r="AB247" t="s">
        <v>1805</v>
      </c>
      <c r="AC247" t="s">
        <v>23</v>
      </c>
      <c r="AG247">
        <v>184</v>
      </c>
      <c r="AI247">
        <v>53</v>
      </c>
      <c r="AJ247">
        <v>32</v>
      </c>
    </row>
    <row r="248" spans="26:36" x14ac:dyDescent="0.25">
      <c r="Z248">
        <v>170</v>
      </c>
      <c r="AA248" t="s">
        <v>1512</v>
      </c>
      <c r="AB248" t="s">
        <v>63</v>
      </c>
      <c r="AC248" t="s">
        <v>23</v>
      </c>
      <c r="AG248">
        <v>170</v>
      </c>
      <c r="AI248">
        <v>54</v>
      </c>
      <c r="AJ248">
        <v>12</v>
      </c>
    </row>
    <row r="249" spans="26:36" x14ac:dyDescent="0.25">
      <c r="Z249">
        <v>31</v>
      </c>
      <c r="AA249" t="s">
        <v>2292</v>
      </c>
      <c r="AB249" t="s">
        <v>1805</v>
      </c>
      <c r="AC249" t="s">
        <v>23</v>
      </c>
      <c r="AG249">
        <v>31</v>
      </c>
      <c r="AI249">
        <v>54</v>
      </c>
      <c r="AJ249">
        <v>16</v>
      </c>
    </row>
    <row r="250" spans="26:36" x14ac:dyDescent="0.25">
      <c r="Z250">
        <v>79</v>
      </c>
      <c r="AA250" t="s">
        <v>1514</v>
      </c>
      <c r="AB250" t="s">
        <v>155</v>
      </c>
      <c r="AC250" t="s">
        <v>23</v>
      </c>
      <c r="AG250">
        <v>79</v>
      </c>
      <c r="AI250">
        <v>54</v>
      </c>
      <c r="AJ250">
        <v>22</v>
      </c>
    </row>
    <row r="251" spans="26:36" x14ac:dyDescent="0.25">
      <c r="Z251">
        <v>190</v>
      </c>
      <c r="AA251" t="s">
        <v>1405</v>
      </c>
      <c r="AB251" t="s">
        <v>155</v>
      </c>
      <c r="AC251" t="s">
        <v>23</v>
      </c>
      <c r="AG251">
        <v>190</v>
      </c>
      <c r="AI251">
        <v>54</v>
      </c>
      <c r="AJ251">
        <v>24</v>
      </c>
    </row>
    <row r="252" spans="26:36" x14ac:dyDescent="0.25">
      <c r="Z252">
        <v>159</v>
      </c>
      <c r="AA252" t="s">
        <v>1623</v>
      </c>
      <c r="AB252" t="s">
        <v>155</v>
      </c>
      <c r="AC252" t="s">
        <v>23</v>
      </c>
      <c r="AG252">
        <v>159</v>
      </c>
      <c r="AI252">
        <v>54</v>
      </c>
      <c r="AJ252">
        <v>26</v>
      </c>
    </row>
    <row r="253" spans="26:36" x14ac:dyDescent="0.25">
      <c r="Z253">
        <v>212</v>
      </c>
      <c r="AA253" t="s">
        <v>839</v>
      </c>
      <c r="AB253" t="s">
        <v>63</v>
      </c>
      <c r="AC253" t="s">
        <v>23</v>
      </c>
      <c r="AG253">
        <v>212</v>
      </c>
      <c r="AI253">
        <v>54</v>
      </c>
      <c r="AJ253">
        <v>48</v>
      </c>
    </row>
    <row r="254" spans="26:36" x14ac:dyDescent="0.25">
      <c r="Z254">
        <v>236</v>
      </c>
      <c r="AA254" t="s">
        <v>2281</v>
      </c>
      <c r="AB254" t="s">
        <v>155</v>
      </c>
      <c r="AC254" t="s">
        <v>23</v>
      </c>
      <c r="AG254">
        <v>236</v>
      </c>
      <c r="AI254">
        <v>54</v>
      </c>
      <c r="AJ254">
        <v>56</v>
      </c>
    </row>
    <row r="255" spans="26:36" x14ac:dyDescent="0.25">
      <c r="Z255">
        <v>150</v>
      </c>
      <c r="AA255" t="s">
        <v>2280</v>
      </c>
      <c r="AB255" t="s">
        <v>155</v>
      </c>
      <c r="AC255" t="s">
        <v>23</v>
      </c>
      <c r="AG255">
        <v>150</v>
      </c>
      <c r="AI255">
        <v>55</v>
      </c>
      <c r="AJ255">
        <v>6</v>
      </c>
    </row>
    <row r="256" spans="26:36" x14ac:dyDescent="0.25">
      <c r="Z256">
        <v>231</v>
      </c>
      <c r="AA256" t="s">
        <v>756</v>
      </c>
      <c r="AB256" t="s">
        <v>155</v>
      </c>
      <c r="AC256" t="s">
        <v>23</v>
      </c>
      <c r="AG256">
        <v>231</v>
      </c>
      <c r="AI256">
        <v>55</v>
      </c>
      <c r="AJ256">
        <v>10</v>
      </c>
    </row>
    <row r="257" spans="26:36" x14ac:dyDescent="0.25">
      <c r="Z257">
        <v>148</v>
      </c>
      <c r="AA257" t="s">
        <v>192</v>
      </c>
      <c r="AB257" t="s">
        <v>108</v>
      </c>
      <c r="AC257" t="s">
        <v>23</v>
      </c>
      <c r="AG257">
        <v>148</v>
      </c>
      <c r="AI257">
        <v>55</v>
      </c>
      <c r="AJ257">
        <v>15</v>
      </c>
    </row>
    <row r="258" spans="26:36" x14ac:dyDescent="0.25">
      <c r="Z258">
        <v>49</v>
      </c>
      <c r="AA258" t="s">
        <v>1076</v>
      </c>
      <c r="AB258" t="s">
        <v>155</v>
      </c>
      <c r="AC258" t="s">
        <v>23</v>
      </c>
      <c r="AG258">
        <v>49</v>
      </c>
      <c r="AI258">
        <v>55</v>
      </c>
      <c r="AJ258">
        <v>30</v>
      </c>
    </row>
    <row r="259" spans="26:36" x14ac:dyDescent="0.25">
      <c r="Z259">
        <v>263</v>
      </c>
      <c r="AA259" t="s">
        <v>1043</v>
      </c>
      <c r="AB259" t="s">
        <v>154</v>
      </c>
      <c r="AC259" t="s">
        <v>23</v>
      </c>
      <c r="AG259">
        <v>263</v>
      </c>
      <c r="AI259">
        <v>56</v>
      </c>
      <c r="AJ259">
        <v>15</v>
      </c>
    </row>
    <row r="260" spans="26:36" x14ac:dyDescent="0.25">
      <c r="Z260">
        <v>36</v>
      </c>
      <c r="AA260" t="s">
        <v>1747</v>
      </c>
      <c r="AB260" t="s">
        <v>505</v>
      </c>
      <c r="AC260" t="s">
        <v>24</v>
      </c>
      <c r="AG260">
        <v>36</v>
      </c>
      <c r="AI260">
        <v>56</v>
      </c>
      <c r="AJ260">
        <v>28</v>
      </c>
    </row>
    <row r="261" spans="26:36" x14ac:dyDescent="0.25">
      <c r="Z261">
        <v>70</v>
      </c>
      <c r="AA261" t="s">
        <v>2267</v>
      </c>
      <c r="AB261" t="s">
        <v>38</v>
      </c>
      <c r="AC261" t="s">
        <v>24</v>
      </c>
      <c r="AG261">
        <v>70</v>
      </c>
      <c r="AI261">
        <v>56</v>
      </c>
      <c r="AJ261">
        <v>59</v>
      </c>
    </row>
    <row r="262" spans="26:36" x14ac:dyDescent="0.25">
      <c r="Z262">
        <v>136</v>
      </c>
      <c r="AA262" t="s">
        <v>1081</v>
      </c>
      <c r="AB262" t="s">
        <v>108</v>
      </c>
      <c r="AC262" t="s">
        <v>24</v>
      </c>
      <c r="AG262">
        <v>136</v>
      </c>
      <c r="AI262">
        <v>57</v>
      </c>
      <c r="AJ262">
        <v>7</v>
      </c>
    </row>
    <row r="263" spans="26:36" x14ac:dyDescent="0.25">
      <c r="Z263">
        <v>60</v>
      </c>
      <c r="AA263" t="s">
        <v>870</v>
      </c>
      <c r="AB263" t="s">
        <v>155</v>
      </c>
      <c r="AC263" t="s">
        <v>23</v>
      </c>
      <c r="AG263">
        <v>60</v>
      </c>
      <c r="AI263">
        <v>58</v>
      </c>
      <c r="AJ263">
        <v>27</v>
      </c>
    </row>
    <row r="264" spans="26:36" x14ac:dyDescent="0.25">
      <c r="Z264">
        <v>94</v>
      </c>
      <c r="AA264" t="s">
        <v>1782</v>
      </c>
      <c r="AB264" t="s">
        <v>108</v>
      </c>
      <c r="AC264" t="s">
        <v>23</v>
      </c>
      <c r="AG264">
        <v>94</v>
      </c>
      <c r="AI264">
        <v>58</v>
      </c>
      <c r="AJ264">
        <v>43</v>
      </c>
    </row>
    <row r="265" spans="26:36" x14ac:dyDescent="0.25">
      <c r="Z265">
        <v>2</v>
      </c>
      <c r="AA265" t="s">
        <v>1416</v>
      </c>
      <c r="AB265" t="s">
        <v>38</v>
      </c>
      <c r="AC265" t="s">
        <v>23</v>
      </c>
      <c r="AG265">
        <v>2</v>
      </c>
      <c r="AI265">
        <v>59</v>
      </c>
      <c r="AJ265">
        <v>3</v>
      </c>
    </row>
    <row r="266" spans="26:36" x14ac:dyDescent="0.25">
      <c r="Z266">
        <v>273</v>
      </c>
      <c r="AA266" t="s">
        <v>541</v>
      </c>
      <c r="AB266" t="s">
        <v>155</v>
      </c>
      <c r="AC266" t="s">
        <v>24</v>
      </c>
      <c r="AG266">
        <v>273</v>
      </c>
      <c r="AI266">
        <v>59</v>
      </c>
      <c r="AJ266">
        <v>30</v>
      </c>
    </row>
    <row r="267" spans="26:36" x14ac:dyDescent="0.25">
      <c r="Z267">
        <v>157</v>
      </c>
      <c r="AA267" t="s">
        <v>288</v>
      </c>
      <c r="AB267" t="s">
        <v>155</v>
      </c>
      <c r="AC267" t="s">
        <v>23</v>
      </c>
      <c r="AG267">
        <v>157</v>
      </c>
      <c r="AH267">
        <v>1</v>
      </c>
      <c r="AI267">
        <v>0</v>
      </c>
      <c r="AJ267">
        <v>38</v>
      </c>
    </row>
    <row r="268" spans="26:36" x14ac:dyDescent="0.25">
      <c r="Z268">
        <v>113</v>
      </c>
      <c r="AA268" t="s">
        <v>1882</v>
      </c>
      <c r="AB268" t="s">
        <v>155</v>
      </c>
      <c r="AC268" t="s">
        <v>23</v>
      </c>
      <c r="AG268">
        <v>113</v>
      </c>
      <c r="AH268">
        <v>1</v>
      </c>
      <c r="AI268">
        <v>1</v>
      </c>
      <c r="AJ268">
        <v>7</v>
      </c>
    </row>
    <row r="269" spans="26:36" x14ac:dyDescent="0.25">
      <c r="Z269">
        <v>202</v>
      </c>
      <c r="AA269" t="s">
        <v>2314</v>
      </c>
      <c r="AB269" t="s">
        <v>12</v>
      </c>
      <c r="AC269" t="s">
        <v>23</v>
      </c>
      <c r="AG269">
        <v>202</v>
      </c>
      <c r="AH269">
        <v>1</v>
      </c>
      <c r="AI269">
        <v>1</v>
      </c>
      <c r="AJ269">
        <v>8</v>
      </c>
    </row>
    <row r="270" spans="26:36" x14ac:dyDescent="0.25">
      <c r="Z270">
        <v>131</v>
      </c>
      <c r="AA270" t="s">
        <v>2299</v>
      </c>
      <c r="AB270" t="s">
        <v>155</v>
      </c>
      <c r="AC270" t="s">
        <v>23</v>
      </c>
      <c r="AG270">
        <v>131</v>
      </c>
      <c r="AH270">
        <v>1</v>
      </c>
      <c r="AI270">
        <v>1</v>
      </c>
      <c r="AJ270">
        <v>8</v>
      </c>
    </row>
    <row r="271" spans="26:36" x14ac:dyDescent="0.25">
      <c r="Z271">
        <v>249</v>
      </c>
      <c r="AA271" t="s">
        <v>1756</v>
      </c>
      <c r="AB271" t="s">
        <v>155</v>
      </c>
      <c r="AC271" t="s">
        <v>24</v>
      </c>
      <c r="AG271">
        <v>249</v>
      </c>
      <c r="AH271">
        <v>1</v>
      </c>
      <c r="AI271">
        <v>2</v>
      </c>
      <c r="AJ271">
        <v>58</v>
      </c>
    </row>
    <row r="272" spans="26:36" x14ac:dyDescent="0.25">
      <c r="Z272">
        <v>100</v>
      </c>
      <c r="AA272" t="s">
        <v>633</v>
      </c>
      <c r="AB272" t="s">
        <v>2312</v>
      </c>
      <c r="AC272" t="s">
        <v>23</v>
      </c>
      <c r="AG272">
        <v>100</v>
      </c>
      <c r="AH272">
        <v>1</v>
      </c>
      <c r="AI272">
        <v>3</v>
      </c>
      <c r="AJ272">
        <v>37</v>
      </c>
    </row>
    <row r="273" spans="26:36" x14ac:dyDescent="0.25">
      <c r="Z273">
        <v>248</v>
      </c>
      <c r="AA273" t="s">
        <v>2270</v>
      </c>
      <c r="AB273" t="s">
        <v>155</v>
      </c>
      <c r="AC273" t="s">
        <v>24</v>
      </c>
      <c r="AG273">
        <v>248</v>
      </c>
      <c r="AH273">
        <v>1</v>
      </c>
      <c r="AI273">
        <v>4</v>
      </c>
      <c r="AJ273">
        <v>8</v>
      </c>
    </row>
    <row r="274" spans="26:36" x14ac:dyDescent="0.25">
      <c r="Z274">
        <v>194</v>
      </c>
      <c r="AA274" t="s">
        <v>2025</v>
      </c>
      <c r="AB274" t="s">
        <v>1805</v>
      </c>
      <c r="AC274" t="s">
        <v>23</v>
      </c>
      <c r="AG274">
        <v>194</v>
      </c>
      <c r="AH274">
        <v>1</v>
      </c>
      <c r="AI274">
        <v>6</v>
      </c>
      <c r="AJ274">
        <v>43</v>
      </c>
    </row>
    <row r="275" spans="26:36" x14ac:dyDescent="0.25">
      <c r="Z275">
        <v>256</v>
      </c>
      <c r="AA275" t="s">
        <v>2252</v>
      </c>
      <c r="AB275" t="s">
        <v>12</v>
      </c>
      <c r="AC275" t="s">
        <v>23</v>
      </c>
      <c r="AG275">
        <v>256</v>
      </c>
      <c r="AH275">
        <v>1</v>
      </c>
      <c r="AI275">
        <v>9</v>
      </c>
      <c r="AJ275">
        <v>52</v>
      </c>
    </row>
  </sheetData>
  <sheetProtection password="CC06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J401"/>
  <sheetViews>
    <sheetView workbookViewId="0"/>
  </sheetViews>
  <sheetFormatPr defaultRowHeight="15.75" x14ac:dyDescent="0.25"/>
  <cols>
    <col min="1" max="1" width="20.625" customWidth="1"/>
    <col min="2" max="4" width="3.625" customWidth="1"/>
    <col min="5" max="5" width="20.625" customWidth="1"/>
    <col min="6" max="7" width="3.625" customWidth="1"/>
    <col min="8" max="8" width="20.625" customWidth="1"/>
    <col min="9" max="10" width="3.625" customWidth="1"/>
    <col min="11" max="11" width="20.625" customWidth="1"/>
    <col min="12" max="13" width="3.625" customWidth="1"/>
    <col min="14" max="14" width="20.625" customWidth="1"/>
    <col min="15" max="16" width="3.625" customWidth="1"/>
    <col min="17" max="17" width="20.625" customWidth="1"/>
    <col min="18" max="19" width="3.625" customWidth="1"/>
    <col min="20" max="20" width="20.625" customWidth="1"/>
    <col min="21" max="22" width="3.625" customWidth="1"/>
    <col min="25" max="31" width="9" customWidth="1"/>
    <col min="32" max="32" width="9" style="127" customWidth="1"/>
    <col min="33" max="35" width="9" customWidth="1"/>
  </cols>
  <sheetData>
    <row r="1" spans="1:36" x14ac:dyDescent="0.25">
      <c r="A1" s="125" t="s">
        <v>1318</v>
      </c>
      <c r="B1" s="125"/>
      <c r="C1" s="125"/>
      <c r="D1" s="125"/>
    </row>
    <row r="2" spans="1:36" s="2" customFormat="1" x14ac:dyDescent="0.25">
      <c r="A2" s="125" t="s">
        <v>2185</v>
      </c>
      <c r="B2" s="125"/>
      <c r="C2" s="125"/>
      <c r="D2" s="125"/>
      <c r="AF2" s="173"/>
    </row>
    <row r="3" spans="1:36" s="2" customFormat="1" x14ac:dyDescent="0.25">
      <c r="A3" s="125" t="s">
        <v>153</v>
      </c>
      <c r="B3" s="125" t="s">
        <v>0</v>
      </c>
      <c r="C3" s="125" t="s">
        <v>1205</v>
      </c>
      <c r="D3" s="125" t="s">
        <v>1206</v>
      </c>
      <c r="E3" s="125" t="s">
        <v>148</v>
      </c>
      <c r="F3" s="125" t="s">
        <v>587</v>
      </c>
      <c r="G3" s="125" t="s">
        <v>0</v>
      </c>
      <c r="H3" s="125" t="s">
        <v>1207</v>
      </c>
      <c r="I3" s="125" t="s">
        <v>587</v>
      </c>
      <c r="J3" s="125" t="s">
        <v>0</v>
      </c>
      <c r="K3" s="125" t="s">
        <v>150</v>
      </c>
      <c r="L3" s="125" t="s">
        <v>587</v>
      </c>
      <c r="M3" s="125" t="s">
        <v>0</v>
      </c>
      <c r="N3" s="125" t="s">
        <v>151</v>
      </c>
      <c r="O3" s="125" t="s">
        <v>587</v>
      </c>
      <c r="P3" s="125" t="s">
        <v>0</v>
      </c>
      <c r="Q3" s="125" t="s">
        <v>1208</v>
      </c>
      <c r="R3" s="125" t="s">
        <v>587</v>
      </c>
      <c r="S3" s="125" t="s">
        <v>0</v>
      </c>
      <c r="T3" s="125" t="s">
        <v>1209</v>
      </c>
      <c r="U3" s="125" t="s">
        <v>587</v>
      </c>
      <c r="V3" s="125" t="s">
        <v>0</v>
      </c>
      <c r="AF3" s="173"/>
    </row>
    <row r="4" spans="1:36" x14ac:dyDescent="0.25">
      <c r="Y4" s="48"/>
    </row>
    <row r="5" spans="1:36" x14ac:dyDescent="0.25">
      <c r="A5" t="s">
        <v>1277</v>
      </c>
    </row>
    <row r="6" spans="1:36" x14ac:dyDescent="0.25">
      <c r="A6" t="s">
        <v>12</v>
      </c>
      <c r="B6">
        <v>1</v>
      </c>
      <c r="C6">
        <v>6</v>
      </c>
      <c r="D6">
        <v>70</v>
      </c>
      <c r="E6" t="s">
        <v>354</v>
      </c>
      <c r="F6" t="s">
        <v>1813</v>
      </c>
      <c r="G6">
        <v>1</v>
      </c>
      <c r="H6" t="s">
        <v>596</v>
      </c>
      <c r="I6" t="s">
        <v>1813</v>
      </c>
      <c r="J6">
        <v>3</v>
      </c>
      <c r="K6" t="s">
        <v>364</v>
      </c>
      <c r="L6" t="s">
        <v>1813</v>
      </c>
      <c r="M6">
        <v>5</v>
      </c>
      <c r="N6" t="s">
        <v>322</v>
      </c>
      <c r="O6" t="s">
        <v>1814</v>
      </c>
      <c r="P6">
        <v>16</v>
      </c>
      <c r="Q6" t="s">
        <v>2286</v>
      </c>
      <c r="R6" t="s">
        <v>1814</v>
      </c>
      <c r="S6">
        <v>17</v>
      </c>
      <c r="T6" t="s">
        <v>2309</v>
      </c>
      <c r="U6" t="s">
        <v>1814</v>
      </c>
      <c r="V6">
        <v>28</v>
      </c>
      <c r="Z6" t="s">
        <v>6</v>
      </c>
      <c r="AA6" t="s">
        <v>2</v>
      </c>
      <c r="AB6" t="s">
        <v>3</v>
      </c>
      <c r="AC6" t="s">
        <v>22</v>
      </c>
      <c r="AD6" t="s">
        <v>37</v>
      </c>
      <c r="AE6" t="s">
        <v>1242</v>
      </c>
      <c r="AF6" s="127" t="s">
        <v>1240</v>
      </c>
      <c r="AG6" t="s">
        <v>8</v>
      </c>
      <c r="AI6" t="s">
        <v>4</v>
      </c>
    </row>
    <row r="7" spans="1:36" x14ac:dyDescent="0.25">
      <c r="A7" t="s">
        <v>108</v>
      </c>
      <c r="B7">
        <v>2</v>
      </c>
      <c r="C7">
        <v>6</v>
      </c>
      <c r="D7">
        <v>149</v>
      </c>
      <c r="E7" t="s">
        <v>302</v>
      </c>
      <c r="F7" t="s">
        <v>1814</v>
      </c>
      <c r="G7">
        <v>8</v>
      </c>
      <c r="H7" t="s">
        <v>1389</v>
      </c>
      <c r="I7" t="s">
        <v>1814</v>
      </c>
      <c r="J7">
        <v>9</v>
      </c>
      <c r="K7" t="s">
        <v>1808</v>
      </c>
      <c r="L7" t="s">
        <v>1813</v>
      </c>
      <c r="M7">
        <v>13</v>
      </c>
      <c r="N7" t="s">
        <v>2196</v>
      </c>
      <c r="O7" t="s">
        <v>1814</v>
      </c>
      <c r="P7">
        <v>31</v>
      </c>
      <c r="Q7" t="s">
        <v>337</v>
      </c>
      <c r="R7" t="s">
        <v>1814</v>
      </c>
      <c r="S7">
        <v>42</v>
      </c>
      <c r="T7" t="s">
        <v>2324</v>
      </c>
      <c r="U7" t="s">
        <v>1813</v>
      </c>
      <c r="V7">
        <v>46</v>
      </c>
      <c r="Z7">
        <v>53</v>
      </c>
      <c r="AA7" t="s">
        <v>354</v>
      </c>
      <c r="AB7" t="s">
        <v>12</v>
      </c>
      <c r="AC7" t="s">
        <v>24</v>
      </c>
      <c r="AD7">
        <v>28</v>
      </c>
      <c r="AF7" s="127">
        <v>32968</v>
      </c>
      <c r="AG7">
        <v>53</v>
      </c>
      <c r="AI7">
        <v>15</v>
      </c>
      <c r="AJ7">
        <v>52</v>
      </c>
    </row>
    <row r="8" spans="1:36" x14ac:dyDescent="0.25">
      <c r="A8" t="s">
        <v>154</v>
      </c>
      <c r="B8">
        <v>3</v>
      </c>
      <c r="C8">
        <v>6</v>
      </c>
      <c r="D8">
        <v>187</v>
      </c>
      <c r="E8" t="s">
        <v>311</v>
      </c>
      <c r="F8" t="s">
        <v>1814</v>
      </c>
      <c r="G8">
        <v>10</v>
      </c>
      <c r="H8" t="s">
        <v>1921</v>
      </c>
      <c r="I8" t="s">
        <v>1813</v>
      </c>
      <c r="J8">
        <v>20</v>
      </c>
      <c r="K8" t="s">
        <v>2319</v>
      </c>
      <c r="L8" t="s">
        <v>1813</v>
      </c>
      <c r="M8">
        <v>22</v>
      </c>
      <c r="N8" t="s">
        <v>1720</v>
      </c>
      <c r="O8" t="s">
        <v>1813</v>
      </c>
      <c r="P8">
        <v>29</v>
      </c>
      <c r="Q8" t="s">
        <v>301</v>
      </c>
      <c r="R8" t="s">
        <v>1814</v>
      </c>
      <c r="S8">
        <v>39</v>
      </c>
      <c r="T8" t="s">
        <v>1050</v>
      </c>
      <c r="U8" t="s">
        <v>1814</v>
      </c>
      <c r="V8">
        <v>67</v>
      </c>
      <c r="Z8">
        <v>146</v>
      </c>
      <c r="AA8" t="s">
        <v>2315</v>
      </c>
      <c r="AB8" t="s">
        <v>1499</v>
      </c>
      <c r="AC8" t="s">
        <v>24</v>
      </c>
      <c r="AD8">
        <v>44</v>
      </c>
      <c r="AF8" s="127">
        <v>27102</v>
      </c>
      <c r="AG8">
        <v>146</v>
      </c>
      <c r="AI8">
        <v>16</v>
      </c>
      <c r="AJ8">
        <v>33</v>
      </c>
    </row>
    <row r="9" spans="1:36" x14ac:dyDescent="0.25">
      <c r="A9" t="s">
        <v>63</v>
      </c>
      <c r="B9">
        <v>4</v>
      </c>
      <c r="C9">
        <v>6</v>
      </c>
      <c r="D9">
        <v>188</v>
      </c>
      <c r="E9" t="s">
        <v>2192</v>
      </c>
      <c r="F9" t="s">
        <v>1813</v>
      </c>
      <c r="G9">
        <v>4</v>
      </c>
      <c r="H9" t="s">
        <v>2194</v>
      </c>
      <c r="I9" t="s">
        <v>1813</v>
      </c>
      <c r="J9">
        <v>12</v>
      </c>
      <c r="K9" t="s">
        <v>2151</v>
      </c>
      <c r="L9" t="s">
        <v>1813</v>
      </c>
      <c r="M9">
        <v>18</v>
      </c>
      <c r="N9" t="s">
        <v>1361</v>
      </c>
      <c r="O9" t="s">
        <v>1814</v>
      </c>
      <c r="P9">
        <v>21</v>
      </c>
      <c r="Q9" t="s">
        <v>955</v>
      </c>
      <c r="R9" t="s">
        <v>1814</v>
      </c>
      <c r="S9">
        <v>50</v>
      </c>
      <c r="T9" t="s">
        <v>2333</v>
      </c>
      <c r="U9" t="s">
        <v>1814</v>
      </c>
      <c r="V9">
        <v>83</v>
      </c>
      <c r="Z9">
        <v>333</v>
      </c>
      <c r="AA9" t="s">
        <v>596</v>
      </c>
      <c r="AB9" t="s">
        <v>12</v>
      </c>
      <c r="AC9" t="s">
        <v>24</v>
      </c>
      <c r="AD9">
        <v>38</v>
      </c>
      <c r="AF9" s="127">
        <v>29145</v>
      </c>
      <c r="AG9">
        <v>333</v>
      </c>
      <c r="AI9">
        <v>16</v>
      </c>
      <c r="AJ9">
        <v>42</v>
      </c>
    </row>
    <row r="10" spans="1:36" x14ac:dyDescent="0.25">
      <c r="A10" t="s">
        <v>14</v>
      </c>
      <c r="B10">
        <v>5</v>
      </c>
      <c r="C10">
        <v>6</v>
      </c>
      <c r="D10">
        <v>290</v>
      </c>
      <c r="E10" t="s">
        <v>1533</v>
      </c>
      <c r="F10" t="s">
        <v>1813</v>
      </c>
      <c r="G10">
        <v>14</v>
      </c>
      <c r="H10" t="s">
        <v>2317</v>
      </c>
      <c r="I10" t="s">
        <v>1813</v>
      </c>
      <c r="J10">
        <v>15</v>
      </c>
      <c r="K10" t="s">
        <v>1522</v>
      </c>
      <c r="L10" t="s">
        <v>1814</v>
      </c>
      <c r="M10">
        <v>49</v>
      </c>
      <c r="N10" t="s">
        <v>1553</v>
      </c>
      <c r="O10" t="s">
        <v>1814</v>
      </c>
      <c r="P10">
        <v>58</v>
      </c>
      <c r="Q10" t="s">
        <v>2148</v>
      </c>
      <c r="R10" t="s">
        <v>1814</v>
      </c>
      <c r="S10">
        <v>73</v>
      </c>
      <c r="T10" t="s">
        <v>551</v>
      </c>
      <c r="U10" t="s">
        <v>1814</v>
      </c>
      <c r="V10">
        <v>81</v>
      </c>
      <c r="Z10">
        <v>326</v>
      </c>
      <c r="AA10" t="s">
        <v>2192</v>
      </c>
      <c r="AB10" t="s">
        <v>63</v>
      </c>
      <c r="AC10" t="s">
        <v>24</v>
      </c>
      <c r="AD10">
        <v>39</v>
      </c>
      <c r="AF10" s="127">
        <v>28814</v>
      </c>
      <c r="AG10">
        <v>326</v>
      </c>
      <c r="AI10">
        <v>16</v>
      </c>
      <c r="AJ10">
        <v>44</v>
      </c>
    </row>
    <row r="11" spans="1:36" x14ac:dyDescent="0.25">
      <c r="A11" t="s">
        <v>43</v>
      </c>
      <c r="B11">
        <v>6</v>
      </c>
      <c r="C11">
        <v>6</v>
      </c>
      <c r="D11">
        <v>379</v>
      </c>
      <c r="E11" t="s">
        <v>1122</v>
      </c>
      <c r="F11" t="s">
        <v>1814</v>
      </c>
      <c r="G11">
        <v>32</v>
      </c>
      <c r="H11" t="s">
        <v>353</v>
      </c>
      <c r="I11" t="s">
        <v>1814</v>
      </c>
      <c r="J11">
        <v>57</v>
      </c>
      <c r="K11" t="s">
        <v>1119</v>
      </c>
      <c r="L11" t="s">
        <v>1813</v>
      </c>
      <c r="M11">
        <v>63</v>
      </c>
      <c r="N11" t="s">
        <v>1152</v>
      </c>
      <c r="O11" t="s">
        <v>1814</v>
      </c>
      <c r="P11">
        <v>69</v>
      </c>
      <c r="Q11" t="s">
        <v>609</v>
      </c>
      <c r="R11" t="s">
        <v>1814</v>
      </c>
      <c r="S11">
        <v>76</v>
      </c>
      <c r="T11" t="s">
        <v>300</v>
      </c>
      <c r="U11" t="s">
        <v>1814</v>
      </c>
      <c r="V11">
        <v>82</v>
      </c>
      <c r="Z11">
        <v>42</v>
      </c>
      <c r="AA11" t="s">
        <v>364</v>
      </c>
      <c r="AB11" t="s">
        <v>12</v>
      </c>
      <c r="AC11" t="s">
        <v>24</v>
      </c>
      <c r="AD11">
        <v>34</v>
      </c>
      <c r="AF11" s="127">
        <v>30654</v>
      </c>
      <c r="AG11">
        <v>42</v>
      </c>
      <c r="AI11">
        <v>16</v>
      </c>
      <c r="AJ11">
        <v>46</v>
      </c>
    </row>
    <row r="12" spans="1:36" x14ac:dyDescent="0.25">
      <c r="A12" t="s">
        <v>38</v>
      </c>
      <c r="B12">
        <v>7</v>
      </c>
      <c r="C12">
        <v>6</v>
      </c>
      <c r="D12">
        <v>435</v>
      </c>
      <c r="E12" t="s">
        <v>2322</v>
      </c>
      <c r="F12" t="s">
        <v>1813</v>
      </c>
      <c r="G12">
        <v>40</v>
      </c>
      <c r="H12" t="s">
        <v>2276</v>
      </c>
      <c r="I12" t="s">
        <v>1813</v>
      </c>
      <c r="J12">
        <v>45</v>
      </c>
      <c r="K12" t="s">
        <v>2202</v>
      </c>
      <c r="L12" t="s">
        <v>1814</v>
      </c>
      <c r="M12">
        <v>55</v>
      </c>
      <c r="N12" t="s">
        <v>2205</v>
      </c>
      <c r="O12" t="s">
        <v>1814</v>
      </c>
      <c r="P12">
        <v>62</v>
      </c>
      <c r="Q12" t="s">
        <v>973</v>
      </c>
      <c r="R12" t="s">
        <v>1814</v>
      </c>
      <c r="S12">
        <v>116</v>
      </c>
      <c r="T12" t="s">
        <v>2117</v>
      </c>
      <c r="U12" t="s">
        <v>1814</v>
      </c>
      <c r="V12">
        <v>117</v>
      </c>
      <c r="Z12">
        <v>338</v>
      </c>
      <c r="AA12" t="s">
        <v>1357</v>
      </c>
      <c r="AB12" t="s">
        <v>12</v>
      </c>
      <c r="AC12" t="s">
        <v>24</v>
      </c>
      <c r="AD12">
        <v>33</v>
      </c>
      <c r="AF12" s="127">
        <v>31097</v>
      </c>
      <c r="AG12">
        <v>338</v>
      </c>
      <c r="AI12">
        <v>17</v>
      </c>
      <c r="AJ12">
        <v>29</v>
      </c>
    </row>
    <row r="13" spans="1:36" x14ac:dyDescent="0.25">
      <c r="A13" t="s">
        <v>155</v>
      </c>
      <c r="B13">
        <v>8</v>
      </c>
      <c r="C13">
        <v>6</v>
      </c>
      <c r="D13">
        <v>440</v>
      </c>
      <c r="E13" t="s">
        <v>282</v>
      </c>
      <c r="F13" t="s">
        <v>1813</v>
      </c>
      <c r="G13">
        <v>26</v>
      </c>
      <c r="H13" t="s">
        <v>2323</v>
      </c>
      <c r="I13" t="s">
        <v>1813</v>
      </c>
      <c r="J13">
        <v>44</v>
      </c>
      <c r="K13" t="s">
        <v>584</v>
      </c>
      <c r="L13" t="s">
        <v>1814</v>
      </c>
      <c r="M13">
        <v>68</v>
      </c>
      <c r="N13" t="s">
        <v>1406</v>
      </c>
      <c r="O13" t="s">
        <v>1813</v>
      </c>
      <c r="P13">
        <v>88</v>
      </c>
      <c r="Q13" t="s">
        <v>1370</v>
      </c>
      <c r="R13" t="s">
        <v>1814</v>
      </c>
      <c r="S13">
        <v>106</v>
      </c>
      <c r="T13" t="s">
        <v>872</v>
      </c>
      <c r="U13" t="s">
        <v>1814</v>
      </c>
      <c r="V13">
        <v>108</v>
      </c>
      <c r="Z13">
        <v>350</v>
      </c>
      <c r="AA13" t="s">
        <v>2316</v>
      </c>
      <c r="AB13" t="s">
        <v>12</v>
      </c>
      <c r="AC13" t="s">
        <v>24</v>
      </c>
      <c r="AD13">
        <v>38</v>
      </c>
      <c r="AF13" s="127">
        <v>29252</v>
      </c>
      <c r="AG13">
        <v>350</v>
      </c>
      <c r="AI13">
        <v>17</v>
      </c>
      <c r="AJ13">
        <v>31</v>
      </c>
    </row>
    <row r="14" spans="1:36" x14ac:dyDescent="0.25">
      <c r="A14" t="s">
        <v>1805</v>
      </c>
      <c r="B14">
        <v>9</v>
      </c>
      <c r="C14">
        <v>6</v>
      </c>
      <c r="D14">
        <v>471</v>
      </c>
      <c r="E14" t="s">
        <v>1822</v>
      </c>
      <c r="F14" t="s">
        <v>1813</v>
      </c>
      <c r="G14">
        <v>25</v>
      </c>
      <c r="H14" t="s">
        <v>2028</v>
      </c>
      <c r="I14" t="s">
        <v>1813</v>
      </c>
      <c r="J14">
        <v>33</v>
      </c>
      <c r="K14" t="s">
        <v>2197</v>
      </c>
      <c r="L14" t="s">
        <v>1813</v>
      </c>
      <c r="M14">
        <v>38</v>
      </c>
      <c r="N14" t="s">
        <v>2335</v>
      </c>
      <c r="O14" t="s">
        <v>1814</v>
      </c>
      <c r="P14">
        <v>105</v>
      </c>
      <c r="Q14" t="s">
        <v>2217</v>
      </c>
      <c r="R14" t="s">
        <v>1814</v>
      </c>
      <c r="S14">
        <v>133</v>
      </c>
      <c r="T14" t="s">
        <v>2214</v>
      </c>
      <c r="U14" t="s">
        <v>1814</v>
      </c>
      <c r="V14">
        <v>137</v>
      </c>
      <c r="Z14">
        <v>325</v>
      </c>
      <c r="AA14" t="s">
        <v>302</v>
      </c>
      <c r="AB14" t="s">
        <v>108</v>
      </c>
      <c r="AC14" t="s">
        <v>24</v>
      </c>
      <c r="AD14">
        <v>52</v>
      </c>
      <c r="AF14" s="127">
        <v>24029</v>
      </c>
      <c r="AG14">
        <v>325</v>
      </c>
      <c r="AI14">
        <v>17</v>
      </c>
      <c r="AJ14">
        <v>45</v>
      </c>
    </row>
    <row r="15" spans="1:36" x14ac:dyDescent="0.25">
      <c r="A15" t="s">
        <v>1278</v>
      </c>
      <c r="Z15">
        <v>94</v>
      </c>
      <c r="AA15" t="s">
        <v>1389</v>
      </c>
      <c r="AB15" t="s">
        <v>108</v>
      </c>
      <c r="AC15" t="s">
        <v>24</v>
      </c>
      <c r="AD15">
        <v>46</v>
      </c>
      <c r="AF15" s="127">
        <v>26352</v>
      </c>
      <c r="AG15">
        <v>94</v>
      </c>
      <c r="AI15">
        <v>17</v>
      </c>
      <c r="AJ15">
        <v>49</v>
      </c>
    </row>
    <row r="16" spans="1:36" x14ac:dyDescent="0.25">
      <c r="A16" t="s">
        <v>12</v>
      </c>
      <c r="B16">
        <v>1</v>
      </c>
      <c r="C16">
        <v>4</v>
      </c>
      <c r="D16">
        <v>18</v>
      </c>
      <c r="E16" t="s">
        <v>901</v>
      </c>
      <c r="F16" t="s">
        <v>1813</v>
      </c>
      <c r="G16">
        <v>1</v>
      </c>
      <c r="H16" t="s">
        <v>2124</v>
      </c>
      <c r="I16" t="s">
        <v>1814</v>
      </c>
      <c r="J16">
        <v>4</v>
      </c>
      <c r="K16" t="s">
        <v>1323</v>
      </c>
      <c r="L16" t="s">
        <v>1813</v>
      </c>
      <c r="M16">
        <v>6</v>
      </c>
      <c r="N16" t="s">
        <v>271</v>
      </c>
      <c r="O16" t="s">
        <v>1814</v>
      </c>
      <c r="P16">
        <v>7</v>
      </c>
      <c r="Z16">
        <v>39</v>
      </c>
      <c r="AA16" t="s">
        <v>311</v>
      </c>
      <c r="AB16" t="s">
        <v>154</v>
      </c>
      <c r="AC16" t="s">
        <v>24</v>
      </c>
      <c r="AD16">
        <v>41</v>
      </c>
      <c r="AF16" s="127">
        <v>28283</v>
      </c>
      <c r="AG16">
        <v>39</v>
      </c>
      <c r="AI16">
        <v>17</v>
      </c>
      <c r="AJ16">
        <v>55</v>
      </c>
    </row>
    <row r="17" spans="1:36" x14ac:dyDescent="0.25">
      <c r="A17" t="s">
        <v>154</v>
      </c>
      <c r="B17">
        <v>2</v>
      </c>
      <c r="C17">
        <v>4</v>
      </c>
      <c r="D17">
        <v>32</v>
      </c>
      <c r="E17" t="s">
        <v>1956</v>
      </c>
      <c r="F17" t="s">
        <v>1814</v>
      </c>
      <c r="G17">
        <v>2</v>
      </c>
      <c r="H17" t="s">
        <v>1883</v>
      </c>
      <c r="I17" t="s">
        <v>1814</v>
      </c>
      <c r="J17">
        <v>5</v>
      </c>
      <c r="K17" t="s">
        <v>2330</v>
      </c>
      <c r="L17" t="s">
        <v>1813</v>
      </c>
      <c r="M17">
        <v>9</v>
      </c>
      <c r="N17" t="s">
        <v>1059</v>
      </c>
      <c r="O17" t="s">
        <v>1814</v>
      </c>
      <c r="P17">
        <v>16</v>
      </c>
      <c r="Z17">
        <v>222</v>
      </c>
      <c r="AA17" t="s">
        <v>1102</v>
      </c>
      <c r="AB17" t="s">
        <v>12</v>
      </c>
      <c r="AC17" t="s">
        <v>24</v>
      </c>
      <c r="AD17">
        <v>34</v>
      </c>
      <c r="AF17" s="127">
        <v>30774</v>
      </c>
      <c r="AG17">
        <v>222</v>
      </c>
      <c r="AI17">
        <v>18</v>
      </c>
      <c r="AJ17">
        <v>2</v>
      </c>
    </row>
    <row r="18" spans="1:36" x14ac:dyDescent="0.25">
      <c r="A18" t="s">
        <v>14</v>
      </c>
      <c r="B18">
        <v>3</v>
      </c>
      <c r="C18">
        <v>4</v>
      </c>
      <c r="D18">
        <v>41</v>
      </c>
      <c r="E18" t="s">
        <v>2326</v>
      </c>
      <c r="F18" t="s">
        <v>1813</v>
      </c>
      <c r="G18">
        <v>3</v>
      </c>
      <c r="H18" t="s">
        <v>575</v>
      </c>
      <c r="I18" t="s">
        <v>1814</v>
      </c>
      <c r="J18">
        <v>11</v>
      </c>
      <c r="K18" t="s">
        <v>1688</v>
      </c>
      <c r="L18" t="s">
        <v>1814</v>
      </c>
      <c r="M18">
        <v>12</v>
      </c>
      <c r="N18" t="s">
        <v>991</v>
      </c>
      <c r="O18" t="s">
        <v>1814</v>
      </c>
      <c r="P18">
        <v>15</v>
      </c>
      <c r="Z18">
        <v>234</v>
      </c>
      <c r="AA18" t="s">
        <v>2194</v>
      </c>
      <c r="AB18" t="s">
        <v>63</v>
      </c>
      <c r="AC18" t="s">
        <v>24</v>
      </c>
      <c r="AD18">
        <v>25</v>
      </c>
      <c r="AF18" s="127">
        <v>34046</v>
      </c>
      <c r="AG18">
        <v>234</v>
      </c>
      <c r="AI18">
        <v>18</v>
      </c>
      <c r="AJ18">
        <v>7</v>
      </c>
    </row>
    <row r="19" spans="1:36" x14ac:dyDescent="0.25">
      <c r="A19" t="s">
        <v>108</v>
      </c>
      <c r="B19">
        <v>4</v>
      </c>
      <c r="C19">
        <v>4</v>
      </c>
      <c r="D19">
        <v>61</v>
      </c>
      <c r="E19" t="s">
        <v>2332</v>
      </c>
      <c r="F19" t="s">
        <v>1813</v>
      </c>
      <c r="G19">
        <v>10</v>
      </c>
      <c r="H19" t="s">
        <v>229</v>
      </c>
      <c r="I19" t="s">
        <v>1814</v>
      </c>
      <c r="J19">
        <v>13</v>
      </c>
      <c r="K19" t="s">
        <v>1833</v>
      </c>
      <c r="L19" t="s">
        <v>1813</v>
      </c>
      <c r="M19">
        <v>18</v>
      </c>
      <c r="N19" t="s">
        <v>2157</v>
      </c>
      <c r="O19" t="s">
        <v>1814</v>
      </c>
      <c r="P19">
        <v>20</v>
      </c>
      <c r="Z19">
        <v>312</v>
      </c>
      <c r="AA19" t="s">
        <v>1808</v>
      </c>
      <c r="AB19" t="s">
        <v>108</v>
      </c>
      <c r="AC19" t="s">
        <v>24</v>
      </c>
      <c r="AD19">
        <v>35</v>
      </c>
      <c r="AF19" s="127">
        <v>30444</v>
      </c>
      <c r="AG19">
        <v>312</v>
      </c>
      <c r="AI19">
        <v>18</v>
      </c>
      <c r="AJ19">
        <v>11</v>
      </c>
    </row>
    <row r="20" spans="1:36" x14ac:dyDescent="0.25">
      <c r="A20" t="s">
        <v>63</v>
      </c>
      <c r="B20">
        <v>5</v>
      </c>
      <c r="C20">
        <v>4</v>
      </c>
      <c r="D20">
        <v>109</v>
      </c>
      <c r="E20" t="s">
        <v>1767</v>
      </c>
      <c r="F20" t="s">
        <v>1813</v>
      </c>
      <c r="G20">
        <v>14</v>
      </c>
      <c r="H20" t="s">
        <v>2338</v>
      </c>
      <c r="I20" t="s">
        <v>1813</v>
      </c>
      <c r="J20">
        <v>17</v>
      </c>
      <c r="K20" t="s">
        <v>1335</v>
      </c>
      <c r="L20" t="s">
        <v>1814</v>
      </c>
      <c r="M20">
        <v>21</v>
      </c>
      <c r="N20" t="s">
        <v>2356</v>
      </c>
      <c r="O20" t="s">
        <v>1814</v>
      </c>
      <c r="P20">
        <v>57</v>
      </c>
      <c r="Z20">
        <v>352</v>
      </c>
      <c r="AA20" t="s">
        <v>1533</v>
      </c>
      <c r="AB20" t="s">
        <v>14</v>
      </c>
      <c r="AC20" t="s">
        <v>24</v>
      </c>
      <c r="AD20">
        <v>37</v>
      </c>
      <c r="AF20" s="127">
        <v>29554</v>
      </c>
      <c r="AG20">
        <v>352</v>
      </c>
      <c r="AI20">
        <v>18</v>
      </c>
      <c r="AJ20">
        <v>13</v>
      </c>
    </row>
    <row r="21" spans="1:36" x14ac:dyDescent="0.25">
      <c r="A21" t="s">
        <v>1805</v>
      </c>
      <c r="B21">
        <v>6</v>
      </c>
      <c r="C21">
        <v>4</v>
      </c>
      <c r="D21">
        <v>187</v>
      </c>
      <c r="E21" t="s">
        <v>2216</v>
      </c>
      <c r="F21" t="s">
        <v>1813</v>
      </c>
      <c r="G21">
        <v>22</v>
      </c>
      <c r="H21" t="s">
        <v>2222</v>
      </c>
      <c r="I21" t="s">
        <v>1813</v>
      </c>
      <c r="J21">
        <v>38</v>
      </c>
      <c r="K21" t="s">
        <v>2218</v>
      </c>
      <c r="L21" t="s">
        <v>1814</v>
      </c>
      <c r="M21">
        <v>41</v>
      </c>
      <c r="N21" t="s">
        <v>2236</v>
      </c>
      <c r="O21" t="s">
        <v>1814</v>
      </c>
      <c r="P21">
        <v>86</v>
      </c>
      <c r="Z21">
        <v>78</v>
      </c>
      <c r="AA21" t="s">
        <v>2317</v>
      </c>
      <c r="AB21" t="s">
        <v>14</v>
      </c>
      <c r="AC21" t="s">
        <v>24</v>
      </c>
      <c r="AD21">
        <v>29</v>
      </c>
      <c r="AF21" s="127">
        <v>32650</v>
      </c>
      <c r="AG21">
        <v>78</v>
      </c>
      <c r="AI21">
        <v>18</v>
      </c>
      <c r="AJ21">
        <v>23</v>
      </c>
    </row>
    <row r="22" spans="1:36" x14ac:dyDescent="0.25">
      <c r="A22" t="s">
        <v>155</v>
      </c>
      <c r="B22">
        <v>7</v>
      </c>
      <c r="C22">
        <v>4</v>
      </c>
      <c r="D22">
        <v>249</v>
      </c>
      <c r="E22" t="s">
        <v>1511</v>
      </c>
      <c r="F22" t="s">
        <v>1814</v>
      </c>
      <c r="G22">
        <v>40</v>
      </c>
      <c r="H22" t="s">
        <v>281</v>
      </c>
      <c r="I22" t="s">
        <v>1814</v>
      </c>
      <c r="J22">
        <v>54</v>
      </c>
      <c r="K22" t="s">
        <v>2274</v>
      </c>
      <c r="L22" t="s">
        <v>1814</v>
      </c>
      <c r="M22">
        <v>72</v>
      </c>
      <c r="N22" t="s">
        <v>280</v>
      </c>
      <c r="O22" t="s">
        <v>1814</v>
      </c>
      <c r="P22">
        <v>83</v>
      </c>
      <c r="Z22">
        <v>440</v>
      </c>
      <c r="AA22" t="s">
        <v>322</v>
      </c>
      <c r="AB22" t="s">
        <v>12</v>
      </c>
      <c r="AC22" t="s">
        <v>24</v>
      </c>
      <c r="AD22">
        <v>41</v>
      </c>
      <c r="AF22" s="127">
        <v>28017</v>
      </c>
      <c r="AG22">
        <v>440</v>
      </c>
      <c r="AI22">
        <v>18</v>
      </c>
      <c r="AJ22">
        <v>26</v>
      </c>
    </row>
    <row r="23" spans="1:36" x14ac:dyDescent="0.25">
      <c r="A23" t="s">
        <v>38</v>
      </c>
      <c r="B23">
        <v>8</v>
      </c>
      <c r="C23">
        <v>4</v>
      </c>
      <c r="D23">
        <v>321</v>
      </c>
      <c r="E23" t="s">
        <v>2223</v>
      </c>
      <c r="F23" t="s">
        <v>1814</v>
      </c>
      <c r="G23">
        <v>53</v>
      </c>
      <c r="H23" t="s">
        <v>2225</v>
      </c>
      <c r="I23" t="s">
        <v>1814</v>
      </c>
      <c r="J23">
        <v>58</v>
      </c>
      <c r="K23" t="s">
        <v>2279</v>
      </c>
      <c r="L23" t="s">
        <v>1814</v>
      </c>
      <c r="M23">
        <v>97</v>
      </c>
      <c r="N23" t="s">
        <v>1742</v>
      </c>
      <c r="O23" t="s">
        <v>1814</v>
      </c>
      <c r="P23">
        <v>113</v>
      </c>
      <c r="Z23">
        <v>363</v>
      </c>
      <c r="AA23" t="s">
        <v>2286</v>
      </c>
      <c r="AB23" t="s">
        <v>12</v>
      </c>
      <c r="AC23" t="s">
        <v>24</v>
      </c>
      <c r="AD23">
        <v>42</v>
      </c>
      <c r="AF23" s="127">
        <v>27732</v>
      </c>
      <c r="AG23">
        <v>363</v>
      </c>
      <c r="AI23">
        <v>18</v>
      </c>
      <c r="AJ23">
        <v>30</v>
      </c>
    </row>
    <row r="24" spans="1:36" x14ac:dyDescent="0.25">
      <c r="A24" t="s">
        <v>43</v>
      </c>
      <c r="B24">
        <v>9</v>
      </c>
      <c r="C24">
        <v>4</v>
      </c>
      <c r="D24">
        <v>412</v>
      </c>
      <c r="E24" t="s">
        <v>193</v>
      </c>
      <c r="F24" t="s">
        <v>1814</v>
      </c>
      <c r="G24">
        <v>34</v>
      </c>
      <c r="H24" t="s">
        <v>380</v>
      </c>
      <c r="I24" t="s">
        <v>1814</v>
      </c>
      <c r="J24">
        <v>91</v>
      </c>
      <c r="K24" t="s">
        <v>578</v>
      </c>
      <c r="L24" t="s">
        <v>1814</v>
      </c>
      <c r="M24">
        <v>139</v>
      </c>
      <c r="N24" t="s">
        <v>1761</v>
      </c>
      <c r="O24" t="s">
        <v>1814</v>
      </c>
      <c r="P24">
        <v>148</v>
      </c>
      <c r="Z24">
        <v>426</v>
      </c>
      <c r="AA24" t="s">
        <v>2151</v>
      </c>
      <c r="AB24" t="s">
        <v>63</v>
      </c>
      <c r="AC24" t="s">
        <v>24</v>
      </c>
      <c r="AD24">
        <v>26</v>
      </c>
      <c r="AF24" s="127">
        <v>33444</v>
      </c>
      <c r="AG24">
        <v>426</v>
      </c>
      <c r="AI24">
        <v>18</v>
      </c>
      <c r="AJ24">
        <v>32</v>
      </c>
    </row>
    <row r="25" spans="1:36" x14ac:dyDescent="0.25">
      <c r="Z25">
        <v>184</v>
      </c>
      <c r="AA25" t="s">
        <v>2318</v>
      </c>
      <c r="AB25" t="s">
        <v>12</v>
      </c>
      <c r="AC25" t="s">
        <v>24</v>
      </c>
      <c r="AD25">
        <v>38</v>
      </c>
      <c r="AF25" s="127">
        <v>29131</v>
      </c>
      <c r="AG25">
        <v>184</v>
      </c>
      <c r="AI25">
        <v>18</v>
      </c>
      <c r="AJ25">
        <v>37</v>
      </c>
    </row>
    <row r="26" spans="1:36" x14ac:dyDescent="0.25">
      <c r="Z26">
        <v>19</v>
      </c>
      <c r="AA26" t="s">
        <v>1921</v>
      </c>
      <c r="AB26" t="s">
        <v>154</v>
      </c>
      <c r="AC26" t="s">
        <v>24</v>
      </c>
      <c r="AD26">
        <v>36</v>
      </c>
      <c r="AF26" s="127">
        <v>29841</v>
      </c>
      <c r="AG26">
        <v>19</v>
      </c>
      <c r="AI26">
        <v>18</v>
      </c>
      <c r="AJ26">
        <v>37</v>
      </c>
    </row>
    <row r="27" spans="1:36" x14ac:dyDescent="0.25">
      <c r="Z27">
        <v>239</v>
      </c>
      <c r="AA27" t="s">
        <v>1361</v>
      </c>
      <c r="AB27" t="s">
        <v>63</v>
      </c>
      <c r="AC27" t="s">
        <v>24</v>
      </c>
      <c r="AD27">
        <v>45</v>
      </c>
      <c r="AF27" s="127">
        <v>26591</v>
      </c>
      <c r="AG27">
        <v>239</v>
      </c>
      <c r="AI27">
        <v>18</v>
      </c>
      <c r="AJ27">
        <v>41</v>
      </c>
    </row>
    <row r="28" spans="1:36" x14ac:dyDescent="0.25">
      <c r="Z28">
        <v>203</v>
      </c>
      <c r="AA28" t="s">
        <v>2319</v>
      </c>
      <c r="AB28" t="s">
        <v>154</v>
      </c>
      <c r="AC28" t="s">
        <v>24</v>
      </c>
      <c r="AD28">
        <v>34</v>
      </c>
      <c r="AF28" s="127">
        <v>30789</v>
      </c>
      <c r="AG28">
        <v>203</v>
      </c>
      <c r="AI28">
        <v>18</v>
      </c>
      <c r="AJ28">
        <v>42</v>
      </c>
    </row>
    <row r="29" spans="1:36" x14ac:dyDescent="0.25">
      <c r="Z29">
        <v>296</v>
      </c>
      <c r="AA29" t="s">
        <v>272</v>
      </c>
      <c r="AB29" t="s">
        <v>12</v>
      </c>
      <c r="AC29" t="s">
        <v>24</v>
      </c>
      <c r="AD29">
        <v>34</v>
      </c>
      <c r="AF29" s="127">
        <v>30601</v>
      </c>
      <c r="AG29">
        <v>296</v>
      </c>
      <c r="AI29">
        <v>18</v>
      </c>
      <c r="AJ29">
        <v>45</v>
      </c>
    </row>
    <row r="30" spans="1:36" x14ac:dyDescent="0.25">
      <c r="Z30">
        <v>263</v>
      </c>
      <c r="AA30" t="s">
        <v>2320</v>
      </c>
      <c r="AB30" t="s">
        <v>63</v>
      </c>
      <c r="AC30" t="s">
        <v>24</v>
      </c>
      <c r="AD30">
        <v>33</v>
      </c>
      <c r="AF30" s="127">
        <v>31157</v>
      </c>
      <c r="AG30">
        <v>263</v>
      </c>
      <c r="AI30">
        <v>18</v>
      </c>
      <c r="AJ30">
        <v>49</v>
      </c>
    </row>
    <row r="31" spans="1:36" x14ac:dyDescent="0.25">
      <c r="Z31">
        <v>225</v>
      </c>
      <c r="AA31" t="s">
        <v>1822</v>
      </c>
      <c r="AB31" t="s">
        <v>1805</v>
      </c>
      <c r="AC31" t="s">
        <v>24</v>
      </c>
      <c r="AD31">
        <v>30</v>
      </c>
      <c r="AF31" s="127">
        <v>32188</v>
      </c>
      <c r="AG31">
        <v>225</v>
      </c>
      <c r="AI31">
        <v>18</v>
      </c>
      <c r="AJ31">
        <v>53</v>
      </c>
    </row>
    <row r="32" spans="1:36" x14ac:dyDescent="0.25">
      <c r="Z32">
        <v>392</v>
      </c>
      <c r="AA32" t="s">
        <v>282</v>
      </c>
      <c r="AB32" t="s">
        <v>155</v>
      </c>
      <c r="AC32" t="s">
        <v>24</v>
      </c>
      <c r="AD32">
        <v>38</v>
      </c>
      <c r="AF32" s="127">
        <v>29289</v>
      </c>
      <c r="AG32">
        <v>392</v>
      </c>
      <c r="AI32">
        <v>18</v>
      </c>
      <c r="AJ32">
        <v>55</v>
      </c>
    </row>
    <row r="33" spans="26:36" x14ac:dyDescent="0.25">
      <c r="Z33">
        <v>11</v>
      </c>
      <c r="AA33" t="s">
        <v>901</v>
      </c>
      <c r="AB33" t="s">
        <v>12</v>
      </c>
      <c r="AC33" t="s">
        <v>23</v>
      </c>
      <c r="AD33">
        <v>27</v>
      </c>
      <c r="AF33" s="127">
        <v>33311</v>
      </c>
      <c r="AG33">
        <v>11</v>
      </c>
      <c r="AI33">
        <v>18</v>
      </c>
      <c r="AJ33">
        <v>59</v>
      </c>
    </row>
    <row r="34" spans="26:36" x14ac:dyDescent="0.25">
      <c r="Z34">
        <v>231</v>
      </c>
      <c r="AA34" t="s">
        <v>1745</v>
      </c>
      <c r="AB34" t="s">
        <v>12</v>
      </c>
      <c r="AC34" t="s">
        <v>24</v>
      </c>
      <c r="AD34">
        <v>36</v>
      </c>
      <c r="AF34" s="127">
        <v>29910</v>
      </c>
      <c r="AG34">
        <v>231</v>
      </c>
      <c r="AI34">
        <v>19</v>
      </c>
      <c r="AJ34">
        <v>1</v>
      </c>
    </row>
    <row r="35" spans="26:36" x14ac:dyDescent="0.25">
      <c r="Z35">
        <v>270</v>
      </c>
      <c r="AA35" t="s">
        <v>2309</v>
      </c>
      <c r="AB35" t="s">
        <v>12</v>
      </c>
      <c r="AC35" t="s">
        <v>24</v>
      </c>
      <c r="AD35">
        <v>43</v>
      </c>
      <c r="AF35" s="127">
        <v>27550</v>
      </c>
      <c r="AG35">
        <v>270</v>
      </c>
      <c r="AI35">
        <v>19</v>
      </c>
      <c r="AJ35">
        <v>2</v>
      </c>
    </row>
    <row r="36" spans="26:36" x14ac:dyDescent="0.25">
      <c r="Z36">
        <v>311</v>
      </c>
      <c r="AA36" t="s">
        <v>1720</v>
      </c>
      <c r="AB36" t="s">
        <v>154</v>
      </c>
      <c r="AC36" t="s">
        <v>24</v>
      </c>
      <c r="AD36">
        <v>35</v>
      </c>
      <c r="AF36" s="127">
        <v>30335</v>
      </c>
      <c r="AG36">
        <v>311</v>
      </c>
      <c r="AI36">
        <v>19</v>
      </c>
      <c r="AJ36">
        <v>14</v>
      </c>
    </row>
    <row r="37" spans="26:36" x14ac:dyDescent="0.25">
      <c r="Z37">
        <v>281</v>
      </c>
      <c r="AA37" t="s">
        <v>1785</v>
      </c>
      <c r="AB37" t="s">
        <v>12</v>
      </c>
      <c r="AC37" t="s">
        <v>24</v>
      </c>
      <c r="AD37">
        <v>27</v>
      </c>
      <c r="AF37" s="127">
        <v>33306</v>
      </c>
      <c r="AG37">
        <v>281</v>
      </c>
      <c r="AI37">
        <v>19</v>
      </c>
      <c r="AJ37">
        <v>24</v>
      </c>
    </row>
    <row r="38" spans="26:36" x14ac:dyDescent="0.25">
      <c r="Z38">
        <v>191</v>
      </c>
      <c r="AA38" t="s">
        <v>2196</v>
      </c>
      <c r="AB38" t="s">
        <v>108</v>
      </c>
      <c r="AC38" t="s">
        <v>24</v>
      </c>
      <c r="AD38">
        <v>44</v>
      </c>
      <c r="AF38" s="127">
        <v>26976</v>
      </c>
      <c r="AG38">
        <v>191</v>
      </c>
      <c r="AI38">
        <v>19</v>
      </c>
      <c r="AJ38">
        <v>26</v>
      </c>
    </row>
    <row r="39" spans="26:36" x14ac:dyDescent="0.25">
      <c r="Z39">
        <v>247</v>
      </c>
      <c r="AA39" t="s">
        <v>1122</v>
      </c>
      <c r="AB39" t="s">
        <v>43</v>
      </c>
      <c r="AC39" t="s">
        <v>24</v>
      </c>
      <c r="AD39">
        <v>46</v>
      </c>
      <c r="AF39" s="127">
        <v>26288</v>
      </c>
      <c r="AG39">
        <v>247</v>
      </c>
      <c r="AI39">
        <v>19</v>
      </c>
      <c r="AJ39">
        <v>28</v>
      </c>
    </row>
    <row r="40" spans="26:36" x14ac:dyDescent="0.25">
      <c r="Z40">
        <v>89</v>
      </c>
      <c r="AA40" t="s">
        <v>2028</v>
      </c>
      <c r="AB40" t="s">
        <v>1805</v>
      </c>
      <c r="AC40" t="s">
        <v>24</v>
      </c>
      <c r="AD40">
        <v>29</v>
      </c>
      <c r="AF40" s="127">
        <v>32449</v>
      </c>
      <c r="AG40">
        <v>89</v>
      </c>
      <c r="AI40">
        <v>19</v>
      </c>
      <c r="AJ40">
        <v>31</v>
      </c>
    </row>
    <row r="41" spans="26:36" x14ac:dyDescent="0.25">
      <c r="Z41">
        <v>339</v>
      </c>
      <c r="AA41" t="s">
        <v>1337</v>
      </c>
      <c r="AB41" t="s">
        <v>12</v>
      </c>
      <c r="AC41" t="s">
        <v>24</v>
      </c>
      <c r="AD41">
        <v>42</v>
      </c>
      <c r="AF41" s="127">
        <v>27741</v>
      </c>
      <c r="AG41">
        <v>339</v>
      </c>
      <c r="AI41">
        <v>19</v>
      </c>
      <c r="AJ41">
        <v>32</v>
      </c>
    </row>
    <row r="42" spans="26:36" x14ac:dyDescent="0.25">
      <c r="Z42">
        <v>423</v>
      </c>
      <c r="AA42" t="s">
        <v>1789</v>
      </c>
      <c r="AB42" t="s">
        <v>505</v>
      </c>
      <c r="AC42" t="s">
        <v>24</v>
      </c>
      <c r="AD42">
        <v>46</v>
      </c>
      <c r="AF42" s="127">
        <v>26204</v>
      </c>
      <c r="AG42">
        <v>423</v>
      </c>
      <c r="AI42">
        <v>19</v>
      </c>
      <c r="AJ42">
        <v>36</v>
      </c>
    </row>
    <row r="43" spans="26:36" x14ac:dyDescent="0.25">
      <c r="Z43">
        <v>244</v>
      </c>
      <c r="AA43" t="s">
        <v>176</v>
      </c>
      <c r="AB43" t="s">
        <v>12</v>
      </c>
      <c r="AC43" t="s">
        <v>24</v>
      </c>
      <c r="AD43">
        <v>27</v>
      </c>
      <c r="AF43" s="127">
        <v>33276</v>
      </c>
      <c r="AG43">
        <v>244</v>
      </c>
      <c r="AI43">
        <v>19</v>
      </c>
      <c r="AJ43">
        <v>41</v>
      </c>
    </row>
    <row r="44" spans="26:36" x14ac:dyDescent="0.25">
      <c r="Z44">
        <v>250</v>
      </c>
      <c r="AA44" t="s">
        <v>2321</v>
      </c>
      <c r="AB44" t="s">
        <v>2407</v>
      </c>
      <c r="AC44" t="s">
        <v>24</v>
      </c>
      <c r="AD44">
        <v>27</v>
      </c>
      <c r="AF44" s="127">
        <v>33300</v>
      </c>
      <c r="AG44">
        <v>250</v>
      </c>
      <c r="AI44">
        <v>19</v>
      </c>
      <c r="AJ44">
        <v>44</v>
      </c>
    </row>
    <row r="45" spans="26:36" x14ac:dyDescent="0.25">
      <c r="Z45">
        <v>212</v>
      </c>
      <c r="AA45" t="s">
        <v>2197</v>
      </c>
      <c r="AB45" t="s">
        <v>1805</v>
      </c>
      <c r="AC45" t="s">
        <v>24</v>
      </c>
      <c r="AD45">
        <v>31</v>
      </c>
      <c r="AF45" s="127">
        <v>31708</v>
      </c>
      <c r="AG45">
        <v>212</v>
      </c>
      <c r="AI45">
        <v>19</v>
      </c>
      <c r="AJ45">
        <v>49</v>
      </c>
    </row>
    <row r="46" spans="26:36" x14ac:dyDescent="0.25">
      <c r="Z46">
        <v>381</v>
      </c>
      <c r="AA46" t="s">
        <v>301</v>
      </c>
      <c r="AB46" t="s">
        <v>154</v>
      </c>
      <c r="AC46" t="s">
        <v>24</v>
      </c>
      <c r="AD46">
        <v>50</v>
      </c>
      <c r="AF46" s="127">
        <v>24979</v>
      </c>
      <c r="AG46">
        <v>381</v>
      </c>
      <c r="AI46">
        <v>19</v>
      </c>
      <c r="AJ46">
        <v>50</v>
      </c>
    </row>
    <row r="47" spans="26:36" x14ac:dyDescent="0.25">
      <c r="Z47">
        <v>135</v>
      </c>
      <c r="AA47" t="s">
        <v>1956</v>
      </c>
      <c r="AB47" t="s">
        <v>154</v>
      </c>
      <c r="AC47" t="s">
        <v>23</v>
      </c>
      <c r="AD47">
        <v>40</v>
      </c>
      <c r="AF47" s="127">
        <v>28301</v>
      </c>
      <c r="AG47">
        <v>135</v>
      </c>
      <c r="AI47">
        <v>19</v>
      </c>
      <c r="AJ47">
        <v>51</v>
      </c>
    </row>
    <row r="48" spans="26:36" x14ac:dyDescent="0.25">
      <c r="Z48">
        <v>372</v>
      </c>
      <c r="AA48" t="s">
        <v>2322</v>
      </c>
      <c r="AB48" t="s">
        <v>38</v>
      </c>
      <c r="AC48" t="s">
        <v>24</v>
      </c>
      <c r="AD48">
        <v>35</v>
      </c>
      <c r="AF48" s="127">
        <v>30136</v>
      </c>
      <c r="AG48">
        <v>372</v>
      </c>
      <c r="AI48">
        <v>19</v>
      </c>
      <c r="AJ48">
        <v>53</v>
      </c>
    </row>
    <row r="49" spans="26:36" x14ac:dyDescent="0.25">
      <c r="Z49">
        <v>82</v>
      </c>
      <c r="AA49" t="s">
        <v>2204</v>
      </c>
      <c r="AB49" t="s">
        <v>12</v>
      </c>
      <c r="AC49" t="s">
        <v>24</v>
      </c>
      <c r="AD49">
        <v>34</v>
      </c>
      <c r="AF49" s="127">
        <v>30543</v>
      </c>
      <c r="AG49">
        <v>82</v>
      </c>
      <c r="AI49">
        <v>19</v>
      </c>
      <c r="AJ49">
        <v>58</v>
      </c>
    </row>
    <row r="50" spans="26:36" x14ac:dyDescent="0.25">
      <c r="Z50">
        <v>4</v>
      </c>
      <c r="AA50" t="s">
        <v>337</v>
      </c>
      <c r="AB50" t="s">
        <v>108</v>
      </c>
      <c r="AC50" t="s">
        <v>24</v>
      </c>
      <c r="AD50">
        <v>50</v>
      </c>
      <c r="AF50" s="127">
        <v>24774</v>
      </c>
      <c r="AG50">
        <v>4</v>
      </c>
      <c r="AI50">
        <v>20</v>
      </c>
      <c r="AJ50">
        <v>0</v>
      </c>
    </row>
    <row r="51" spans="26:36" x14ac:dyDescent="0.25">
      <c r="Z51">
        <v>204</v>
      </c>
      <c r="AA51" t="s">
        <v>2201</v>
      </c>
      <c r="AB51" t="s">
        <v>12</v>
      </c>
      <c r="AC51" t="s">
        <v>24</v>
      </c>
      <c r="AD51">
        <v>28</v>
      </c>
      <c r="AF51" s="127">
        <v>32870</v>
      </c>
      <c r="AG51">
        <v>204</v>
      </c>
      <c r="AI51">
        <v>20</v>
      </c>
      <c r="AJ51">
        <v>2</v>
      </c>
    </row>
    <row r="52" spans="26:36" x14ac:dyDescent="0.25">
      <c r="Z52">
        <v>419</v>
      </c>
      <c r="AA52" t="s">
        <v>2323</v>
      </c>
      <c r="AB52" t="s">
        <v>155</v>
      </c>
      <c r="AC52" t="s">
        <v>24</v>
      </c>
      <c r="AD52">
        <v>39</v>
      </c>
      <c r="AF52" s="127">
        <v>29008</v>
      </c>
      <c r="AG52">
        <v>419</v>
      </c>
      <c r="AI52">
        <v>20</v>
      </c>
      <c r="AJ52">
        <v>2</v>
      </c>
    </row>
    <row r="53" spans="26:36" x14ac:dyDescent="0.25">
      <c r="Z53">
        <v>188</v>
      </c>
      <c r="AA53" t="s">
        <v>2276</v>
      </c>
      <c r="AB53" t="s">
        <v>38</v>
      </c>
      <c r="AC53" t="s">
        <v>24</v>
      </c>
      <c r="AD53">
        <v>38</v>
      </c>
      <c r="AF53" s="127">
        <v>29192</v>
      </c>
      <c r="AG53">
        <v>188</v>
      </c>
      <c r="AI53">
        <v>20</v>
      </c>
      <c r="AJ53">
        <v>3</v>
      </c>
    </row>
    <row r="54" spans="26:36" x14ac:dyDescent="0.25">
      <c r="Z54">
        <v>103</v>
      </c>
      <c r="AA54" t="s">
        <v>2324</v>
      </c>
      <c r="AB54" t="s">
        <v>108</v>
      </c>
      <c r="AC54" t="s">
        <v>24</v>
      </c>
      <c r="AD54">
        <v>25</v>
      </c>
      <c r="AF54" s="127">
        <v>34141</v>
      </c>
      <c r="AG54">
        <v>103</v>
      </c>
      <c r="AI54">
        <v>20</v>
      </c>
      <c r="AJ54">
        <v>4</v>
      </c>
    </row>
    <row r="55" spans="26:36" x14ac:dyDescent="0.25">
      <c r="Z55">
        <v>437</v>
      </c>
      <c r="AA55" t="s">
        <v>2325</v>
      </c>
      <c r="AB55" t="s">
        <v>154</v>
      </c>
      <c r="AC55" t="s">
        <v>24</v>
      </c>
      <c r="AD55">
        <v>18</v>
      </c>
      <c r="AF55" s="127">
        <v>36358</v>
      </c>
      <c r="AG55">
        <v>437</v>
      </c>
      <c r="AI55">
        <v>20</v>
      </c>
      <c r="AJ55">
        <v>8</v>
      </c>
    </row>
    <row r="56" spans="26:36" x14ac:dyDescent="0.25">
      <c r="Z56">
        <v>145</v>
      </c>
      <c r="AA56" t="s">
        <v>1352</v>
      </c>
      <c r="AB56" t="s">
        <v>12</v>
      </c>
      <c r="AC56" t="s">
        <v>24</v>
      </c>
      <c r="AD56">
        <v>41</v>
      </c>
      <c r="AF56" s="127">
        <v>28000</v>
      </c>
      <c r="AG56">
        <v>145</v>
      </c>
      <c r="AI56">
        <v>20</v>
      </c>
      <c r="AJ56">
        <v>12</v>
      </c>
    </row>
    <row r="57" spans="26:36" x14ac:dyDescent="0.25">
      <c r="Z57">
        <v>165</v>
      </c>
      <c r="AA57" t="s">
        <v>1522</v>
      </c>
      <c r="AB57" t="s">
        <v>14</v>
      </c>
      <c r="AC57" t="s">
        <v>24</v>
      </c>
      <c r="AD57">
        <v>49</v>
      </c>
      <c r="AF57" s="127">
        <v>25283</v>
      </c>
      <c r="AG57">
        <v>165</v>
      </c>
      <c r="AI57">
        <v>20</v>
      </c>
      <c r="AJ57">
        <v>17</v>
      </c>
    </row>
    <row r="58" spans="26:36" x14ac:dyDescent="0.25">
      <c r="Z58">
        <v>2</v>
      </c>
      <c r="AA58" t="s">
        <v>955</v>
      </c>
      <c r="AB58" t="s">
        <v>63</v>
      </c>
      <c r="AC58" t="s">
        <v>24</v>
      </c>
      <c r="AD58">
        <v>52</v>
      </c>
      <c r="AF58" s="127">
        <v>24208</v>
      </c>
      <c r="AG58">
        <v>2</v>
      </c>
      <c r="AI58">
        <v>20</v>
      </c>
      <c r="AJ58">
        <v>20</v>
      </c>
    </row>
    <row r="59" spans="26:36" x14ac:dyDescent="0.25">
      <c r="Z59">
        <v>243</v>
      </c>
      <c r="AA59" t="s">
        <v>2206</v>
      </c>
      <c r="AB59" t="s">
        <v>12</v>
      </c>
      <c r="AC59" t="s">
        <v>24</v>
      </c>
      <c r="AD59">
        <v>41</v>
      </c>
      <c r="AF59" s="127">
        <v>28194</v>
      </c>
      <c r="AG59">
        <v>243</v>
      </c>
      <c r="AI59">
        <v>20</v>
      </c>
      <c r="AJ59">
        <v>22</v>
      </c>
    </row>
    <row r="60" spans="26:36" x14ac:dyDescent="0.25">
      <c r="Z60">
        <v>445</v>
      </c>
      <c r="AA60" t="s">
        <v>2326</v>
      </c>
      <c r="AB60" t="s">
        <v>14</v>
      </c>
      <c r="AC60" t="s">
        <v>23</v>
      </c>
      <c r="AD60">
        <v>34</v>
      </c>
      <c r="AF60" s="127">
        <v>30777</v>
      </c>
      <c r="AG60">
        <v>445</v>
      </c>
      <c r="AI60">
        <v>20</v>
      </c>
      <c r="AJ60">
        <v>23</v>
      </c>
    </row>
    <row r="61" spans="26:36" x14ac:dyDescent="0.25">
      <c r="Z61">
        <v>139</v>
      </c>
      <c r="AA61" t="s">
        <v>2124</v>
      </c>
      <c r="AB61" t="s">
        <v>12</v>
      </c>
      <c r="AC61" t="s">
        <v>23</v>
      </c>
      <c r="AD61">
        <v>40</v>
      </c>
      <c r="AF61" s="127">
        <v>28378</v>
      </c>
      <c r="AG61">
        <v>139</v>
      </c>
      <c r="AI61">
        <v>20</v>
      </c>
      <c r="AJ61">
        <v>38</v>
      </c>
    </row>
    <row r="62" spans="26:36" x14ac:dyDescent="0.25">
      <c r="Z62">
        <v>187</v>
      </c>
      <c r="AA62" t="s">
        <v>1883</v>
      </c>
      <c r="AB62" t="s">
        <v>154</v>
      </c>
      <c r="AC62" t="s">
        <v>23</v>
      </c>
      <c r="AD62">
        <v>39</v>
      </c>
      <c r="AF62" s="127">
        <v>28926</v>
      </c>
      <c r="AG62">
        <v>187</v>
      </c>
      <c r="AI62">
        <v>20</v>
      </c>
      <c r="AJ62">
        <v>41</v>
      </c>
    </row>
    <row r="63" spans="26:36" x14ac:dyDescent="0.25">
      <c r="Z63">
        <v>38</v>
      </c>
      <c r="AA63" t="s">
        <v>999</v>
      </c>
      <c r="AB63" t="s">
        <v>12</v>
      </c>
      <c r="AC63" t="s">
        <v>24</v>
      </c>
      <c r="AD63">
        <v>63</v>
      </c>
      <c r="AF63" s="127">
        <v>20228</v>
      </c>
      <c r="AG63">
        <v>38</v>
      </c>
      <c r="AI63">
        <v>20</v>
      </c>
      <c r="AJ63">
        <v>42</v>
      </c>
    </row>
    <row r="64" spans="26:36" x14ac:dyDescent="0.25">
      <c r="Z64">
        <v>401</v>
      </c>
      <c r="AA64" t="s">
        <v>180</v>
      </c>
      <c r="AB64" t="s">
        <v>12</v>
      </c>
      <c r="AC64" t="s">
        <v>24</v>
      </c>
      <c r="AD64">
        <v>49</v>
      </c>
      <c r="AF64" s="127">
        <v>25069</v>
      </c>
      <c r="AG64">
        <v>401</v>
      </c>
      <c r="AI64">
        <v>20</v>
      </c>
      <c r="AJ64">
        <v>42</v>
      </c>
    </row>
    <row r="65" spans="26:36" x14ac:dyDescent="0.25">
      <c r="Z65">
        <v>433</v>
      </c>
      <c r="AA65" t="s">
        <v>1323</v>
      </c>
      <c r="AB65" t="s">
        <v>12</v>
      </c>
      <c r="AC65" t="s">
        <v>23</v>
      </c>
      <c r="AD65">
        <v>29</v>
      </c>
      <c r="AF65" s="127">
        <v>32661</v>
      </c>
      <c r="AG65">
        <v>433</v>
      </c>
      <c r="AI65">
        <v>20</v>
      </c>
      <c r="AJ65">
        <v>42</v>
      </c>
    </row>
    <row r="66" spans="26:36" x14ac:dyDescent="0.25">
      <c r="Z66">
        <v>164</v>
      </c>
      <c r="AA66" t="s">
        <v>2207</v>
      </c>
      <c r="AB66" t="s">
        <v>1805</v>
      </c>
      <c r="AC66" t="s">
        <v>24</v>
      </c>
      <c r="AD66">
        <v>29</v>
      </c>
      <c r="AF66" s="127">
        <v>32469</v>
      </c>
      <c r="AG66">
        <v>164</v>
      </c>
      <c r="AI66">
        <v>20</v>
      </c>
      <c r="AJ66">
        <v>42</v>
      </c>
    </row>
    <row r="67" spans="26:36" x14ac:dyDescent="0.25">
      <c r="Z67">
        <v>136</v>
      </c>
      <c r="AA67" t="s">
        <v>2202</v>
      </c>
      <c r="AB67" t="s">
        <v>38</v>
      </c>
      <c r="AC67" t="s">
        <v>24</v>
      </c>
      <c r="AD67">
        <v>54</v>
      </c>
      <c r="AF67" s="127">
        <v>23321</v>
      </c>
      <c r="AG67">
        <v>136</v>
      </c>
      <c r="AI67">
        <v>20</v>
      </c>
      <c r="AJ67">
        <v>43</v>
      </c>
    </row>
    <row r="68" spans="26:36" x14ac:dyDescent="0.25">
      <c r="Z68">
        <v>153</v>
      </c>
      <c r="AA68" t="s">
        <v>2327</v>
      </c>
      <c r="AB68" t="s">
        <v>505</v>
      </c>
      <c r="AC68" t="s">
        <v>24</v>
      </c>
      <c r="AD68">
        <v>32</v>
      </c>
      <c r="AF68" s="127">
        <v>31406</v>
      </c>
      <c r="AG68">
        <v>153</v>
      </c>
      <c r="AI68">
        <v>20</v>
      </c>
      <c r="AJ68">
        <v>44</v>
      </c>
    </row>
    <row r="69" spans="26:36" x14ac:dyDescent="0.25">
      <c r="Z69">
        <v>306</v>
      </c>
      <c r="AA69" t="s">
        <v>353</v>
      </c>
      <c r="AB69" t="s">
        <v>43</v>
      </c>
      <c r="AC69" t="s">
        <v>24</v>
      </c>
      <c r="AD69">
        <v>61</v>
      </c>
      <c r="AF69" s="127">
        <v>20941</v>
      </c>
      <c r="AG69">
        <v>306</v>
      </c>
      <c r="AI69">
        <v>20</v>
      </c>
      <c r="AJ69">
        <v>46</v>
      </c>
    </row>
    <row r="70" spans="26:36" x14ac:dyDescent="0.25">
      <c r="Z70">
        <v>34</v>
      </c>
      <c r="AA70" t="s">
        <v>1553</v>
      </c>
      <c r="AB70" t="s">
        <v>14</v>
      </c>
      <c r="AC70" t="s">
        <v>24</v>
      </c>
      <c r="AD70">
        <v>47</v>
      </c>
      <c r="AF70" s="127">
        <v>25829</v>
      </c>
      <c r="AG70">
        <v>34</v>
      </c>
      <c r="AI70">
        <v>20</v>
      </c>
      <c r="AJ70">
        <v>48</v>
      </c>
    </row>
    <row r="71" spans="26:36" x14ac:dyDescent="0.25">
      <c r="Z71">
        <v>226</v>
      </c>
      <c r="AA71" t="s">
        <v>2304</v>
      </c>
      <c r="AB71" t="s">
        <v>63</v>
      </c>
      <c r="AC71" t="s">
        <v>24</v>
      </c>
      <c r="AD71">
        <v>30</v>
      </c>
      <c r="AF71" s="127">
        <v>31965</v>
      </c>
      <c r="AG71">
        <v>226</v>
      </c>
      <c r="AI71">
        <v>20</v>
      </c>
      <c r="AJ71">
        <v>49</v>
      </c>
    </row>
    <row r="72" spans="26:36" x14ac:dyDescent="0.25">
      <c r="Z72">
        <v>365</v>
      </c>
      <c r="AA72" t="s">
        <v>2328</v>
      </c>
      <c r="AB72" t="s">
        <v>12</v>
      </c>
      <c r="AC72" t="s">
        <v>24</v>
      </c>
      <c r="AD72">
        <v>44</v>
      </c>
      <c r="AF72" s="127">
        <v>27065</v>
      </c>
      <c r="AG72">
        <v>365</v>
      </c>
      <c r="AI72">
        <v>20</v>
      </c>
      <c r="AJ72">
        <v>50</v>
      </c>
    </row>
    <row r="73" spans="26:36" x14ac:dyDescent="0.25">
      <c r="Z73">
        <v>30</v>
      </c>
      <c r="AA73" t="s">
        <v>271</v>
      </c>
      <c r="AB73" t="s">
        <v>12</v>
      </c>
      <c r="AC73" t="s">
        <v>23</v>
      </c>
      <c r="AD73">
        <v>44</v>
      </c>
      <c r="AF73" s="127">
        <v>27067</v>
      </c>
      <c r="AG73">
        <v>30</v>
      </c>
      <c r="AI73">
        <v>20</v>
      </c>
      <c r="AJ73">
        <v>54</v>
      </c>
    </row>
    <row r="74" spans="26:36" x14ac:dyDescent="0.25">
      <c r="Z74">
        <v>258</v>
      </c>
      <c r="AA74" t="s">
        <v>928</v>
      </c>
      <c r="AB74" t="s">
        <v>12</v>
      </c>
      <c r="AC74" t="s">
        <v>24</v>
      </c>
      <c r="AD74">
        <v>34</v>
      </c>
      <c r="AF74" s="127">
        <v>30830</v>
      </c>
      <c r="AG74">
        <v>258</v>
      </c>
      <c r="AI74">
        <v>20</v>
      </c>
      <c r="AJ74">
        <v>54</v>
      </c>
    </row>
    <row r="75" spans="26:36" x14ac:dyDescent="0.25">
      <c r="Z75">
        <v>140</v>
      </c>
      <c r="AA75" t="s">
        <v>2205</v>
      </c>
      <c r="AB75" t="s">
        <v>38</v>
      </c>
      <c r="AC75" t="s">
        <v>24</v>
      </c>
      <c r="AD75">
        <v>44</v>
      </c>
      <c r="AF75" s="127">
        <v>27066</v>
      </c>
      <c r="AG75">
        <v>140</v>
      </c>
      <c r="AI75">
        <v>20</v>
      </c>
      <c r="AJ75">
        <v>55</v>
      </c>
    </row>
    <row r="76" spans="26:36" x14ac:dyDescent="0.25">
      <c r="Z76">
        <v>81</v>
      </c>
      <c r="AA76" t="s">
        <v>1450</v>
      </c>
      <c r="AB76" t="s">
        <v>12</v>
      </c>
      <c r="AC76" t="s">
        <v>23</v>
      </c>
      <c r="AD76">
        <v>33</v>
      </c>
      <c r="AF76" s="127">
        <v>30885</v>
      </c>
      <c r="AG76">
        <v>81</v>
      </c>
      <c r="AI76">
        <v>20</v>
      </c>
      <c r="AJ76">
        <v>57</v>
      </c>
    </row>
    <row r="77" spans="26:36" x14ac:dyDescent="0.25">
      <c r="Z77">
        <v>444</v>
      </c>
      <c r="AA77" t="s">
        <v>1119</v>
      </c>
      <c r="AB77" t="s">
        <v>43</v>
      </c>
      <c r="AC77" t="s">
        <v>24</v>
      </c>
      <c r="AD77">
        <v>37</v>
      </c>
      <c r="AF77" s="127">
        <v>29682</v>
      </c>
      <c r="AG77">
        <v>444</v>
      </c>
      <c r="AI77">
        <v>21</v>
      </c>
      <c r="AJ77">
        <v>2</v>
      </c>
    </row>
    <row r="78" spans="26:36" x14ac:dyDescent="0.25">
      <c r="Z78">
        <v>133</v>
      </c>
      <c r="AA78" t="s">
        <v>531</v>
      </c>
      <c r="AB78" t="s">
        <v>12</v>
      </c>
      <c r="AC78" t="s">
        <v>24</v>
      </c>
      <c r="AD78">
        <v>39</v>
      </c>
      <c r="AF78" s="127">
        <v>28956</v>
      </c>
      <c r="AG78">
        <v>133</v>
      </c>
      <c r="AI78">
        <v>21</v>
      </c>
      <c r="AJ78">
        <v>3</v>
      </c>
    </row>
    <row r="79" spans="26:36" x14ac:dyDescent="0.25">
      <c r="Z79">
        <v>257</v>
      </c>
      <c r="AA79" t="s">
        <v>2137</v>
      </c>
      <c r="AB79" t="s">
        <v>505</v>
      </c>
      <c r="AC79" t="s">
        <v>24</v>
      </c>
      <c r="AD79">
        <v>41</v>
      </c>
      <c r="AF79" s="127">
        <v>28054</v>
      </c>
      <c r="AG79">
        <v>257</v>
      </c>
      <c r="AI79">
        <v>21</v>
      </c>
      <c r="AJ79">
        <v>3</v>
      </c>
    </row>
    <row r="80" spans="26:36" x14ac:dyDescent="0.25">
      <c r="Z80">
        <v>5</v>
      </c>
      <c r="AA80" t="s">
        <v>411</v>
      </c>
      <c r="AB80" t="s">
        <v>12</v>
      </c>
      <c r="AC80" t="s">
        <v>24</v>
      </c>
      <c r="AD80">
        <v>32</v>
      </c>
      <c r="AF80" s="127">
        <v>31478</v>
      </c>
      <c r="AG80">
        <v>5</v>
      </c>
      <c r="AI80">
        <v>21</v>
      </c>
      <c r="AJ80">
        <v>4</v>
      </c>
    </row>
    <row r="81" spans="26:36" x14ac:dyDescent="0.25">
      <c r="Z81">
        <v>190</v>
      </c>
      <c r="AA81" t="s">
        <v>1050</v>
      </c>
      <c r="AB81" t="s">
        <v>154</v>
      </c>
      <c r="AC81" t="s">
        <v>24</v>
      </c>
      <c r="AD81">
        <v>49</v>
      </c>
      <c r="AF81" s="127">
        <v>25162</v>
      </c>
      <c r="AG81">
        <v>190</v>
      </c>
      <c r="AI81">
        <v>21</v>
      </c>
      <c r="AJ81">
        <v>5</v>
      </c>
    </row>
    <row r="82" spans="26:36" x14ac:dyDescent="0.25">
      <c r="Z82">
        <v>110</v>
      </c>
      <c r="AA82" t="s">
        <v>584</v>
      </c>
      <c r="AB82" t="s">
        <v>155</v>
      </c>
      <c r="AC82" t="s">
        <v>24</v>
      </c>
      <c r="AD82">
        <v>41</v>
      </c>
      <c r="AF82" s="127">
        <v>28286</v>
      </c>
      <c r="AG82">
        <v>110</v>
      </c>
      <c r="AI82">
        <v>21</v>
      </c>
      <c r="AJ82">
        <v>8</v>
      </c>
    </row>
    <row r="83" spans="26:36" x14ac:dyDescent="0.25">
      <c r="Z83">
        <v>275</v>
      </c>
      <c r="AA83" t="s">
        <v>1152</v>
      </c>
      <c r="AB83" t="s">
        <v>43</v>
      </c>
      <c r="AC83" t="s">
        <v>24</v>
      </c>
      <c r="AD83">
        <v>45</v>
      </c>
      <c r="AF83" s="127">
        <v>26751</v>
      </c>
      <c r="AG83">
        <v>275</v>
      </c>
      <c r="AI83">
        <v>21</v>
      </c>
      <c r="AJ83">
        <v>9</v>
      </c>
    </row>
    <row r="84" spans="26:36" x14ac:dyDescent="0.25">
      <c r="Z84">
        <v>46</v>
      </c>
      <c r="AA84" t="s">
        <v>1651</v>
      </c>
      <c r="AB84" t="s">
        <v>108</v>
      </c>
      <c r="AC84" t="s">
        <v>24</v>
      </c>
      <c r="AD84">
        <v>42</v>
      </c>
      <c r="AF84" s="127">
        <v>27597</v>
      </c>
      <c r="AG84">
        <v>46</v>
      </c>
      <c r="AI84">
        <v>21</v>
      </c>
      <c r="AJ84">
        <v>10</v>
      </c>
    </row>
    <row r="85" spans="26:36" x14ac:dyDescent="0.25">
      <c r="Z85">
        <v>172</v>
      </c>
      <c r="AA85" t="s">
        <v>2329</v>
      </c>
      <c r="AB85" t="s">
        <v>154</v>
      </c>
      <c r="AC85" t="s">
        <v>24</v>
      </c>
      <c r="AD85">
        <v>43</v>
      </c>
      <c r="AF85" s="127">
        <v>27273</v>
      </c>
      <c r="AG85">
        <v>172</v>
      </c>
      <c r="AI85">
        <v>21</v>
      </c>
      <c r="AJ85">
        <v>13</v>
      </c>
    </row>
    <row r="86" spans="26:36" x14ac:dyDescent="0.25">
      <c r="Z86">
        <v>175</v>
      </c>
      <c r="AA86" t="s">
        <v>1045</v>
      </c>
      <c r="AB86" t="s">
        <v>1066</v>
      </c>
      <c r="AC86" t="s">
        <v>24</v>
      </c>
      <c r="AD86">
        <v>41</v>
      </c>
      <c r="AF86" s="127">
        <v>27980</v>
      </c>
      <c r="AG86">
        <v>175</v>
      </c>
      <c r="AI86">
        <v>21</v>
      </c>
      <c r="AJ86">
        <v>15</v>
      </c>
    </row>
    <row r="87" spans="26:36" x14ac:dyDescent="0.25">
      <c r="Z87">
        <v>396</v>
      </c>
      <c r="AA87" t="s">
        <v>2148</v>
      </c>
      <c r="AB87" t="s">
        <v>14</v>
      </c>
      <c r="AC87" t="s">
        <v>24</v>
      </c>
      <c r="AD87">
        <v>47</v>
      </c>
      <c r="AF87" s="127">
        <v>25940</v>
      </c>
      <c r="AG87">
        <v>396</v>
      </c>
      <c r="AI87">
        <v>21</v>
      </c>
      <c r="AJ87">
        <v>16</v>
      </c>
    </row>
    <row r="88" spans="26:36" x14ac:dyDescent="0.25">
      <c r="Z88">
        <v>254</v>
      </c>
      <c r="AA88" t="s">
        <v>1935</v>
      </c>
      <c r="AB88" t="s">
        <v>63</v>
      </c>
      <c r="AC88" t="s">
        <v>24</v>
      </c>
      <c r="AD88">
        <v>39</v>
      </c>
      <c r="AF88" s="127">
        <v>28775</v>
      </c>
      <c r="AG88">
        <v>254</v>
      </c>
      <c r="AI88">
        <v>21</v>
      </c>
      <c r="AJ88">
        <v>17</v>
      </c>
    </row>
    <row r="89" spans="26:36" x14ac:dyDescent="0.25">
      <c r="Z89">
        <v>21</v>
      </c>
      <c r="AA89" t="s">
        <v>1373</v>
      </c>
      <c r="AB89" t="s">
        <v>12</v>
      </c>
      <c r="AC89" t="s">
        <v>24</v>
      </c>
      <c r="AD89">
        <v>52</v>
      </c>
      <c r="AF89" s="127">
        <v>24216</v>
      </c>
      <c r="AG89">
        <v>21</v>
      </c>
      <c r="AI89">
        <v>21</v>
      </c>
      <c r="AJ89">
        <v>17</v>
      </c>
    </row>
    <row r="90" spans="26:36" x14ac:dyDescent="0.25">
      <c r="Z90">
        <v>232</v>
      </c>
      <c r="AA90" t="s">
        <v>609</v>
      </c>
      <c r="AB90" t="s">
        <v>43</v>
      </c>
      <c r="AC90" t="s">
        <v>24</v>
      </c>
      <c r="AD90">
        <v>54</v>
      </c>
      <c r="AF90" s="127">
        <v>23334</v>
      </c>
      <c r="AG90">
        <v>232</v>
      </c>
      <c r="AI90">
        <v>21</v>
      </c>
      <c r="AJ90">
        <v>18</v>
      </c>
    </row>
    <row r="91" spans="26:36" x14ac:dyDescent="0.25">
      <c r="Z91">
        <v>75</v>
      </c>
      <c r="AA91" t="s">
        <v>367</v>
      </c>
      <c r="AB91" t="s">
        <v>108</v>
      </c>
      <c r="AC91" t="s">
        <v>24</v>
      </c>
      <c r="AD91">
        <v>65</v>
      </c>
      <c r="AF91" s="127">
        <v>19528</v>
      </c>
      <c r="AG91">
        <v>75</v>
      </c>
      <c r="AI91">
        <v>21</v>
      </c>
      <c r="AJ91">
        <v>21</v>
      </c>
    </row>
    <row r="92" spans="26:36" x14ac:dyDescent="0.25">
      <c r="Z92">
        <v>88</v>
      </c>
      <c r="AA92" t="s">
        <v>1351</v>
      </c>
      <c r="AB92" t="s">
        <v>1400</v>
      </c>
      <c r="AC92" t="s">
        <v>24</v>
      </c>
      <c r="AD92">
        <v>44</v>
      </c>
      <c r="AF92" s="127">
        <v>26888</v>
      </c>
      <c r="AG92">
        <v>88</v>
      </c>
      <c r="AI92">
        <v>21</v>
      </c>
      <c r="AJ92">
        <v>24</v>
      </c>
    </row>
    <row r="93" spans="26:36" x14ac:dyDescent="0.25">
      <c r="Z93">
        <v>119</v>
      </c>
      <c r="AA93" t="s">
        <v>781</v>
      </c>
      <c r="AB93" t="s">
        <v>12</v>
      </c>
      <c r="AC93" t="s">
        <v>24</v>
      </c>
      <c r="AD93">
        <v>55</v>
      </c>
      <c r="AF93" s="127">
        <v>23108</v>
      </c>
      <c r="AG93">
        <v>119</v>
      </c>
      <c r="AI93">
        <v>21</v>
      </c>
      <c r="AJ93">
        <v>25</v>
      </c>
    </row>
    <row r="94" spans="26:36" x14ac:dyDescent="0.25">
      <c r="Z94">
        <v>354</v>
      </c>
      <c r="AA94" t="s">
        <v>2330</v>
      </c>
      <c r="AB94" t="s">
        <v>154</v>
      </c>
      <c r="AC94" t="s">
        <v>23</v>
      </c>
      <c r="AD94">
        <v>31</v>
      </c>
      <c r="AF94" s="127">
        <v>31878</v>
      </c>
      <c r="AG94">
        <v>354</v>
      </c>
      <c r="AI94">
        <v>21</v>
      </c>
      <c r="AJ94">
        <v>25</v>
      </c>
    </row>
    <row r="95" spans="26:36" x14ac:dyDescent="0.25">
      <c r="Z95">
        <v>56</v>
      </c>
      <c r="AA95" t="s">
        <v>2331</v>
      </c>
      <c r="AB95" t="s">
        <v>12</v>
      </c>
      <c r="AC95" t="s">
        <v>24</v>
      </c>
      <c r="AD95">
        <v>57</v>
      </c>
      <c r="AF95" s="127">
        <v>22448</v>
      </c>
      <c r="AG95">
        <v>56</v>
      </c>
      <c r="AI95">
        <v>21</v>
      </c>
      <c r="AJ95">
        <v>27</v>
      </c>
    </row>
    <row r="96" spans="26:36" x14ac:dyDescent="0.25">
      <c r="Z96">
        <v>98</v>
      </c>
      <c r="AA96" t="s">
        <v>551</v>
      </c>
      <c r="AB96" t="s">
        <v>14</v>
      </c>
      <c r="AC96" t="s">
        <v>24</v>
      </c>
      <c r="AD96">
        <v>57</v>
      </c>
      <c r="AF96" s="127">
        <v>22328</v>
      </c>
      <c r="AG96">
        <v>98</v>
      </c>
      <c r="AI96">
        <v>21</v>
      </c>
      <c r="AJ96">
        <v>28</v>
      </c>
    </row>
    <row r="97" spans="26:36" x14ac:dyDescent="0.25">
      <c r="Z97">
        <v>452</v>
      </c>
      <c r="AA97" t="s">
        <v>300</v>
      </c>
      <c r="AB97" t="s">
        <v>43</v>
      </c>
      <c r="AC97" t="s">
        <v>24</v>
      </c>
      <c r="AD97">
        <v>50</v>
      </c>
      <c r="AF97" s="127">
        <v>24838</v>
      </c>
      <c r="AG97">
        <v>452</v>
      </c>
      <c r="AI97">
        <v>21</v>
      </c>
      <c r="AJ97">
        <v>30</v>
      </c>
    </row>
    <row r="98" spans="26:36" x14ac:dyDescent="0.25">
      <c r="Z98">
        <v>36</v>
      </c>
      <c r="AA98" t="s">
        <v>2332</v>
      </c>
      <c r="AB98" t="s">
        <v>108</v>
      </c>
      <c r="AC98" t="s">
        <v>23</v>
      </c>
      <c r="AD98">
        <v>23</v>
      </c>
      <c r="AF98" s="127">
        <v>34810</v>
      </c>
      <c r="AG98">
        <v>36</v>
      </c>
      <c r="AI98">
        <v>21</v>
      </c>
      <c r="AJ98">
        <v>30</v>
      </c>
    </row>
    <row r="99" spans="26:36" x14ac:dyDescent="0.25">
      <c r="Z99">
        <v>229</v>
      </c>
      <c r="AA99" t="s">
        <v>2333</v>
      </c>
      <c r="AB99" t="s">
        <v>63</v>
      </c>
      <c r="AC99" t="s">
        <v>24</v>
      </c>
      <c r="AD99">
        <v>44</v>
      </c>
      <c r="AF99" s="127">
        <v>27088</v>
      </c>
      <c r="AG99">
        <v>229</v>
      </c>
      <c r="AI99">
        <v>21</v>
      </c>
      <c r="AJ99">
        <v>30</v>
      </c>
    </row>
    <row r="100" spans="26:36" x14ac:dyDescent="0.25">
      <c r="Z100">
        <v>92</v>
      </c>
      <c r="AA100" t="s">
        <v>264</v>
      </c>
      <c r="AB100" t="s">
        <v>12</v>
      </c>
      <c r="AC100" t="s">
        <v>24</v>
      </c>
      <c r="AD100">
        <v>50</v>
      </c>
      <c r="AF100" s="127">
        <v>24970</v>
      </c>
      <c r="AG100">
        <v>92</v>
      </c>
      <c r="AI100">
        <v>21</v>
      </c>
      <c r="AJ100">
        <v>31</v>
      </c>
    </row>
    <row r="101" spans="26:36" x14ac:dyDescent="0.25">
      <c r="Z101">
        <v>116</v>
      </c>
      <c r="AA101" t="s">
        <v>575</v>
      </c>
      <c r="AB101" t="s">
        <v>14</v>
      </c>
      <c r="AC101" t="s">
        <v>23</v>
      </c>
      <c r="AD101">
        <v>54</v>
      </c>
      <c r="AF101" s="127">
        <v>23432</v>
      </c>
      <c r="AG101">
        <v>116</v>
      </c>
      <c r="AI101">
        <v>21</v>
      </c>
      <c r="AJ101">
        <v>36</v>
      </c>
    </row>
    <row r="102" spans="26:36" x14ac:dyDescent="0.25">
      <c r="Z102">
        <v>397</v>
      </c>
      <c r="AA102" t="s">
        <v>1688</v>
      </c>
      <c r="AB102" t="s">
        <v>14</v>
      </c>
      <c r="AC102" t="s">
        <v>23</v>
      </c>
      <c r="AD102">
        <v>39</v>
      </c>
      <c r="AF102" s="127">
        <v>28848</v>
      </c>
      <c r="AG102">
        <v>397</v>
      </c>
      <c r="AI102">
        <v>21</v>
      </c>
      <c r="AJ102">
        <v>36</v>
      </c>
    </row>
    <row r="103" spans="26:36" x14ac:dyDescent="0.25">
      <c r="Z103">
        <v>387</v>
      </c>
      <c r="AA103" t="s">
        <v>2334</v>
      </c>
      <c r="AB103" t="s">
        <v>505</v>
      </c>
      <c r="AC103" t="s">
        <v>24</v>
      </c>
      <c r="AD103">
        <v>31</v>
      </c>
      <c r="AF103" s="127">
        <v>31812</v>
      </c>
      <c r="AG103">
        <v>387</v>
      </c>
      <c r="AI103">
        <v>21</v>
      </c>
      <c r="AJ103">
        <v>38</v>
      </c>
    </row>
    <row r="104" spans="26:36" x14ac:dyDescent="0.25">
      <c r="Z104">
        <v>37</v>
      </c>
      <c r="AA104" t="s">
        <v>1699</v>
      </c>
      <c r="AB104" t="s">
        <v>154</v>
      </c>
      <c r="AC104" t="s">
        <v>24</v>
      </c>
      <c r="AD104">
        <v>61</v>
      </c>
      <c r="AF104" s="127">
        <v>20663</v>
      </c>
      <c r="AG104">
        <v>37</v>
      </c>
      <c r="AI104">
        <v>21</v>
      </c>
      <c r="AJ104">
        <v>41</v>
      </c>
    </row>
    <row r="105" spans="26:36" x14ac:dyDescent="0.25">
      <c r="Z105">
        <v>96</v>
      </c>
      <c r="AA105" t="s">
        <v>1155</v>
      </c>
      <c r="AB105" t="s">
        <v>43</v>
      </c>
      <c r="AC105" t="s">
        <v>24</v>
      </c>
      <c r="AD105">
        <v>39</v>
      </c>
      <c r="AF105" s="127">
        <v>28894</v>
      </c>
      <c r="AG105">
        <v>96</v>
      </c>
      <c r="AI105">
        <v>21</v>
      </c>
      <c r="AJ105">
        <v>41</v>
      </c>
    </row>
    <row r="106" spans="26:36" x14ac:dyDescent="0.25">
      <c r="Z106">
        <v>16</v>
      </c>
      <c r="AA106" t="s">
        <v>1406</v>
      </c>
      <c r="AB106" t="s">
        <v>155</v>
      </c>
      <c r="AC106" t="s">
        <v>24</v>
      </c>
      <c r="AD106">
        <v>25</v>
      </c>
      <c r="AF106" s="127">
        <v>34126</v>
      </c>
      <c r="AG106">
        <v>16</v>
      </c>
      <c r="AI106">
        <v>21</v>
      </c>
      <c r="AJ106">
        <v>44</v>
      </c>
    </row>
    <row r="107" spans="26:36" x14ac:dyDescent="0.25">
      <c r="Z107">
        <v>417</v>
      </c>
      <c r="AA107" t="s">
        <v>269</v>
      </c>
      <c r="AB107" t="s">
        <v>43</v>
      </c>
      <c r="AC107" t="s">
        <v>24</v>
      </c>
      <c r="AD107">
        <v>66</v>
      </c>
      <c r="AF107" s="127">
        <v>19111</v>
      </c>
      <c r="AG107">
        <v>417</v>
      </c>
      <c r="AI107">
        <v>21</v>
      </c>
      <c r="AJ107">
        <v>46</v>
      </c>
    </row>
    <row r="108" spans="26:36" x14ac:dyDescent="0.25">
      <c r="Z108">
        <v>179</v>
      </c>
      <c r="AA108" t="s">
        <v>340</v>
      </c>
      <c r="AB108" t="s">
        <v>12</v>
      </c>
      <c r="AC108" t="s">
        <v>24</v>
      </c>
      <c r="AD108">
        <v>44</v>
      </c>
      <c r="AF108" s="127">
        <v>27164</v>
      </c>
      <c r="AG108">
        <v>179</v>
      </c>
      <c r="AI108">
        <v>21</v>
      </c>
      <c r="AJ108">
        <v>50</v>
      </c>
    </row>
    <row r="109" spans="26:36" x14ac:dyDescent="0.25">
      <c r="Z109">
        <v>375</v>
      </c>
      <c r="AA109" t="s">
        <v>372</v>
      </c>
      <c r="AB109" t="s">
        <v>12</v>
      </c>
      <c r="AC109" t="s">
        <v>24</v>
      </c>
      <c r="AD109">
        <v>44</v>
      </c>
      <c r="AF109" s="127">
        <v>27145</v>
      </c>
      <c r="AG109">
        <v>375</v>
      </c>
      <c r="AI109">
        <v>21</v>
      </c>
      <c r="AJ109">
        <v>53</v>
      </c>
    </row>
    <row r="110" spans="26:36" x14ac:dyDescent="0.25">
      <c r="Z110">
        <v>134</v>
      </c>
      <c r="AA110" t="s">
        <v>1662</v>
      </c>
      <c r="AB110" t="s">
        <v>14</v>
      </c>
      <c r="AC110" t="s">
        <v>24</v>
      </c>
      <c r="AD110">
        <v>53</v>
      </c>
      <c r="AF110" s="127">
        <v>23899</v>
      </c>
      <c r="AG110">
        <v>134</v>
      </c>
      <c r="AI110">
        <v>21</v>
      </c>
      <c r="AJ110">
        <v>54</v>
      </c>
    </row>
    <row r="111" spans="26:36" x14ac:dyDescent="0.25">
      <c r="Z111">
        <v>299</v>
      </c>
      <c r="AA111" t="s">
        <v>229</v>
      </c>
      <c r="AB111" t="s">
        <v>108</v>
      </c>
      <c r="AC111" t="s">
        <v>23</v>
      </c>
      <c r="AD111">
        <v>62</v>
      </c>
      <c r="AF111" s="127">
        <v>20613</v>
      </c>
      <c r="AG111">
        <v>299</v>
      </c>
      <c r="AI111">
        <v>21</v>
      </c>
      <c r="AJ111">
        <v>58</v>
      </c>
    </row>
    <row r="112" spans="26:36" x14ac:dyDescent="0.25">
      <c r="Z112">
        <v>246</v>
      </c>
      <c r="AA112" t="s">
        <v>1475</v>
      </c>
      <c r="AB112" t="s">
        <v>505</v>
      </c>
      <c r="AC112" t="s">
        <v>24</v>
      </c>
      <c r="AD112">
        <v>40</v>
      </c>
      <c r="AF112" s="127">
        <v>28462</v>
      </c>
      <c r="AG112">
        <v>246</v>
      </c>
      <c r="AI112">
        <v>22</v>
      </c>
      <c r="AJ112">
        <v>0</v>
      </c>
    </row>
    <row r="113" spans="26:36" x14ac:dyDescent="0.25">
      <c r="Z113">
        <v>320</v>
      </c>
      <c r="AA113" t="s">
        <v>1762</v>
      </c>
      <c r="AB113" t="s">
        <v>108</v>
      </c>
      <c r="AC113" t="s">
        <v>24</v>
      </c>
      <c r="AD113">
        <v>59</v>
      </c>
      <c r="AF113" s="127">
        <v>21688</v>
      </c>
      <c r="AG113">
        <v>320</v>
      </c>
      <c r="AI113">
        <v>22</v>
      </c>
      <c r="AJ113">
        <v>0</v>
      </c>
    </row>
    <row r="114" spans="26:36" x14ac:dyDescent="0.25">
      <c r="Z114">
        <v>315</v>
      </c>
      <c r="AA114" t="s">
        <v>186</v>
      </c>
      <c r="AB114" t="s">
        <v>12</v>
      </c>
      <c r="AC114" t="s">
        <v>24</v>
      </c>
      <c r="AD114">
        <v>52</v>
      </c>
      <c r="AF114" s="127">
        <v>24159</v>
      </c>
      <c r="AG114">
        <v>315</v>
      </c>
      <c r="AI114">
        <v>22</v>
      </c>
      <c r="AJ114">
        <v>0</v>
      </c>
    </row>
    <row r="115" spans="26:36" x14ac:dyDescent="0.25">
      <c r="Z115">
        <v>336</v>
      </c>
      <c r="AA115" t="s">
        <v>1070</v>
      </c>
      <c r="AB115" t="s">
        <v>12</v>
      </c>
      <c r="AC115" t="s">
        <v>24</v>
      </c>
      <c r="AD115">
        <v>53</v>
      </c>
      <c r="AF115" s="127">
        <v>23700</v>
      </c>
      <c r="AG115">
        <v>336</v>
      </c>
      <c r="AI115">
        <v>22</v>
      </c>
      <c r="AJ115">
        <v>3</v>
      </c>
    </row>
    <row r="116" spans="26:36" x14ac:dyDescent="0.25">
      <c r="Z116">
        <v>125</v>
      </c>
      <c r="AA116" t="s">
        <v>1767</v>
      </c>
      <c r="AB116" t="s">
        <v>63</v>
      </c>
      <c r="AC116" t="s">
        <v>23</v>
      </c>
      <c r="AD116">
        <v>32</v>
      </c>
      <c r="AF116" s="127">
        <v>31220</v>
      </c>
      <c r="AG116">
        <v>125</v>
      </c>
      <c r="AI116">
        <v>22</v>
      </c>
      <c r="AJ116">
        <v>3</v>
      </c>
    </row>
    <row r="117" spans="26:36" x14ac:dyDescent="0.25">
      <c r="Z117">
        <v>278</v>
      </c>
      <c r="AA117" t="s">
        <v>2138</v>
      </c>
      <c r="AB117" t="s">
        <v>63</v>
      </c>
      <c r="AC117" t="s">
        <v>24</v>
      </c>
      <c r="AD117">
        <v>24</v>
      </c>
      <c r="AF117" s="127">
        <v>34156</v>
      </c>
      <c r="AG117">
        <v>278</v>
      </c>
      <c r="AI117">
        <v>22</v>
      </c>
      <c r="AJ117">
        <v>5</v>
      </c>
    </row>
    <row r="118" spans="26:36" x14ac:dyDescent="0.25">
      <c r="Z118">
        <v>454</v>
      </c>
      <c r="AA118" t="s">
        <v>1495</v>
      </c>
      <c r="AB118" t="s">
        <v>12</v>
      </c>
      <c r="AC118" t="s">
        <v>24</v>
      </c>
      <c r="AD118">
        <v>42</v>
      </c>
      <c r="AF118" s="127">
        <v>27720</v>
      </c>
      <c r="AG118">
        <v>454</v>
      </c>
      <c r="AI118">
        <v>22</v>
      </c>
      <c r="AJ118">
        <v>6</v>
      </c>
    </row>
    <row r="119" spans="26:36" x14ac:dyDescent="0.25">
      <c r="Z119">
        <v>87</v>
      </c>
      <c r="AA119" t="s">
        <v>1404</v>
      </c>
      <c r="AB119" t="s">
        <v>155</v>
      </c>
      <c r="AC119" t="s">
        <v>24</v>
      </c>
      <c r="AD119">
        <v>21</v>
      </c>
      <c r="AF119" s="127">
        <v>35501</v>
      </c>
      <c r="AG119">
        <v>87</v>
      </c>
      <c r="AI119">
        <v>22</v>
      </c>
      <c r="AJ119">
        <v>8</v>
      </c>
    </row>
    <row r="120" spans="26:36" x14ac:dyDescent="0.25">
      <c r="Z120">
        <v>327</v>
      </c>
      <c r="AA120" t="s">
        <v>244</v>
      </c>
      <c r="AB120" t="s">
        <v>63</v>
      </c>
      <c r="AC120" t="s">
        <v>24</v>
      </c>
      <c r="AD120">
        <v>34</v>
      </c>
      <c r="AF120" s="127">
        <v>30760</v>
      </c>
      <c r="AG120">
        <v>327</v>
      </c>
      <c r="AI120">
        <v>22</v>
      </c>
      <c r="AJ120">
        <v>11</v>
      </c>
    </row>
    <row r="121" spans="26:36" x14ac:dyDescent="0.25">
      <c r="Z121">
        <v>201</v>
      </c>
      <c r="AA121" t="s">
        <v>1654</v>
      </c>
      <c r="AB121" t="s">
        <v>12</v>
      </c>
      <c r="AC121" t="s">
        <v>24</v>
      </c>
      <c r="AD121">
        <v>57</v>
      </c>
      <c r="AF121" s="127">
        <v>22375</v>
      </c>
      <c r="AG121">
        <v>201</v>
      </c>
      <c r="AI121">
        <v>22</v>
      </c>
      <c r="AJ121">
        <v>14</v>
      </c>
    </row>
    <row r="122" spans="26:36" x14ac:dyDescent="0.25">
      <c r="Z122">
        <v>434</v>
      </c>
      <c r="AA122" t="s">
        <v>549</v>
      </c>
      <c r="AB122" t="s">
        <v>14</v>
      </c>
      <c r="AC122" t="s">
        <v>24</v>
      </c>
      <c r="AD122">
        <v>57</v>
      </c>
      <c r="AF122" s="127">
        <v>22396</v>
      </c>
      <c r="AG122">
        <v>434</v>
      </c>
      <c r="AI122">
        <v>22</v>
      </c>
      <c r="AJ122">
        <v>20</v>
      </c>
    </row>
    <row r="123" spans="26:36" x14ac:dyDescent="0.25">
      <c r="Z123">
        <v>105</v>
      </c>
      <c r="AA123" t="s">
        <v>2208</v>
      </c>
      <c r="AB123" t="s">
        <v>12</v>
      </c>
      <c r="AC123" t="s">
        <v>24</v>
      </c>
      <c r="AD123">
        <v>31</v>
      </c>
      <c r="AF123" s="127">
        <v>31587</v>
      </c>
      <c r="AG123">
        <v>105</v>
      </c>
      <c r="AI123">
        <v>22</v>
      </c>
      <c r="AJ123">
        <v>22</v>
      </c>
    </row>
    <row r="124" spans="26:36" x14ac:dyDescent="0.25">
      <c r="Z124">
        <v>169</v>
      </c>
      <c r="AA124" t="s">
        <v>177</v>
      </c>
      <c r="AB124" t="s">
        <v>12</v>
      </c>
      <c r="AC124" t="s">
        <v>24</v>
      </c>
      <c r="AD124">
        <v>45</v>
      </c>
      <c r="AF124" s="127">
        <v>26671</v>
      </c>
      <c r="AG124">
        <v>169</v>
      </c>
      <c r="AI124">
        <v>22</v>
      </c>
      <c r="AJ124">
        <v>24</v>
      </c>
    </row>
    <row r="125" spans="26:36" x14ac:dyDescent="0.25">
      <c r="Z125">
        <v>126</v>
      </c>
      <c r="AA125" t="s">
        <v>2335</v>
      </c>
      <c r="AB125" t="s">
        <v>1805</v>
      </c>
      <c r="AC125" t="s">
        <v>24</v>
      </c>
      <c r="AD125">
        <v>56</v>
      </c>
      <c r="AF125" s="127">
        <v>22609</v>
      </c>
      <c r="AG125">
        <v>126</v>
      </c>
      <c r="AI125">
        <v>22</v>
      </c>
      <c r="AJ125">
        <v>28</v>
      </c>
    </row>
    <row r="126" spans="26:36" x14ac:dyDescent="0.25">
      <c r="Z126">
        <v>51</v>
      </c>
      <c r="AA126" t="s">
        <v>1370</v>
      </c>
      <c r="AB126" t="s">
        <v>155</v>
      </c>
      <c r="AC126" t="s">
        <v>24</v>
      </c>
      <c r="AD126">
        <v>51</v>
      </c>
      <c r="AF126" s="127">
        <v>24288</v>
      </c>
      <c r="AG126">
        <v>51</v>
      </c>
      <c r="AI126">
        <v>22</v>
      </c>
      <c r="AJ126">
        <v>30</v>
      </c>
    </row>
    <row r="127" spans="26:36" x14ac:dyDescent="0.25">
      <c r="Z127">
        <v>206</v>
      </c>
      <c r="AA127" t="s">
        <v>991</v>
      </c>
      <c r="AB127" t="s">
        <v>14</v>
      </c>
      <c r="AC127" t="s">
        <v>23</v>
      </c>
      <c r="AD127">
        <v>57</v>
      </c>
      <c r="AF127" s="127">
        <v>22236</v>
      </c>
      <c r="AG127">
        <v>206</v>
      </c>
      <c r="AI127">
        <v>22</v>
      </c>
      <c r="AJ127">
        <v>31</v>
      </c>
    </row>
    <row r="128" spans="26:36" x14ac:dyDescent="0.25">
      <c r="Z128">
        <v>143</v>
      </c>
      <c r="AA128" t="s">
        <v>1783</v>
      </c>
      <c r="AB128" t="s">
        <v>108</v>
      </c>
      <c r="AC128" t="s">
        <v>24</v>
      </c>
      <c r="AD128">
        <v>46</v>
      </c>
      <c r="AF128" s="127">
        <v>26449</v>
      </c>
      <c r="AG128">
        <v>143</v>
      </c>
      <c r="AI128">
        <v>22</v>
      </c>
      <c r="AJ128">
        <v>38</v>
      </c>
    </row>
    <row r="129" spans="26:36" x14ac:dyDescent="0.25">
      <c r="Z129">
        <v>446</v>
      </c>
      <c r="AA129" t="s">
        <v>872</v>
      </c>
      <c r="AB129" t="s">
        <v>155</v>
      </c>
      <c r="AC129" t="s">
        <v>24</v>
      </c>
      <c r="AD129">
        <v>53</v>
      </c>
      <c r="AF129" s="127">
        <v>23680</v>
      </c>
      <c r="AG129">
        <v>446</v>
      </c>
      <c r="AI129">
        <v>22</v>
      </c>
      <c r="AJ129">
        <v>40</v>
      </c>
    </row>
    <row r="130" spans="26:36" x14ac:dyDescent="0.25">
      <c r="Z130">
        <v>218</v>
      </c>
      <c r="AA130" t="s">
        <v>1771</v>
      </c>
      <c r="AB130" t="s">
        <v>108</v>
      </c>
      <c r="AC130" t="s">
        <v>24</v>
      </c>
      <c r="AD130">
        <v>35</v>
      </c>
      <c r="AF130" s="127">
        <v>30488</v>
      </c>
      <c r="AG130">
        <v>218</v>
      </c>
      <c r="AI130">
        <v>22</v>
      </c>
      <c r="AJ130">
        <v>43</v>
      </c>
    </row>
    <row r="131" spans="26:36" x14ac:dyDescent="0.25">
      <c r="Z131">
        <v>348</v>
      </c>
      <c r="AA131" t="s">
        <v>2336</v>
      </c>
      <c r="AB131" t="s">
        <v>505</v>
      </c>
      <c r="AC131" t="s">
        <v>24</v>
      </c>
      <c r="AD131">
        <v>51</v>
      </c>
      <c r="AF131" s="127">
        <v>24317</v>
      </c>
      <c r="AG131">
        <v>348</v>
      </c>
      <c r="AI131">
        <v>22</v>
      </c>
      <c r="AJ131">
        <v>43</v>
      </c>
    </row>
    <row r="132" spans="26:36" x14ac:dyDescent="0.25">
      <c r="Z132">
        <v>154</v>
      </c>
      <c r="AA132" t="s">
        <v>1059</v>
      </c>
      <c r="AB132" t="s">
        <v>154</v>
      </c>
      <c r="AC132" t="s">
        <v>23</v>
      </c>
      <c r="AD132">
        <v>35</v>
      </c>
      <c r="AF132" s="127">
        <v>30221</v>
      </c>
      <c r="AG132">
        <v>154</v>
      </c>
      <c r="AI132">
        <v>22</v>
      </c>
      <c r="AJ132">
        <v>44</v>
      </c>
    </row>
    <row r="133" spans="26:36" x14ac:dyDescent="0.25">
      <c r="Z133">
        <v>44</v>
      </c>
      <c r="AA133" t="s">
        <v>2337</v>
      </c>
      <c r="AB133" t="s">
        <v>505</v>
      </c>
      <c r="AC133" t="s">
        <v>24</v>
      </c>
      <c r="AD133">
        <v>27</v>
      </c>
      <c r="AF133" s="127">
        <v>33317</v>
      </c>
      <c r="AG133">
        <v>44</v>
      </c>
      <c r="AI133">
        <v>22</v>
      </c>
      <c r="AJ133">
        <v>45</v>
      </c>
    </row>
    <row r="134" spans="26:36" x14ac:dyDescent="0.25">
      <c r="Z134">
        <v>399</v>
      </c>
      <c r="AA134" t="s">
        <v>2338</v>
      </c>
      <c r="AB134" t="s">
        <v>63</v>
      </c>
      <c r="AC134" t="s">
        <v>23</v>
      </c>
      <c r="AD134">
        <v>25</v>
      </c>
      <c r="AF134" s="127">
        <v>34141</v>
      </c>
      <c r="AG134">
        <v>399</v>
      </c>
      <c r="AI134">
        <v>22</v>
      </c>
      <c r="AJ134">
        <v>46</v>
      </c>
    </row>
    <row r="135" spans="26:36" x14ac:dyDescent="0.25">
      <c r="Z135">
        <v>319</v>
      </c>
      <c r="AA135" t="s">
        <v>2339</v>
      </c>
      <c r="AB135" t="s">
        <v>108</v>
      </c>
      <c r="AC135" t="s">
        <v>24</v>
      </c>
      <c r="AD135">
        <v>26</v>
      </c>
      <c r="AF135" s="127">
        <v>33652</v>
      </c>
      <c r="AG135">
        <v>319</v>
      </c>
      <c r="AI135">
        <v>22</v>
      </c>
      <c r="AJ135">
        <v>48</v>
      </c>
    </row>
    <row r="136" spans="26:36" x14ac:dyDescent="0.25">
      <c r="Z136">
        <v>361</v>
      </c>
      <c r="AA136" t="s">
        <v>275</v>
      </c>
      <c r="AB136" t="s">
        <v>63</v>
      </c>
      <c r="AC136" t="s">
        <v>24</v>
      </c>
      <c r="AD136">
        <v>25</v>
      </c>
      <c r="AF136" s="127">
        <v>34074</v>
      </c>
      <c r="AG136">
        <v>361</v>
      </c>
      <c r="AI136">
        <v>22</v>
      </c>
      <c r="AJ136">
        <v>49</v>
      </c>
    </row>
    <row r="137" spans="26:36" x14ac:dyDescent="0.25">
      <c r="Z137">
        <v>331</v>
      </c>
      <c r="AA137" t="s">
        <v>1833</v>
      </c>
      <c r="AB137" t="s">
        <v>108</v>
      </c>
      <c r="AC137" t="s">
        <v>23</v>
      </c>
      <c r="AD137">
        <v>34</v>
      </c>
      <c r="AF137" s="127">
        <v>30800</v>
      </c>
      <c r="AG137">
        <v>331</v>
      </c>
      <c r="AI137">
        <v>22</v>
      </c>
      <c r="AJ137">
        <v>49</v>
      </c>
    </row>
    <row r="138" spans="26:36" x14ac:dyDescent="0.25">
      <c r="Z138">
        <v>346</v>
      </c>
      <c r="AA138" t="s">
        <v>1407</v>
      </c>
      <c r="AB138" t="s">
        <v>108</v>
      </c>
      <c r="AC138" t="s">
        <v>24</v>
      </c>
      <c r="AD138">
        <v>45</v>
      </c>
      <c r="AF138" s="127">
        <v>26812</v>
      </c>
      <c r="AG138">
        <v>346</v>
      </c>
      <c r="AI138">
        <v>22</v>
      </c>
      <c r="AJ138">
        <v>53</v>
      </c>
    </row>
    <row r="139" spans="26:36" x14ac:dyDescent="0.25">
      <c r="Z139">
        <v>427</v>
      </c>
      <c r="AA139" t="s">
        <v>2289</v>
      </c>
      <c r="AB139" t="s">
        <v>14</v>
      </c>
      <c r="AC139" t="s">
        <v>24</v>
      </c>
      <c r="AD139">
        <v>41</v>
      </c>
      <c r="AF139" s="127">
        <v>28087</v>
      </c>
      <c r="AG139">
        <v>427</v>
      </c>
      <c r="AI139">
        <v>22</v>
      </c>
      <c r="AJ139">
        <v>53</v>
      </c>
    </row>
    <row r="140" spans="26:36" x14ac:dyDescent="0.25">
      <c r="Z140">
        <v>193</v>
      </c>
      <c r="AA140" t="s">
        <v>2340</v>
      </c>
      <c r="AB140" t="s">
        <v>2408</v>
      </c>
      <c r="AC140" t="s">
        <v>23</v>
      </c>
      <c r="AD140">
        <v>41</v>
      </c>
      <c r="AF140" s="127">
        <v>28074</v>
      </c>
      <c r="AG140">
        <v>193</v>
      </c>
      <c r="AI140">
        <v>22</v>
      </c>
      <c r="AJ140">
        <v>55</v>
      </c>
    </row>
    <row r="141" spans="26:36" x14ac:dyDescent="0.25">
      <c r="Z141">
        <v>353</v>
      </c>
      <c r="AA141" t="s">
        <v>973</v>
      </c>
      <c r="AB141" t="s">
        <v>38</v>
      </c>
      <c r="AC141" t="s">
        <v>24</v>
      </c>
      <c r="AD141">
        <v>49</v>
      </c>
      <c r="AF141" s="127">
        <v>25056</v>
      </c>
      <c r="AG141">
        <v>353</v>
      </c>
      <c r="AI141">
        <v>22</v>
      </c>
      <c r="AJ141">
        <v>57</v>
      </c>
    </row>
    <row r="142" spans="26:36" x14ac:dyDescent="0.25">
      <c r="Z142">
        <v>413</v>
      </c>
      <c r="AA142" t="s">
        <v>2157</v>
      </c>
      <c r="AB142" t="s">
        <v>108</v>
      </c>
      <c r="AC142" t="s">
        <v>23</v>
      </c>
      <c r="AD142">
        <v>49</v>
      </c>
      <c r="AF142" s="127">
        <v>25283</v>
      </c>
      <c r="AG142">
        <v>413</v>
      </c>
      <c r="AI142">
        <v>22</v>
      </c>
      <c r="AJ142">
        <v>58</v>
      </c>
    </row>
    <row r="143" spans="26:36" x14ac:dyDescent="0.25">
      <c r="Z143">
        <v>249</v>
      </c>
      <c r="AA143" t="s">
        <v>2117</v>
      </c>
      <c r="AB143" t="s">
        <v>38</v>
      </c>
      <c r="AC143" t="s">
        <v>24</v>
      </c>
      <c r="AD143">
        <v>55</v>
      </c>
      <c r="AF143" s="127">
        <v>23042</v>
      </c>
      <c r="AG143">
        <v>249</v>
      </c>
      <c r="AI143">
        <v>22</v>
      </c>
      <c r="AJ143">
        <v>58</v>
      </c>
    </row>
    <row r="144" spans="26:36" x14ac:dyDescent="0.25">
      <c r="Z144">
        <v>149</v>
      </c>
      <c r="AA144" t="s">
        <v>1335</v>
      </c>
      <c r="AB144" t="s">
        <v>63</v>
      </c>
      <c r="AC144" t="s">
        <v>23</v>
      </c>
      <c r="AD144">
        <v>42</v>
      </c>
      <c r="AF144" s="127">
        <v>27871</v>
      </c>
      <c r="AG144">
        <v>149</v>
      </c>
      <c r="AI144">
        <v>23</v>
      </c>
      <c r="AJ144">
        <v>1</v>
      </c>
    </row>
    <row r="145" spans="26:36" x14ac:dyDescent="0.25">
      <c r="Z145">
        <v>73</v>
      </c>
      <c r="AA145" t="s">
        <v>2341</v>
      </c>
      <c r="AB145" t="s">
        <v>14</v>
      </c>
      <c r="AC145" t="s">
        <v>24</v>
      </c>
      <c r="AD145">
        <v>37</v>
      </c>
      <c r="AF145" s="127">
        <v>29475</v>
      </c>
      <c r="AG145">
        <v>73</v>
      </c>
      <c r="AI145">
        <v>23</v>
      </c>
      <c r="AJ145">
        <v>6</v>
      </c>
    </row>
    <row r="146" spans="26:36" x14ac:dyDescent="0.25">
      <c r="Z146">
        <v>31</v>
      </c>
      <c r="AA146" t="s">
        <v>2219</v>
      </c>
      <c r="AB146" t="s">
        <v>108</v>
      </c>
      <c r="AC146" t="s">
        <v>24</v>
      </c>
      <c r="AD146">
        <v>27</v>
      </c>
      <c r="AF146" s="127">
        <v>33071</v>
      </c>
      <c r="AG146">
        <v>31</v>
      </c>
      <c r="AI146">
        <v>23</v>
      </c>
      <c r="AJ146">
        <v>9</v>
      </c>
    </row>
    <row r="147" spans="26:36" x14ac:dyDescent="0.25">
      <c r="Z147">
        <v>442</v>
      </c>
      <c r="AA147" t="s">
        <v>841</v>
      </c>
      <c r="AB147" t="s">
        <v>38</v>
      </c>
      <c r="AC147" t="s">
        <v>24</v>
      </c>
      <c r="AD147">
        <v>65</v>
      </c>
      <c r="AF147" s="127">
        <v>19480</v>
      </c>
      <c r="AG147">
        <v>442</v>
      </c>
      <c r="AI147">
        <v>23</v>
      </c>
      <c r="AJ147">
        <v>9</v>
      </c>
    </row>
    <row r="148" spans="26:36" x14ac:dyDescent="0.25">
      <c r="Z148">
        <v>459</v>
      </c>
      <c r="AA148" t="s">
        <v>2342</v>
      </c>
      <c r="AB148" t="s">
        <v>2409</v>
      </c>
      <c r="AC148" t="s">
        <v>24</v>
      </c>
      <c r="AD148">
        <v>36</v>
      </c>
      <c r="AF148" s="127">
        <v>30156</v>
      </c>
      <c r="AG148">
        <v>459</v>
      </c>
      <c r="AI148">
        <v>23</v>
      </c>
      <c r="AJ148">
        <v>11</v>
      </c>
    </row>
    <row r="149" spans="26:36" x14ac:dyDescent="0.25">
      <c r="Z149">
        <v>178</v>
      </c>
      <c r="AA149" t="s">
        <v>2216</v>
      </c>
      <c r="AB149" t="s">
        <v>1805</v>
      </c>
      <c r="AC149" t="s">
        <v>23</v>
      </c>
      <c r="AD149">
        <v>27</v>
      </c>
      <c r="AF149" s="127">
        <v>33320</v>
      </c>
      <c r="AG149">
        <v>178</v>
      </c>
      <c r="AI149">
        <v>23</v>
      </c>
      <c r="AJ149">
        <v>12</v>
      </c>
    </row>
    <row r="150" spans="26:36" x14ac:dyDescent="0.25">
      <c r="Z150">
        <v>439</v>
      </c>
      <c r="AA150" t="s">
        <v>1005</v>
      </c>
      <c r="AB150" t="s">
        <v>14</v>
      </c>
      <c r="AC150" t="s">
        <v>23</v>
      </c>
      <c r="AD150">
        <v>54</v>
      </c>
      <c r="AF150" s="127">
        <v>23373</v>
      </c>
      <c r="AG150">
        <v>439</v>
      </c>
      <c r="AI150">
        <v>23</v>
      </c>
      <c r="AJ150">
        <v>12</v>
      </c>
    </row>
    <row r="151" spans="26:36" x14ac:dyDescent="0.25">
      <c r="Z151">
        <v>328</v>
      </c>
      <c r="AA151" t="s">
        <v>321</v>
      </c>
      <c r="AB151" t="s">
        <v>43</v>
      </c>
      <c r="AC151" t="s">
        <v>24</v>
      </c>
      <c r="AD151">
        <v>47</v>
      </c>
      <c r="AF151" s="127">
        <v>25935</v>
      </c>
      <c r="AG151">
        <v>328</v>
      </c>
      <c r="AI151">
        <v>23</v>
      </c>
      <c r="AJ151">
        <v>13</v>
      </c>
    </row>
    <row r="152" spans="26:36" x14ac:dyDescent="0.25">
      <c r="Z152">
        <v>335</v>
      </c>
      <c r="AA152" t="s">
        <v>1482</v>
      </c>
      <c r="AB152" t="s">
        <v>63</v>
      </c>
      <c r="AC152" t="s">
        <v>24</v>
      </c>
      <c r="AD152">
        <v>18</v>
      </c>
      <c r="AF152" s="127">
        <v>36433</v>
      </c>
      <c r="AG152">
        <v>335</v>
      </c>
      <c r="AI152">
        <v>23</v>
      </c>
      <c r="AJ152">
        <v>17</v>
      </c>
    </row>
    <row r="153" spans="26:36" x14ac:dyDescent="0.25">
      <c r="Z153">
        <v>238</v>
      </c>
      <c r="AA153" t="s">
        <v>2343</v>
      </c>
      <c r="AB153" t="s">
        <v>12</v>
      </c>
      <c r="AC153" t="s">
        <v>23</v>
      </c>
      <c r="AD153">
        <v>42</v>
      </c>
      <c r="AF153" s="127">
        <v>27648</v>
      </c>
      <c r="AG153">
        <v>238</v>
      </c>
      <c r="AI153">
        <v>23</v>
      </c>
      <c r="AJ153">
        <v>18</v>
      </c>
    </row>
    <row r="154" spans="26:36" x14ac:dyDescent="0.25">
      <c r="Z154">
        <v>300</v>
      </c>
      <c r="AA154" t="s">
        <v>1931</v>
      </c>
      <c r="AB154" t="s">
        <v>12</v>
      </c>
      <c r="AC154" t="s">
        <v>24</v>
      </c>
      <c r="AD154">
        <v>23</v>
      </c>
      <c r="AF154" s="127">
        <v>34826</v>
      </c>
      <c r="AG154">
        <v>300</v>
      </c>
      <c r="AI154">
        <v>23</v>
      </c>
      <c r="AJ154">
        <v>19</v>
      </c>
    </row>
    <row r="155" spans="26:36" x14ac:dyDescent="0.25">
      <c r="Z155">
        <v>52</v>
      </c>
      <c r="AA155" t="s">
        <v>1326</v>
      </c>
      <c r="AB155" t="s">
        <v>12</v>
      </c>
      <c r="AC155" t="s">
        <v>23</v>
      </c>
      <c r="AD155">
        <v>28</v>
      </c>
      <c r="AF155" s="127">
        <v>32688</v>
      </c>
      <c r="AG155">
        <v>52</v>
      </c>
      <c r="AI155">
        <v>23</v>
      </c>
      <c r="AJ155">
        <v>21</v>
      </c>
    </row>
    <row r="156" spans="26:36" x14ac:dyDescent="0.25">
      <c r="Z156">
        <v>409</v>
      </c>
      <c r="AA156" t="s">
        <v>221</v>
      </c>
      <c r="AB156" t="s">
        <v>38</v>
      </c>
      <c r="AC156" t="s">
        <v>24</v>
      </c>
      <c r="AD156">
        <v>67</v>
      </c>
      <c r="AF156" s="127">
        <v>18656</v>
      </c>
      <c r="AG156">
        <v>409</v>
      </c>
      <c r="AI156">
        <v>23</v>
      </c>
      <c r="AJ156">
        <v>23</v>
      </c>
    </row>
    <row r="157" spans="26:36" x14ac:dyDescent="0.25">
      <c r="Z157">
        <v>195</v>
      </c>
      <c r="AA157" t="s">
        <v>375</v>
      </c>
      <c r="AB157" t="s">
        <v>108</v>
      </c>
      <c r="AC157" t="s">
        <v>23</v>
      </c>
      <c r="AD157">
        <v>55</v>
      </c>
      <c r="AF157" s="127">
        <v>22893</v>
      </c>
      <c r="AG157">
        <v>195</v>
      </c>
      <c r="AI157">
        <v>23</v>
      </c>
      <c r="AJ157">
        <v>26</v>
      </c>
    </row>
    <row r="158" spans="26:36" x14ac:dyDescent="0.25">
      <c r="Z158">
        <v>309</v>
      </c>
      <c r="AA158" t="s">
        <v>211</v>
      </c>
      <c r="AB158" t="s">
        <v>38</v>
      </c>
      <c r="AC158" t="s">
        <v>24</v>
      </c>
      <c r="AD158">
        <v>44</v>
      </c>
      <c r="AF158" s="127">
        <v>26981</v>
      </c>
      <c r="AG158">
        <v>309</v>
      </c>
      <c r="AI158">
        <v>23</v>
      </c>
      <c r="AJ158">
        <v>27</v>
      </c>
    </row>
    <row r="159" spans="26:36" x14ac:dyDescent="0.25">
      <c r="Z159">
        <v>277</v>
      </c>
      <c r="AA159" t="s">
        <v>1589</v>
      </c>
      <c r="AB159" t="s">
        <v>12</v>
      </c>
      <c r="AC159" t="s">
        <v>23</v>
      </c>
      <c r="AD159">
        <v>28</v>
      </c>
      <c r="AF159" s="127">
        <v>32941</v>
      </c>
      <c r="AG159">
        <v>277</v>
      </c>
      <c r="AI159">
        <v>23</v>
      </c>
      <c r="AJ159">
        <v>28</v>
      </c>
    </row>
    <row r="160" spans="26:36" x14ac:dyDescent="0.25">
      <c r="Z160">
        <v>304</v>
      </c>
      <c r="AA160" t="s">
        <v>1755</v>
      </c>
      <c r="AB160" t="s">
        <v>63</v>
      </c>
      <c r="AC160" t="s">
        <v>24</v>
      </c>
      <c r="AD160">
        <v>30</v>
      </c>
      <c r="AF160" s="127">
        <v>32018</v>
      </c>
      <c r="AG160">
        <v>304</v>
      </c>
      <c r="AI160">
        <v>23</v>
      </c>
      <c r="AJ160">
        <v>29</v>
      </c>
    </row>
    <row r="161" spans="26:36" x14ac:dyDescent="0.25">
      <c r="Z161">
        <v>177</v>
      </c>
      <c r="AA161" t="s">
        <v>782</v>
      </c>
      <c r="AB161" t="s">
        <v>12</v>
      </c>
      <c r="AC161" t="s">
        <v>23</v>
      </c>
      <c r="AD161">
        <v>37</v>
      </c>
      <c r="AF161" s="127">
        <v>29419</v>
      </c>
      <c r="AG161">
        <v>177</v>
      </c>
      <c r="AI161">
        <v>23</v>
      </c>
      <c r="AJ161">
        <v>30</v>
      </c>
    </row>
    <row r="162" spans="26:36" x14ac:dyDescent="0.25">
      <c r="Z162">
        <v>32</v>
      </c>
      <c r="AA162" t="s">
        <v>448</v>
      </c>
      <c r="AB162" t="s">
        <v>12</v>
      </c>
      <c r="AC162" t="s">
        <v>23</v>
      </c>
      <c r="AD162">
        <v>53</v>
      </c>
      <c r="AF162" s="127">
        <v>23831</v>
      </c>
      <c r="AG162">
        <v>32</v>
      </c>
      <c r="AI162">
        <v>23</v>
      </c>
      <c r="AJ162">
        <v>34</v>
      </c>
    </row>
    <row r="163" spans="26:36" x14ac:dyDescent="0.25">
      <c r="Z163">
        <v>24</v>
      </c>
      <c r="AA163" t="s">
        <v>1044</v>
      </c>
      <c r="AB163" t="s">
        <v>12</v>
      </c>
      <c r="AC163" t="s">
        <v>23</v>
      </c>
      <c r="AD163">
        <v>27</v>
      </c>
      <c r="AF163" s="127">
        <v>33099</v>
      </c>
      <c r="AG163">
        <v>24</v>
      </c>
      <c r="AI163">
        <v>23</v>
      </c>
      <c r="AJ163">
        <v>38</v>
      </c>
    </row>
    <row r="164" spans="26:36" x14ac:dyDescent="0.25">
      <c r="Z164">
        <v>267</v>
      </c>
      <c r="AA164" t="s">
        <v>2344</v>
      </c>
      <c r="AB164" t="s">
        <v>2410</v>
      </c>
      <c r="AC164" t="s">
        <v>24</v>
      </c>
      <c r="AD164">
        <v>60</v>
      </c>
      <c r="AF164" s="127">
        <v>21278</v>
      </c>
      <c r="AG164">
        <v>267</v>
      </c>
      <c r="AI164">
        <v>23</v>
      </c>
      <c r="AJ164">
        <v>39</v>
      </c>
    </row>
    <row r="165" spans="26:36" x14ac:dyDescent="0.25">
      <c r="Z165">
        <v>422</v>
      </c>
      <c r="AA165" t="s">
        <v>2051</v>
      </c>
      <c r="AB165" t="s">
        <v>63</v>
      </c>
      <c r="AC165" t="s">
        <v>23</v>
      </c>
      <c r="AD165">
        <v>28</v>
      </c>
      <c r="AF165" s="127">
        <v>32881</v>
      </c>
      <c r="AG165">
        <v>422</v>
      </c>
      <c r="AI165">
        <v>23</v>
      </c>
      <c r="AJ165">
        <v>40</v>
      </c>
    </row>
    <row r="166" spans="26:36" x14ac:dyDescent="0.25">
      <c r="Z166">
        <v>25</v>
      </c>
      <c r="AA166" t="s">
        <v>716</v>
      </c>
      <c r="AB166" t="s">
        <v>14</v>
      </c>
      <c r="AC166" t="s">
        <v>23</v>
      </c>
      <c r="AD166">
        <v>47</v>
      </c>
      <c r="AF166" s="127">
        <v>26038</v>
      </c>
      <c r="AG166">
        <v>25</v>
      </c>
      <c r="AI166">
        <v>23</v>
      </c>
      <c r="AJ166">
        <v>41</v>
      </c>
    </row>
    <row r="167" spans="26:36" x14ac:dyDescent="0.25">
      <c r="Z167">
        <v>104</v>
      </c>
      <c r="AA167" t="s">
        <v>283</v>
      </c>
      <c r="AB167" t="s">
        <v>155</v>
      </c>
      <c r="AC167" t="s">
        <v>24</v>
      </c>
      <c r="AD167">
        <v>50</v>
      </c>
      <c r="AF167" s="127">
        <v>24958</v>
      </c>
      <c r="AG167">
        <v>104</v>
      </c>
      <c r="AI167">
        <v>23</v>
      </c>
      <c r="AJ167">
        <v>42</v>
      </c>
    </row>
    <row r="168" spans="26:36" x14ac:dyDescent="0.25">
      <c r="Z168">
        <v>455</v>
      </c>
      <c r="AA168" t="s">
        <v>1496</v>
      </c>
      <c r="AB168" t="s">
        <v>108</v>
      </c>
      <c r="AC168" t="s">
        <v>24</v>
      </c>
      <c r="AD168">
        <v>53</v>
      </c>
      <c r="AF168" s="127">
        <v>23863</v>
      </c>
      <c r="AG168">
        <v>455</v>
      </c>
      <c r="AI168">
        <v>23</v>
      </c>
      <c r="AJ168">
        <v>48</v>
      </c>
    </row>
    <row r="169" spans="26:36" x14ac:dyDescent="0.25">
      <c r="Z169">
        <v>192</v>
      </c>
      <c r="AA169" t="s">
        <v>1468</v>
      </c>
      <c r="AB169" t="s">
        <v>155</v>
      </c>
      <c r="AC169" t="s">
        <v>24</v>
      </c>
      <c r="AD169">
        <v>45</v>
      </c>
      <c r="AF169" s="127">
        <v>26521</v>
      </c>
      <c r="AG169">
        <v>192</v>
      </c>
      <c r="AI169">
        <v>23</v>
      </c>
      <c r="AJ169">
        <v>51</v>
      </c>
    </row>
    <row r="170" spans="26:36" x14ac:dyDescent="0.25">
      <c r="Z170">
        <v>122</v>
      </c>
      <c r="AA170" t="s">
        <v>1778</v>
      </c>
      <c r="AB170" t="s">
        <v>154</v>
      </c>
      <c r="AC170" t="s">
        <v>23</v>
      </c>
      <c r="AD170">
        <v>43</v>
      </c>
      <c r="AF170" s="127">
        <v>27551</v>
      </c>
      <c r="AG170">
        <v>122</v>
      </c>
      <c r="AI170">
        <v>23</v>
      </c>
      <c r="AJ170">
        <v>52</v>
      </c>
    </row>
    <row r="171" spans="26:36" x14ac:dyDescent="0.25">
      <c r="Z171">
        <v>160</v>
      </c>
      <c r="AA171" t="s">
        <v>1410</v>
      </c>
      <c r="AB171" t="s">
        <v>63</v>
      </c>
      <c r="AC171" t="s">
        <v>24</v>
      </c>
      <c r="AD171">
        <v>56</v>
      </c>
      <c r="AF171" s="127">
        <v>22720</v>
      </c>
      <c r="AG171">
        <v>160</v>
      </c>
      <c r="AI171">
        <v>23</v>
      </c>
      <c r="AJ171">
        <v>53</v>
      </c>
    </row>
    <row r="172" spans="26:36" x14ac:dyDescent="0.25">
      <c r="Z172">
        <v>181</v>
      </c>
      <c r="AA172" t="s">
        <v>2217</v>
      </c>
      <c r="AB172" t="s">
        <v>1805</v>
      </c>
      <c r="AC172" t="s">
        <v>24</v>
      </c>
      <c r="AD172">
        <v>41</v>
      </c>
      <c r="AF172" s="127">
        <v>28084</v>
      </c>
      <c r="AG172">
        <v>181</v>
      </c>
      <c r="AI172">
        <v>23</v>
      </c>
      <c r="AJ172">
        <v>55</v>
      </c>
    </row>
    <row r="173" spans="26:36" x14ac:dyDescent="0.25">
      <c r="Z173">
        <v>210</v>
      </c>
      <c r="AA173" t="s">
        <v>1470</v>
      </c>
      <c r="AB173" t="s">
        <v>12</v>
      </c>
      <c r="AC173" t="s">
        <v>24</v>
      </c>
      <c r="AD173">
        <v>48</v>
      </c>
      <c r="AF173" s="127">
        <v>25624</v>
      </c>
      <c r="AG173">
        <v>210</v>
      </c>
      <c r="AI173">
        <v>23</v>
      </c>
      <c r="AJ173">
        <v>56</v>
      </c>
    </row>
    <row r="174" spans="26:36" x14ac:dyDescent="0.25">
      <c r="Z174">
        <v>186</v>
      </c>
      <c r="AA174" t="s">
        <v>193</v>
      </c>
      <c r="AB174" t="s">
        <v>43</v>
      </c>
      <c r="AC174" t="s">
        <v>23</v>
      </c>
      <c r="AD174">
        <v>48</v>
      </c>
      <c r="AF174" s="127">
        <v>25547</v>
      </c>
      <c r="AG174">
        <v>186</v>
      </c>
      <c r="AI174">
        <v>23</v>
      </c>
      <c r="AJ174">
        <v>58</v>
      </c>
    </row>
    <row r="175" spans="26:36" x14ac:dyDescent="0.25">
      <c r="Z175">
        <v>173</v>
      </c>
      <c r="AA175" t="s">
        <v>1465</v>
      </c>
      <c r="AB175" t="s">
        <v>12</v>
      </c>
      <c r="AC175" t="s">
        <v>24</v>
      </c>
      <c r="AD175">
        <v>42</v>
      </c>
      <c r="AF175" s="127">
        <v>27618</v>
      </c>
      <c r="AG175">
        <v>173</v>
      </c>
      <c r="AI175">
        <v>24</v>
      </c>
      <c r="AJ175">
        <v>1</v>
      </c>
    </row>
    <row r="176" spans="26:36" x14ac:dyDescent="0.25">
      <c r="Z176">
        <v>318</v>
      </c>
      <c r="AA176" t="s">
        <v>673</v>
      </c>
      <c r="AB176" t="s">
        <v>155</v>
      </c>
      <c r="AC176" t="s">
        <v>24</v>
      </c>
      <c r="AD176">
        <v>42</v>
      </c>
      <c r="AF176" s="127">
        <v>27758</v>
      </c>
      <c r="AG176">
        <v>318</v>
      </c>
      <c r="AI176">
        <v>24</v>
      </c>
      <c r="AJ176">
        <v>3</v>
      </c>
    </row>
    <row r="177" spans="26:36" x14ac:dyDescent="0.25">
      <c r="Z177">
        <v>337</v>
      </c>
      <c r="AA177" t="s">
        <v>2214</v>
      </c>
      <c r="AB177" t="s">
        <v>1805</v>
      </c>
      <c r="AC177" t="s">
        <v>24</v>
      </c>
      <c r="AD177">
        <v>50</v>
      </c>
      <c r="AF177" s="127">
        <v>24953</v>
      </c>
      <c r="AG177">
        <v>337</v>
      </c>
      <c r="AI177">
        <v>24</v>
      </c>
      <c r="AJ177">
        <v>3</v>
      </c>
    </row>
    <row r="178" spans="26:36" x14ac:dyDescent="0.25">
      <c r="Z178">
        <v>6</v>
      </c>
      <c r="AA178" t="s">
        <v>720</v>
      </c>
      <c r="AB178" t="s">
        <v>14</v>
      </c>
      <c r="AC178" t="s">
        <v>23</v>
      </c>
      <c r="AD178">
        <v>60</v>
      </c>
      <c r="AF178" s="127">
        <v>21145</v>
      </c>
      <c r="AG178">
        <v>6</v>
      </c>
      <c r="AI178">
        <v>24</v>
      </c>
      <c r="AJ178">
        <v>5</v>
      </c>
    </row>
    <row r="179" spans="26:36" x14ac:dyDescent="0.25">
      <c r="Z179">
        <v>457</v>
      </c>
      <c r="AA179" t="s">
        <v>1497</v>
      </c>
      <c r="AB179" t="s">
        <v>505</v>
      </c>
      <c r="AC179" t="s">
        <v>23</v>
      </c>
      <c r="AD179">
        <v>26</v>
      </c>
      <c r="AF179" s="127">
        <v>33691</v>
      </c>
      <c r="AG179">
        <v>457</v>
      </c>
      <c r="AI179">
        <v>24</v>
      </c>
      <c r="AJ179">
        <v>6</v>
      </c>
    </row>
    <row r="180" spans="26:36" x14ac:dyDescent="0.25">
      <c r="Z180">
        <v>221</v>
      </c>
      <c r="AA180" t="s">
        <v>2345</v>
      </c>
      <c r="AB180" t="s">
        <v>12</v>
      </c>
      <c r="AC180" t="s">
        <v>23</v>
      </c>
      <c r="AD180">
        <v>29</v>
      </c>
      <c r="AF180" s="127">
        <v>32367</v>
      </c>
      <c r="AG180">
        <v>221</v>
      </c>
      <c r="AI180">
        <v>24</v>
      </c>
      <c r="AJ180">
        <v>7</v>
      </c>
    </row>
    <row r="181" spans="26:36" x14ac:dyDescent="0.25">
      <c r="Z181">
        <v>27</v>
      </c>
      <c r="AA181" t="s">
        <v>1860</v>
      </c>
      <c r="AB181" t="s">
        <v>43</v>
      </c>
      <c r="AC181" t="s">
        <v>24</v>
      </c>
      <c r="AD181">
        <v>61</v>
      </c>
      <c r="AF181" s="127">
        <v>20963</v>
      </c>
      <c r="AG181">
        <v>27</v>
      </c>
      <c r="AI181">
        <v>24</v>
      </c>
      <c r="AJ181">
        <v>11</v>
      </c>
    </row>
    <row r="182" spans="26:36" x14ac:dyDescent="0.25">
      <c r="Z182">
        <v>131</v>
      </c>
      <c r="AA182" t="s">
        <v>2222</v>
      </c>
      <c r="AB182" t="s">
        <v>1805</v>
      </c>
      <c r="AC182" t="s">
        <v>23</v>
      </c>
      <c r="AD182">
        <v>28</v>
      </c>
      <c r="AF182" s="127">
        <v>32741</v>
      </c>
      <c r="AG182">
        <v>131</v>
      </c>
      <c r="AI182">
        <v>24</v>
      </c>
      <c r="AJ182">
        <v>13</v>
      </c>
    </row>
    <row r="183" spans="26:36" x14ac:dyDescent="0.25">
      <c r="Z183">
        <v>170</v>
      </c>
      <c r="AA183" t="s">
        <v>238</v>
      </c>
      <c r="AB183" t="s">
        <v>43</v>
      </c>
      <c r="AC183" t="s">
        <v>24</v>
      </c>
      <c r="AD183">
        <v>44</v>
      </c>
      <c r="AF183" s="127">
        <v>26989</v>
      </c>
      <c r="AG183">
        <v>170</v>
      </c>
      <c r="AI183">
        <v>24</v>
      </c>
      <c r="AJ183">
        <v>15</v>
      </c>
    </row>
    <row r="184" spans="26:36" x14ac:dyDescent="0.25">
      <c r="Z184">
        <v>67</v>
      </c>
      <c r="AA184" t="s">
        <v>1690</v>
      </c>
      <c r="AB184" t="s">
        <v>12</v>
      </c>
      <c r="AC184" t="s">
        <v>23</v>
      </c>
      <c r="AD184">
        <v>56</v>
      </c>
      <c r="AF184" s="127">
        <v>22502</v>
      </c>
      <c r="AG184">
        <v>67</v>
      </c>
      <c r="AI184">
        <v>24</v>
      </c>
      <c r="AJ184">
        <v>17</v>
      </c>
    </row>
    <row r="185" spans="26:36" x14ac:dyDescent="0.25">
      <c r="Z185">
        <v>17</v>
      </c>
      <c r="AA185" t="s">
        <v>907</v>
      </c>
      <c r="AB185" t="s">
        <v>12</v>
      </c>
      <c r="AC185" t="s">
        <v>24</v>
      </c>
      <c r="AD185">
        <v>39</v>
      </c>
      <c r="AF185" s="127">
        <v>28696</v>
      </c>
      <c r="AG185">
        <v>17</v>
      </c>
      <c r="AI185">
        <v>24</v>
      </c>
      <c r="AJ185">
        <v>18</v>
      </c>
    </row>
    <row r="186" spans="26:36" x14ac:dyDescent="0.25">
      <c r="Z186">
        <v>370</v>
      </c>
      <c r="AA186" t="s">
        <v>1511</v>
      </c>
      <c r="AB186" t="s">
        <v>155</v>
      </c>
      <c r="AC186" t="s">
        <v>23</v>
      </c>
      <c r="AD186">
        <v>45</v>
      </c>
      <c r="AF186" s="127">
        <v>26793</v>
      </c>
      <c r="AG186">
        <v>370</v>
      </c>
      <c r="AI186">
        <v>24</v>
      </c>
      <c r="AJ186">
        <v>20</v>
      </c>
    </row>
    <row r="187" spans="26:36" x14ac:dyDescent="0.25">
      <c r="Z187">
        <v>261</v>
      </c>
      <c r="AA187" t="s">
        <v>2346</v>
      </c>
      <c r="AB187" t="s">
        <v>43</v>
      </c>
      <c r="AC187" t="s">
        <v>24</v>
      </c>
      <c r="AD187">
        <v>55</v>
      </c>
      <c r="AF187" s="127">
        <v>23096</v>
      </c>
      <c r="AG187">
        <v>261</v>
      </c>
      <c r="AI187">
        <v>24</v>
      </c>
      <c r="AJ187">
        <v>21</v>
      </c>
    </row>
    <row r="188" spans="26:36" x14ac:dyDescent="0.25">
      <c r="Z188">
        <v>332</v>
      </c>
      <c r="AA188" t="s">
        <v>2218</v>
      </c>
      <c r="AB188" t="s">
        <v>1805</v>
      </c>
      <c r="AC188" t="s">
        <v>23</v>
      </c>
      <c r="AD188">
        <v>41</v>
      </c>
      <c r="AF188" s="127">
        <v>28149</v>
      </c>
      <c r="AG188">
        <v>332</v>
      </c>
      <c r="AI188">
        <v>24</v>
      </c>
      <c r="AJ188">
        <v>23</v>
      </c>
    </row>
    <row r="189" spans="26:36" x14ac:dyDescent="0.25">
      <c r="Z189">
        <v>216</v>
      </c>
      <c r="AA189" t="s">
        <v>421</v>
      </c>
      <c r="AB189" t="s">
        <v>14</v>
      </c>
      <c r="AC189" t="s">
        <v>24</v>
      </c>
      <c r="AD189">
        <v>70</v>
      </c>
      <c r="AF189" s="127">
        <v>17501</v>
      </c>
      <c r="AG189">
        <v>216</v>
      </c>
      <c r="AI189">
        <v>24</v>
      </c>
      <c r="AJ189">
        <v>25</v>
      </c>
    </row>
    <row r="190" spans="26:36" x14ac:dyDescent="0.25">
      <c r="Z190">
        <v>71</v>
      </c>
      <c r="AA190" t="s">
        <v>371</v>
      </c>
      <c r="AB190" t="s">
        <v>155</v>
      </c>
      <c r="AC190" t="s">
        <v>24</v>
      </c>
      <c r="AD190">
        <v>60</v>
      </c>
      <c r="AF190" s="127">
        <v>21037</v>
      </c>
      <c r="AG190">
        <v>71</v>
      </c>
      <c r="AI190">
        <v>24</v>
      </c>
      <c r="AJ190">
        <v>26</v>
      </c>
    </row>
    <row r="191" spans="26:36" x14ac:dyDescent="0.25">
      <c r="Z191">
        <v>138</v>
      </c>
      <c r="AA191" t="s">
        <v>897</v>
      </c>
      <c r="AB191" t="s">
        <v>12</v>
      </c>
      <c r="AC191" t="s">
        <v>23</v>
      </c>
      <c r="AD191">
        <v>26</v>
      </c>
      <c r="AF191" s="127">
        <v>33439</v>
      </c>
      <c r="AG191">
        <v>138</v>
      </c>
      <c r="AI191">
        <v>24</v>
      </c>
      <c r="AJ191">
        <v>30</v>
      </c>
    </row>
    <row r="192" spans="26:36" x14ac:dyDescent="0.25">
      <c r="Z192">
        <v>7</v>
      </c>
      <c r="AA192" t="s">
        <v>2347</v>
      </c>
      <c r="AB192" t="s">
        <v>505</v>
      </c>
      <c r="AC192" t="s">
        <v>23</v>
      </c>
      <c r="AD192">
        <v>26</v>
      </c>
      <c r="AF192" s="127">
        <v>33774</v>
      </c>
      <c r="AG192">
        <v>7</v>
      </c>
      <c r="AI192">
        <v>24</v>
      </c>
      <c r="AJ192">
        <v>30</v>
      </c>
    </row>
    <row r="193" spans="26:36" x14ac:dyDescent="0.25">
      <c r="Z193">
        <v>223</v>
      </c>
      <c r="AA193" t="s">
        <v>2348</v>
      </c>
      <c r="AB193" t="s">
        <v>505</v>
      </c>
      <c r="AC193" t="s">
        <v>23</v>
      </c>
      <c r="AD193">
        <v>35</v>
      </c>
      <c r="AF193" s="127">
        <v>30390</v>
      </c>
      <c r="AG193">
        <v>223</v>
      </c>
      <c r="AI193">
        <v>24</v>
      </c>
      <c r="AJ193">
        <v>30</v>
      </c>
    </row>
    <row r="194" spans="26:36" x14ac:dyDescent="0.25">
      <c r="Z194">
        <v>3</v>
      </c>
      <c r="AA194" t="s">
        <v>1784</v>
      </c>
      <c r="AB194" t="s">
        <v>12</v>
      </c>
      <c r="AC194" t="s">
        <v>24</v>
      </c>
      <c r="AD194">
        <v>45</v>
      </c>
      <c r="AF194" s="127">
        <v>26569</v>
      </c>
      <c r="AG194">
        <v>3</v>
      </c>
      <c r="AI194">
        <v>24</v>
      </c>
      <c r="AJ194">
        <v>32</v>
      </c>
    </row>
    <row r="195" spans="26:36" x14ac:dyDescent="0.25">
      <c r="Z195">
        <v>310</v>
      </c>
      <c r="AA195" t="s">
        <v>1900</v>
      </c>
      <c r="AB195" t="s">
        <v>14</v>
      </c>
      <c r="AC195" t="s">
        <v>23</v>
      </c>
      <c r="AD195">
        <v>39</v>
      </c>
      <c r="AF195" s="127">
        <v>28775</v>
      </c>
      <c r="AG195">
        <v>310</v>
      </c>
      <c r="AI195">
        <v>24</v>
      </c>
      <c r="AJ195">
        <v>34</v>
      </c>
    </row>
    <row r="196" spans="26:36" x14ac:dyDescent="0.25">
      <c r="Z196">
        <v>316</v>
      </c>
      <c r="AA196" t="s">
        <v>2349</v>
      </c>
      <c r="AB196" t="s">
        <v>63</v>
      </c>
      <c r="AC196" t="s">
        <v>24</v>
      </c>
      <c r="AD196">
        <v>39</v>
      </c>
      <c r="AF196" s="127">
        <v>28962</v>
      </c>
      <c r="AG196">
        <v>316</v>
      </c>
      <c r="AI196">
        <v>24</v>
      </c>
      <c r="AJ196">
        <v>34</v>
      </c>
    </row>
    <row r="197" spans="26:36" x14ac:dyDescent="0.25">
      <c r="Z197">
        <v>294</v>
      </c>
      <c r="AA197" t="s">
        <v>2350</v>
      </c>
      <c r="AB197" t="s">
        <v>505</v>
      </c>
      <c r="AC197" t="s">
        <v>24</v>
      </c>
      <c r="AD197">
        <v>27</v>
      </c>
      <c r="AF197" s="127">
        <v>33078</v>
      </c>
      <c r="AG197">
        <v>294</v>
      </c>
      <c r="AI197">
        <v>24</v>
      </c>
      <c r="AJ197">
        <v>35</v>
      </c>
    </row>
    <row r="198" spans="26:36" x14ac:dyDescent="0.25">
      <c r="Z198">
        <v>60</v>
      </c>
      <c r="AA198" t="s">
        <v>379</v>
      </c>
      <c r="AB198" t="s">
        <v>12</v>
      </c>
      <c r="AC198" t="s">
        <v>23</v>
      </c>
      <c r="AD198">
        <v>42</v>
      </c>
      <c r="AF198" s="127">
        <v>27771</v>
      </c>
      <c r="AG198">
        <v>60</v>
      </c>
      <c r="AI198">
        <v>24</v>
      </c>
      <c r="AJ198">
        <v>37</v>
      </c>
    </row>
    <row r="199" spans="26:36" x14ac:dyDescent="0.25">
      <c r="Z199">
        <v>156</v>
      </c>
      <c r="AA199" t="s">
        <v>2351</v>
      </c>
      <c r="AB199" t="s">
        <v>154</v>
      </c>
      <c r="AC199" t="s">
        <v>23</v>
      </c>
      <c r="AD199">
        <v>37</v>
      </c>
      <c r="AF199" s="127">
        <v>29679</v>
      </c>
      <c r="AG199">
        <v>156</v>
      </c>
      <c r="AI199">
        <v>24</v>
      </c>
      <c r="AJ199">
        <v>40</v>
      </c>
    </row>
    <row r="200" spans="26:36" x14ac:dyDescent="0.25">
      <c r="Z200">
        <v>330</v>
      </c>
      <c r="AA200" t="s">
        <v>2352</v>
      </c>
      <c r="AB200" t="s">
        <v>14</v>
      </c>
      <c r="AC200" t="s">
        <v>24</v>
      </c>
      <c r="AD200">
        <v>44</v>
      </c>
      <c r="AF200" s="127">
        <v>27033</v>
      </c>
      <c r="AG200">
        <v>330</v>
      </c>
      <c r="AI200">
        <v>24</v>
      </c>
      <c r="AJ200">
        <v>47</v>
      </c>
    </row>
    <row r="201" spans="26:36" x14ac:dyDescent="0.25">
      <c r="Z201">
        <v>308</v>
      </c>
      <c r="AA201" t="s">
        <v>2353</v>
      </c>
      <c r="AB201" t="s">
        <v>154</v>
      </c>
      <c r="AC201" t="s">
        <v>23</v>
      </c>
      <c r="AD201">
        <v>47</v>
      </c>
      <c r="AF201" s="127">
        <v>26004</v>
      </c>
      <c r="AG201">
        <v>308</v>
      </c>
      <c r="AI201">
        <v>24</v>
      </c>
      <c r="AJ201">
        <v>48</v>
      </c>
    </row>
    <row r="202" spans="26:36" x14ac:dyDescent="0.25">
      <c r="Z202">
        <v>259</v>
      </c>
      <c r="AA202" t="s">
        <v>1740</v>
      </c>
      <c r="AB202" t="s">
        <v>12</v>
      </c>
      <c r="AC202" t="s">
        <v>23</v>
      </c>
      <c r="AD202">
        <v>37</v>
      </c>
      <c r="AF202" s="127">
        <v>29407</v>
      </c>
      <c r="AG202">
        <v>259</v>
      </c>
      <c r="AI202">
        <v>24</v>
      </c>
      <c r="AJ202">
        <v>50</v>
      </c>
    </row>
    <row r="203" spans="26:36" x14ac:dyDescent="0.25">
      <c r="Z203">
        <v>18</v>
      </c>
      <c r="AA203" t="s">
        <v>1751</v>
      </c>
      <c r="AB203" t="s">
        <v>63</v>
      </c>
      <c r="AC203" t="s">
        <v>24</v>
      </c>
      <c r="AD203">
        <v>48</v>
      </c>
      <c r="AF203" s="127">
        <v>25385</v>
      </c>
      <c r="AG203">
        <v>18</v>
      </c>
      <c r="AI203">
        <v>24</v>
      </c>
      <c r="AJ203">
        <v>50</v>
      </c>
    </row>
    <row r="204" spans="26:36" x14ac:dyDescent="0.25">
      <c r="Z204">
        <v>147</v>
      </c>
      <c r="AA204" t="s">
        <v>2227</v>
      </c>
      <c r="AB204" t="s">
        <v>154</v>
      </c>
      <c r="AC204" t="s">
        <v>23</v>
      </c>
      <c r="AD204">
        <v>36</v>
      </c>
      <c r="AF204" s="127">
        <v>29805</v>
      </c>
      <c r="AG204">
        <v>147</v>
      </c>
      <c r="AI204">
        <v>24</v>
      </c>
      <c r="AJ204">
        <v>52</v>
      </c>
    </row>
    <row r="205" spans="26:36" x14ac:dyDescent="0.25">
      <c r="Z205">
        <v>368</v>
      </c>
      <c r="AA205" t="s">
        <v>188</v>
      </c>
      <c r="AB205" t="s">
        <v>108</v>
      </c>
      <c r="AC205" t="s">
        <v>23</v>
      </c>
      <c r="AD205">
        <v>29</v>
      </c>
      <c r="AF205" s="127">
        <v>32599</v>
      </c>
      <c r="AG205">
        <v>368</v>
      </c>
      <c r="AI205">
        <v>24</v>
      </c>
      <c r="AJ205">
        <v>54</v>
      </c>
    </row>
    <row r="206" spans="26:36" x14ac:dyDescent="0.25">
      <c r="Z206">
        <v>84</v>
      </c>
      <c r="AA206" t="s">
        <v>1452</v>
      </c>
      <c r="AB206" t="s">
        <v>14</v>
      </c>
      <c r="AC206" t="s">
        <v>23</v>
      </c>
      <c r="AD206">
        <v>44</v>
      </c>
      <c r="AF206" s="127">
        <v>26894</v>
      </c>
      <c r="AG206">
        <v>84</v>
      </c>
      <c r="AI206">
        <v>24</v>
      </c>
      <c r="AJ206">
        <v>57</v>
      </c>
    </row>
    <row r="207" spans="26:36" x14ac:dyDescent="0.25">
      <c r="Z207">
        <v>324</v>
      </c>
      <c r="AA207" t="s">
        <v>2223</v>
      </c>
      <c r="AB207" t="s">
        <v>38</v>
      </c>
      <c r="AC207" t="s">
        <v>23</v>
      </c>
      <c r="AD207">
        <v>46</v>
      </c>
      <c r="AF207" s="127">
        <v>26106</v>
      </c>
      <c r="AG207">
        <v>324</v>
      </c>
      <c r="AI207">
        <v>24</v>
      </c>
      <c r="AJ207">
        <v>58</v>
      </c>
    </row>
    <row r="208" spans="26:36" x14ac:dyDescent="0.25">
      <c r="Z208">
        <v>209</v>
      </c>
      <c r="AA208" t="s">
        <v>281</v>
      </c>
      <c r="AB208" t="s">
        <v>155</v>
      </c>
      <c r="AC208" t="s">
        <v>23</v>
      </c>
      <c r="AD208">
        <v>42</v>
      </c>
      <c r="AF208" s="127">
        <v>27723</v>
      </c>
      <c r="AG208">
        <v>209</v>
      </c>
      <c r="AI208">
        <v>24</v>
      </c>
      <c r="AJ208">
        <v>59</v>
      </c>
    </row>
    <row r="209" spans="26:36" x14ac:dyDescent="0.25">
      <c r="Z209">
        <v>342</v>
      </c>
      <c r="AA209" t="s">
        <v>2354</v>
      </c>
      <c r="AB209" t="s">
        <v>505</v>
      </c>
      <c r="AC209" t="s">
        <v>24</v>
      </c>
      <c r="AD209">
        <v>54</v>
      </c>
      <c r="AF209" s="127">
        <v>23547</v>
      </c>
      <c r="AG209">
        <v>342</v>
      </c>
      <c r="AI209">
        <v>25</v>
      </c>
      <c r="AJ209">
        <v>3</v>
      </c>
    </row>
    <row r="210" spans="26:36" x14ac:dyDescent="0.25">
      <c r="Z210">
        <v>101</v>
      </c>
      <c r="AA210" t="s">
        <v>794</v>
      </c>
      <c r="AB210" t="s">
        <v>108</v>
      </c>
      <c r="AC210" t="s">
        <v>23</v>
      </c>
      <c r="AD210">
        <v>26</v>
      </c>
      <c r="AF210" s="127">
        <v>33585</v>
      </c>
      <c r="AG210">
        <v>101</v>
      </c>
      <c r="AI210">
        <v>25</v>
      </c>
      <c r="AJ210">
        <v>10</v>
      </c>
    </row>
    <row r="211" spans="26:36" x14ac:dyDescent="0.25">
      <c r="Z211">
        <v>199</v>
      </c>
      <c r="AA211" t="s">
        <v>2295</v>
      </c>
      <c r="AB211" t="s">
        <v>38</v>
      </c>
      <c r="AC211" t="s">
        <v>24</v>
      </c>
      <c r="AD211">
        <v>48</v>
      </c>
      <c r="AF211" s="127">
        <v>25384</v>
      </c>
      <c r="AG211">
        <v>199</v>
      </c>
      <c r="AI211">
        <v>25</v>
      </c>
      <c r="AJ211">
        <v>10</v>
      </c>
    </row>
    <row r="212" spans="26:36" x14ac:dyDescent="0.25">
      <c r="Z212">
        <v>207</v>
      </c>
      <c r="AA212" t="s">
        <v>2355</v>
      </c>
      <c r="AB212" t="s">
        <v>14</v>
      </c>
      <c r="AC212" t="s">
        <v>23</v>
      </c>
      <c r="AD212">
        <v>48</v>
      </c>
      <c r="AF212" s="127">
        <v>25390</v>
      </c>
      <c r="AG212">
        <v>207</v>
      </c>
      <c r="AI212">
        <v>25</v>
      </c>
      <c r="AJ212">
        <v>12</v>
      </c>
    </row>
    <row r="213" spans="26:36" x14ac:dyDescent="0.25">
      <c r="Z213">
        <v>83</v>
      </c>
      <c r="AA213" t="s">
        <v>2356</v>
      </c>
      <c r="AB213" t="s">
        <v>63</v>
      </c>
      <c r="AC213" t="s">
        <v>23</v>
      </c>
      <c r="AD213">
        <v>35</v>
      </c>
      <c r="AF213" s="127">
        <v>30210</v>
      </c>
      <c r="AG213">
        <v>83</v>
      </c>
      <c r="AI213">
        <v>25</v>
      </c>
      <c r="AJ213">
        <v>13</v>
      </c>
    </row>
    <row r="214" spans="26:36" x14ac:dyDescent="0.25">
      <c r="Z214">
        <v>432</v>
      </c>
      <c r="AA214" t="s">
        <v>524</v>
      </c>
      <c r="AB214" t="s">
        <v>63</v>
      </c>
      <c r="AC214" t="s">
        <v>24</v>
      </c>
      <c r="AD214">
        <v>36</v>
      </c>
      <c r="AF214" s="127">
        <v>29845</v>
      </c>
      <c r="AG214">
        <v>432</v>
      </c>
      <c r="AI214">
        <v>25</v>
      </c>
      <c r="AJ214">
        <v>16</v>
      </c>
    </row>
    <row r="215" spans="26:36" x14ac:dyDescent="0.25">
      <c r="Z215">
        <v>241</v>
      </c>
      <c r="AA215" t="s">
        <v>182</v>
      </c>
      <c r="AB215" t="s">
        <v>12</v>
      </c>
      <c r="AC215" t="s">
        <v>24</v>
      </c>
      <c r="AD215">
        <v>47</v>
      </c>
      <c r="AF215" s="127">
        <v>26023</v>
      </c>
      <c r="AG215">
        <v>241</v>
      </c>
      <c r="AI215">
        <v>25</v>
      </c>
      <c r="AJ215">
        <v>18</v>
      </c>
    </row>
    <row r="216" spans="26:36" x14ac:dyDescent="0.25">
      <c r="Z216">
        <v>293</v>
      </c>
      <c r="AA216" t="s">
        <v>1897</v>
      </c>
      <c r="AB216" t="s">
        <v>1400</v>
      </c>
      <c r="AC216" t="s">
        <v>24</v>
      </c>
      <c r="AD216">
        <v>46</v>
      </c>
      <c r="AF216" s="127">
        <v>26310</v>
      </c>
      <c r="AG216">
        <v>293</v>
      </c>
      <c r="AI216">
        <v>25</v>
      </c>
      <c r="AJ216">
        <v>20</v>
      </c>
    </row>
    <row r="217" spans="26:36" x14ac:dyDescent="0.25">
      <c r="Z217">
        <v>228</v>
      </c>
      <c r="AA217" t="s">
        <v>2225</v>
      </c>
      <c r="AB217" t="s">
        <v>38</v>
      </c>
      <c r="AC217" t="s">
        <v>23</v>
      </c>
      <c r="AD217">
        <v>42</v>
      </c>
      <c r="AF217" s="127">
        <v>27856</v>
      </c>
      <c r="AG217">
        <v>228</v>
      </c>
      <c r="AI217">
        <v>25</v>
      </c>
      <c r="AJ217">
        <v>31</v>
      </c>
    </row>
    <row r="218" spans="26:36" x14ac:dyDescent="0.25">
      <c r="Z218">
        <v>185</v>
      </c>
      <c r="AA218" t="s">
        <v>1777</v>
      </c>
      <c r="AB218" t="s">
        <v>12</v>
      </c>
      <c r="AC218" t="s">
        <v>23</v>
      </c>
      <c r="AD218">
        <v>33</v>
      </c>
      <c r="AF218" s="127">
        <v>31172</v>
      </c>
      <c r="AG218">
        <v>185</v>
      </c>
      <c r="AI218">
        <v>25</v>
      </c>
      <c r="AJ218">
        <v>32</v>
      </c>
    </row>
    <row r="219" spans="26:36" x14ac:dyDescent="0.25">
      <c r="Z219">
        <v>398</v>
      </c>
      <c r="AA219" t="s">
        <v>2147</v>
      </c>
      <c r="AB219" t="s">
        <v>63</v>
      </c>
      <c r="AC219" t="s">
        <v>23</v>
      </c>
      <c r="AD219">
        <v>25</v>
      </c>
      <c r="AF219" s="127">
        <v>34053</v>
      </c>
      <c r="AG219">
        <v>398</v>
      </c>
      <c r="AI219">
        <v>25</v>
      </c>
      <c r="AJ219">
        <v>32</v>
      </c>
    </row>
    <row r="220" spans="26:36" x14ac:dyDescent="0.25">
      <c r="Z220">
        <v>93</v>
      </c>
      <c r="AA220" t="s">
        <v>1867</v>
      </c>
      <c r="AB220" t="s">
        <v>817</v>
      </c>
      <c r="AC220" t="s">
        <v>24</v>
      </c>
      <c r="AD220">
        <v>26</v>
      </c>
      <c r="AF220" s="127">
        <v>33721</v>
      </c>
      <c r="AG220">
        <v>93</v>
      </c>
      <c r="AI220">
        <v>25</v>
      </c>
      <c r="AJ220">
        <v>33</v>
      </c>
    </row>
    <row r="221" spans="26:36" x14ac:dyDescent="0.25">
      <c r="Z221">
        <v>298</v>
      </c>
      <c r="AA221" t="s">
        <v>2284</v>
      </c>
      <c r="AB221" t="s">
        <v>505</v>
      </c>
      <c r="AC221" t="s">
        <v>23</v>
      </c>
      <c r="AD221">
        <v>30</v>
      </c>
      <c r="AF221" s="127">
        <v>32228</v>
      </c>
      <c r="AG221">
        <v>298</v>
      </c>
      <c r="AI221">
        <v>25</v>
      </c>
      <c r="AJ221">
        <v>33</v>
      </c>
    </row>
    <row r="222" spans="26:36" x14ac:dyDescent="0.25">
      <c r="Z222">
        <v>171</v>
      </c>
      <c r="AA222" t="s">
        <v>2357</v>
      </c>
      <c r="AB222" t="s">
        <v>154</v>
      </c>
      <c r="AC222" t="s">
        <v>23</v>
      </c>
      <c r="AD222">
        <v>35</v>
      </c>
      <c r="AF222" s="127">
        <v>30144</v>
      </c>
      <c r="AG222">
        <v>171</v>
      </c>
      <c r="AI222">
        <v>25</v>
      </c>
      <c r="AJ222">
        <v>34</v>
      </c>
    </row>
    <row r="223" spans="26:36" x14ac:dyDescent="0.25">
      <c r="Z223">
        <v>13</v>
      </c>
      <c r="AA223" t="s">
        <v>1182</v>
      </c>
      <c r="AB223" t="s">
        <v>63</v>
      </c>
      <c r="AC223" t="s">
        <v>23</v>
      </c>
      <c r="AD223">
        <v>64</v>
      </c>
      <c r="AF223" s="127">
        <v>19834</v>
      </c>
      <c r="AG223">
        <v>13</v>
      </c>
      <c r="AI223">
        <v>25</v>
      </c>
      <c r="AJ223">
        <v>36</v>
      </c>
    </row>
    <row r="224" spans="26:36" x14ac:dyDescent="0.25">
      <c r="Z224">
        <v>291</v>
      </c>
      <c r="AA224" t="s">
        <v>276</v>
      </c>
      <c r="AB224" t="s">
        <v>63</v>
      </c>
      <c r="AC224" t="s">
        <v>23</v>
      </c>
      <c r="AD224">
        <v>44</v>
      </c>
      <c r="AF224" s="127">
        <v>26899</v>
      </c>
      <c r="AG224">
        <v>291</v>
      </c>
      <c r="AI224">
        <v>25</v>
      </c>
      <c r="AJ224">
        <v>37</v>
      </c>
    </row>
    <row r="225" spans="26:36" x14ac:dyDescent="0.25">
      <c r="Z225">
        <v>289</v>
      </c>
      <c r="AA225" t="s">
        <v>1896</v>
      </c>
      <c r="AB225" t="s">
        <v>505</v>
      </c>
      <c r="AC225" t="s">
        <v>23</v>
      </c>
      <c r="AD225">
        <v>39</v>
      </c>
      <c r="AF225" s="127">
        <v>29012</v>
      </c>
      <c r="AG225">
        <v>289</v>
      </c>
      <c r="AI225">
        <v>25</v>
      </c>
      <c r="AJ225">
        <v>39</v>
      </c>
    </row>
    <row r="226" spans="26:36" x14ac:dyDescent="0.25">
      <c r="Z226">
        <v>255</v>
      </c>
      <c r="AA226" t="s">
        <v>2358</v>
      </c>
      <c r="AB226" t="s">
        <v>505</v>
      </c>
      <c r="AC226" t="s">
        <v>23</v>
      </c>
      <c r="AD226">
        <v>30</v>
      </c>
      <c r="AF226" s="127">
        <v>32109</v>
      </c>
      <c r="AG226">
        <v>255</v>
      </c>
      <c r="AI226">
        <v>25</v>
      </c>
      <c r="AJ226">
        <v>39</v>
      </c>
    </row>
    <row r="227" spans="26:36" x14ac:dyDescent="0.25">
      <c r="Z227">
        <v>163</v>
      </c>
      <c r="AA227" t="s">
        <v>1390</v>
      </c>
      <c r="AB227" t="s">
        <v>38</v>
      </c>
      <c r="AC227" t="s">
        <v>24</v>
      </c>
      <c r="AD227">
        <v>56</v>
      </c>
      <c r="AF227" s="127">
        <v>22525</v>
      </c>
      <c r="AG227">
        <v>163</v>
      </c>
      <c r="AI227">
        <v>25</v>
      </c>
      <c r="AJ227">
        <v>41</v>
      </c>
    </row>
    <row r="228" spans="26:36" x14ac:dyDescent="0.25">
      <c r="Z228">
        <v>200</v>
      </c>
      <c r="AA228" t="s">
        <v>2296</v>
      </c>
      <c r="AB228" t="s">
        <v>38</v>
      </c>
      <c r="AC228" t="s">
        <v>24</v>
      </c>
      <c r="AD228">
        <v>19</v>
      </c>
      <c r="AF228" s="127">
        <v>35995</v>
      </c>
      <c r="AG228">
        <v>200</v>
      </c>
      <c r="AI228">
        <v>25</v>
      </c>
      <c r="AJ228">
        <v>43</v>
      </c>
    </row>
    <row r="229" spans="26:36" x14ac:dyDescent="0.25">
      <c r="Z229">
        <v>313</v>
      </c>
      <c r="AA229" t="s">
        <v>2359</v>
      </c>
      <c r="AB229" t="s">
        <v>63</v>
      </c>
      <c r="AC229" t="s">
        <v>23</v>
      </c>
      <c r="AD229">
        <v>23</v>
      </c>
      <c r="AF229" s="127">
        <v>34584</v>
      </c>
      <c r="AG229">
        <v>313</v>
      </c>
      <c r="AI229">
        <v>25</v>
      </c>
      <c r="AJ229">
        <v>44</v>
      </c>
    </row>
    <row r="230" spans="26:36" x14ac:dyDescent="0.25">
      <c r="Z230">
        <v>58</v>
      </c>
      <c r="AA230" t="s">
        <v>623</v>
      </c>
      <c r="AB230" t="s">
        <v>14</v>
      </c>
      <c r="AC230" t="s">
        <v>24</v>
      </c>
      <c r="AD230">
        <v>64</v>
      </c>
      <c r="AF230" s="127">
        <v>19774</v>
      </c>
      <c r="AG230">
        <v>58</v>
      </c>
      <c r="AI230">
        <v>25</v>
      </c>
      <c r="AJ230">
        <v>45</v>
      </c>
    </row>
    <row r="231" spans="26:36" x14ac:dyDescent="0.25">
      <c r="Z231">
        <v>356</v>
      </c>
      <c r="AA231" t="s">
        <v>1183</v>
      </c>
      <c r="AB231" t="s">
        <v>108</v>
      </c>
      <c r="AC231" t="s">
        <v>23</v>
      </c>
      <c r="AD231">
        <v>52</v>
      </c>
      <c r="AF231" s="127">
        <v>23938</v>
      </c>
      <c r="AG231">
        <v>356</v>
      </c>
      <c r="AI231">
        <v>25</v>
      </c>
      <c r="AJ231">
        <v>47</v>
      </c>
    </row>
    <row r="232" spans="26:36" x14ac:dyDescent="0.25">
      <c r="Z232">
        <v>280</v>
      </c>
      <c r="AA232" t="s">
        <v>1891</v>
      </c>
      <c r="AB232" t="s">
        <v>14</v>
      </c>
      <c r="AC232" t="s">
        <v>24</v>
      </c>
      <c r="AD232">
        <v>52</v>
      </c>
      <c r="AF232" s="127">
        <v>24046</v>
      </c>
      <c r="AG232">
        <v>280</v>
      </c>
      <c r="AI232">
        <v>25</v>
      </c>
      <c r="AJ232">
        <v>47</v>
      </c>
    </row>
    <row r="233" spans="26:36" x14ac:dyDescent="0.25">
      <c r="Z233">
        <v>248</v>
      </c>
      <c r="AA233" t="s">
        <v>749</v>
      </c>
      <c r="AB233" t="s">
        <v>14</v>
      </c>
      <c r="AC233" t="s">
        <v>23</v>
      </c>
      <c r="AD233">
        <v>55</v>
      </c>
      <c r="AF233" s="127">
        <v>22977</v>
      </c>
      <c r="AG233">
        <v>248</v>
      </c>
      <c r="AI233">
        <v>25</v>
      </c>
      <c r="AJ233">
        <v>50</v>
      </c>
    </row>
    <row r="234" spans="26:36" x14ac:dyDescent="0.25">
      <c r="Z234">
        <v>379</v>
      </c>
      <c r="AA234" t="s">
        <v>2224</v>
      </c>
      <c r="AB234" t="s">
        <v>1805</v>
      </c>
      <c r="AC234" t="s">
        <v>23</v>
      </c>
      <c r="AD234">
        <v>34</v>
      </c>
      <c r="AF234" s="127">
        <v>30581</v>
      </c>
      <c r="AG234">
        <v>379</v>
      </c>
      <c r="AI234">
        <v>25</v>
      </c>
      <c r="AJ234">
        <v>50</v>
      </c>
    </row>
    <row r="235" spans="26:36" x14ac:dyDescent="0.25">
      <c r="Z235">
        <v>382</v>
      </c>
      <c r="AA235" t="s">
        <v>453</v>
      </c>
      <c r="AB235" t="s">
        <v>108</v>
      </c>
      <c r="AC235" t="s">
        <v>24</v>
      </c>
      <c r="AD235">
        <v>66</v>
      </c>
      <c r="AF235" s="127">
        <v>19092</v>
      </c>
      <c r="AG235">
        <v>382</v>
      </c>
      <c r="AI235">
        <v>26</v>
      </c>
      <c r="AJ235">
        <v>0</v>
      </c>
    </row>
    <row r="236" spans="26:36" x14ac:dyDescent="0.25">
      <c r="Z236">
        <v>63</v>
      </c>
      <c r="AA236" t="s">
        <v>1660</v>
      </c>
      <c r="AB236" t="s">
        <v>43</v>
      </c>
      <c r="AC236" t="s">
        <v>24</v>
      </c>
      <c r="AD236">
        <v>29</v>
      </c>
      <c r="AF236" s="127">
        <v>32409</v>
      </c>
      <c r="AG236">
        <v>63</v>
      </c>
      <c r="AI236">
        <v>26</v>
      </c>
      <c r="AJ236">
        <v>0</v>
      </c>
    </row>
    <row r="237" spans="26:36" x14ac:dyDescent="0.25">
      <c r="Z237">
        <v>358</v>
      </c>
      <c r="AA237" t="s">
        <v>529</v>
      </c>
      <c r="AB237" t="s">
        <v>108</v>
      </c>
      <c r="AC237" t="s">
        <v>24</v>
      </c>
      <c r="AD237">
        <v>64</v>
      </c>
      <c r="AF237" s="127">
        <v>19868</v>
      </c>
      <c r="AG237">
        <v>358</v>
      </c>
      <c r="AI237">
        <v>26</v>
      </c>
      <c r="AJ237">
        <v>2</v>
      </c>
    </row>
    <row r="238" spans="26:36" x14ac:dyDescent="0.25">
      <c r="Z238">
        <v>33</v>
      </c>
      <c r="AA238" t="s">
        <v>1413</v>
      </c>
      <c r="AB238" t="s">
        <v>12</v>
      </c>
      <c r="AC238" t="s">
        <v>23</v>
      </c>
      <c r="AD238">
        <v>41</v>
      </c>
      <c r="AF238" s="127">
        <v>28096</v>
      </c>
      <c r="AG238">
        <v>33</v>
      </c>
      <c r="AI238">
        <v>26</v>
      </c>
      <c r="AJ238">
        <v>3</v>
      </c>
    </row>
    <row r="239" spans="26:36" x14ac:dyDescent="0.25">
      <c r="Z239">
        <v>303</v>
      </c>
      <c r="AA239" t="s">
        <v>2274</v>
      </c>
      <c r="AB239" t="s">
        <v>155</v>
      </c>
      <c r="AC239" t="s">
        <v>23</v>
      </c>
      <c r="AD239">
        <v>37</v>
      </c>
      <c r="AF239" s="127">
        <v>29410</v>
      </c>
      <c r="AG239">
        <v>303</v>
      </c>
      <c r="AI239">
        <v>26</v>
      </c>
      <c r="AJ239">
        <v>7</v>
      </c>
    </row>
    <row r="240" spans="26:36" x14ac:dyDescent="0.25">
      <c r="Z240">
        <v>194</v>
      </c>
      <c r="AA240" t="s">
        <v>279</v>
      </c>
      <c r="AB240" t="s">
        <v>108</v>
      </c>
      <c r="AC240" t="s">
        <v>23</v>
      </c>
      <c r="AD240">
        <v>61</v>
      </c>
      <c r="AF240" s="127">
        <v>20906</v>
      </c>
      <c r="AG240">
        <v>194</v>
      </c>
      <c r="AI240">
        <v>26</v>
      </c>
      <c r="AJ240">
        <v>11</v>
      </c>
    </row>
    <row r="241" spans="26:36" x14ac:dyDescent="0.25">
      <c r="Z241">
        <v>456</v>
      </c>
      <c r="AA241" t="s">
        <v>2360</v>
      </c>
      <c r="AB241" t="s">
        <v>12</v>
      </c>
      <c r="AC241" t="s">
        <v>24</v>
      </c>
      <c r="AD241">
        <v>44</v>
      </c>
      <c r="AF241" s="127">
        <v>27195</v>
      </c>
      <c r="AG241">
        <v>456</v>
      </c>
      <c r="AI241">
        <v>26</v>
      </c>
      <c r="AJ241">
        <v>19</v>
      </c>
    </row>
    <row r="242" spans="26:36" x14ac:dyDescent="0.25">
      <c r="Z242">
        <v>408</v>
      </c>
      <c r="AA242" t="s">
        <v>1380</v>
      </c>
      <c r="AB242" t="s">
        <v>12</v>
      </c>
      <c r="AC242" t="s">
        <v>23</v>
      </c>
      <c r="AD242">
        <v>31</v>
      </c>
      <c r="AF242" s="127">
        <v>31613</v>
      </c>
      <c r="AG242">
        <v>408</v>
      </c>
      <c r="AI242">
        <v>26</v>
      </c>
      <c r="AJ242">
        <v>21</v>
      </c>
    </row>
    <row r="243" spans="26:36" x14ac:dyDescent="0.25">
      <c r="Z243">
        <v>292</v>
      </c>
      <c r="AA243" t="s">
        <v>1002</v>
      </c>
      <c r="AB243" t="s">
        <v>14</v>
      </c>
      <c r="AC243" t="s">
        <v>24</v>
      </c>
      <c r="AD243">
        <v>60</v>
      </c>
      <c r="AF243" s="127">
        <v>21103</v>
      </c>
      <c r="AG243">
        <v>292</v>
      </c>
      <c r="AI243">
        <v>26</v>
      </c>
      <c r="AJ243">
        <v>24</v>
      </c>
    </row>
    <row r="244" spans="26:36" x14ac:dyDescent="0.25">
      <c r="Z244">
        <v>10</v>
      </c>
      <c r="AA244" t="s">
        <v>2361</v>
      </c>
      <c r="AB244" t="s">
        <v>12</v>
      </c>
      <c r="AC244" t="s">
        <v>23</v>
      </c>
      <c r="AD244">
        <v>40</v>
      </c>
      <c r="AF244" s="127">
        <v>28300</v>
      </c>
      <c r="AG244">
        <v>10</v>
      </c>
      <c r="AI244">
        <v>26</v>
      </c>
      <c r="AJ244">
        <v>27</v>
      </c>
    </row>
    <row r="245" spans="26:36" x14ac:dyDescent="0.25">
      <c r="Z245">
        <v>112</v>
      </c>
      <c r="AA245" t="s">
        <v>2362</v>
      </c>
      <c r="AB245" t="s">
        <v>154</v>
      </c>
      <c r="AC245" t="s">
        <v>24</v>
      </c>
      <c r="AD245">
        <v>42</v>
      </c>
      <c r="AF245" s="127">
        <v>27701</v>
      </c>
      <c r="AG245">
        <v>112</v>
      </c>
      <c r="AI245">
        <v>26</v>
      </c>
      <c r="AJ245">
        <v>29</v>
      </c>
    </row>
    <row r="246" spans="26:36" x14ac:dyDescent="0.25">
      <c r="Z246">
        <v>412</v>
      </c>
      <c r="AA246" t="s">
        <v>2150</v>
      </c>
      <c r="AB246" t="s">
        <v>12</v>
      </c>
      <c r="AC246" t="s">
        <v>23</v>
      </c>
      <c r="AD246">
        <v>38</v>
      </c>
      <c r="AF246" s="127">
        <v>29291</v>
      </c>
      <c r="AG246">
        <v>412</v>
      </c>
      <c r="AI246">
        <v>26</v>
      </c>
      <c r="AJ246">
        <v>29</v>
      </c>
    </row>
    <row r="247" spans="26:36" x14ac:dyDescent="0.25">
      <c r="Z247">
        <v>431</v>
      </c>
      <c r="AA247" t="s">
        <v>1780</v>
      </c>
      <c r="AB247" t="s">
        <v>12</v>
      </c>
      <c r="AC247" t="s">
        <v>23</v>
      </c>
      <c r="AD247">
        <v>26</v>
      </c>
      <c r="AF247" s="127">
        <v>33760</v>
      </c>
      <c r="AG247">
        <v>431</v>
      </c>
      <c r="AI247">
        <v>26</v>
      </c>
      <c r="AJ247">
        <v>33</v>
      </c>
    </row>
    <row r="248" spans="26:36" x14ac:dyDescent="0.25">
      <c r="Z248">
        <v>90</v>
      </c>
      <c r="AA248" t="s">
        <v>2363</v>
      </c>
      <c r="AB248" t="s">
        <v>154</v>
      </c>
      <c r="AC248" t="s">
        <v>23</v>
      </c>
      <c r="AD248">
        <v>48</v>
      </c>
      <c r="AF248" s="127">
        <v>25593</v>
      </c>
      <c r="AG248">
        <v>90</v>
      </c>
      <c r="AI248">
        <v>26</v>
      </c>
      <c r="AJ248">
        <v>37</v>
      </c>
    </row>
    <row r="249" spans="26:36" x14ac:dyDescent="0.25">
      <c r="Z249">
        <v>295</v>
      </c>
      <c r="AA249" t="s">
        <v>2141</v>
      </c>
      <c r="AB249" t="s">
        <v>154</v>
      </c>
      <c r="AC249" t="s">
        <v>24</v>
      </c>
      <c r="AD249">
        <v>64</v>
      </c>
      <c r="AF249" s="127">
        <v>19612</v>
      </c>
      <c r="AG249">
        <v>295</v>
      </c>
      <c r="AI249">
        <v>26</v>
      </c>
      <c r="AJ249">
        <v>38</v>
      </c>
    </row>
    <row r="250" spans="26:36" x14ac:dyDescent="0.25">
      <c r="Z250">
        <v>29</v>
      </c>
      <c r="AA250" t="s">
        <v>2235</v>
      </c>
      <c r="AB250" t="s">
        <v>155</v>
      </c>
      <c r="AC250" t="s">
        <v>24</v>
      </c>
      <c r="AD250">
        <v>38</v>
      </c>
      <c r="AF250" s="127">
        <v>29106</v>
      </c>
      <c r="AG250">
        <v>29</v>
      </c>
      <c r="AI250">
        <v>26</v>
      </c>
      <c r="AJ250">
        <v>39</v>
      </c>
    </row>
    <row r="251" spans="26:36" x14ac:dyDescent="0.25">
      <c r="Z251">
        <v>240</v>
      </c>
      <c r="AA251" t="s">
        <v>2364</v>
      </c>
      <c r="AB251" t="s">
        <v>505</v>
      </c>
      <c r="AC251" t="s">
        <v>23</v>
      </c>
      <c r="AD251">
        <v>44</v>
      </c>
      <c r="AF251" s="127">
        <v>27197</v>
      </c>
      <c r="AG251">
        <v>240</v>
      </c>
      <c r="AI251">
        <v>26</v>
      </c>
      <c r="AJ251">
        <v>39</v>
      </c>
    </row>
    <row r="252" spans="26:36" x14ac:dyDescent="0.25">
      <c r="Z252">
        <v>109</v>
      </c>
      <c r="AA252" t="s">
        <v>174</v>
      </c>
      <c r="AB252" t="s">
        <v>12</v>
      </c>
      <c r="AC252" t="s">
        <v>23</v>
      </c>
      <c r="AD252">
        <v>61</v>
      </c>
      <c r="AF252" s="127">
        <v>20853</v>
      </c>
      <c r="AG252">
        <v>109</v>
      </c>
      <c r="AI252">
        <v>26</v>
      </c>
      <c r="AJ252">
        <v>39</v>
      </c>
    </row>
    <row r="253" spans="26:36" x14ac:dyDescent="0.25">
      <c r="Z253">
        <v>47</v>
      </c>
      <c r="AA253" t="s">
        <v>2128</v>
      </c>
      <c r="AB253" t="s">
        <v>63</v>
      </c>
      <c r="AC253" t="s">
        <v>24</v>
      </c>
      <c r="AD253">
        <v>27</v>
      </c>
      <c r="AF253" s="127">
        <v>33112</v>
      </c>
      <c r="AG253">
        <v>47</v>
      </c>
      <c r="AI253">
        <v>26</v>
      </c>
      <c r="AJ253">
        <v>41</v>
      </c>
    </row>
    <row r="254" spans="26:36" x14ac:dyDescent="0.25">
      <c r="Z254">
        <v>252</v>
      </c>
      <c r="AA254" t="s">
        <v>232</v>
      </c>
      <c r="AB254" t="s">
        <v>38</v>
      </c>
      <c r="AC254" t="s">
        <v>24</v>
      </c>
      <c r="AD254">
        <v>43</v>
      </c>
      <c r="AF254" s="127">
        <v>27243</v>
      </c>
      <c r="AG254">
        <v>252</v>
      </c>
      <c r="AI254">
        <v>26</v>
      </c>
      <c r="AJ254">
        <v>41</v>
      </c>
    </row>
    <row r="255" spans="26:36" x14ac:dyDescent="0.25">
      <c r="Z255">
        <v>355</v>
      </c>
      <c r="AA255" t="s">
        <v>1681</v>
      </c>
      <c r="AB255" t="s">
        <v>12</v>
      </c>
      <c r="AC255" t="s">
        <v>23</v>
      </c>
      <c r="AD255">
        <v>40</v>
      </c>
      <c r="AF255" s="127">
        <v>28632</v>
      </c>
      <c r="AG255">
        <v>355</v>
      </c>
      <c r="AI255">
        <v>26</v>
      </c>
      <c r="AJ255">
        <v>42</v>
      </c>
    </row>
    <row r="256" spans="26:36" x14ac:dyDescent="0.25">
      <c r="Z256">
        <v>224</v>
      </c>
      <c r="AA256" t="s">
        <v>511</v>
      </c>
      <c r="AB256" t="s">
        <v>12</v>
      </c>
      <c r="AC256" t="s">
        <v>23</v>
      </c>
      <c r="AD256">
        <v>59</v>
      </c>
      <c r="AF256" s="127">
        <v>21703</v>
      </c>
      <c r="AG256">
        <v>224</v>
      </c>
      <c r="AI256">
        <v>26</v>
      </c>
      <c r="AJ256">
        <v>52</v>
      </c>
    </row>
    <row r="257" spans="26:36" x14ac:dyDescent="0.25">
      <c r="Z257">
        <v>334</v>
      </c>
      <c r="AA257" t="s">
        <v>2233</v>
      </c>
      <c r="AB257" t="s">
        <v>38</v>
      </c>
      <c r="AC257" t="s">
        <v>24</v>
      </c>
      <c r="AD257">
        <v>54</v>
      </c>
      <c r="AF257" s="127">
        <v>23242</v>
      </c>
      <c r="AG257">
        <v>334</v>
      </c>
      <c r="AI257">
        <v>26</v>
      </c>
      <c r="AJ257">
        <v>54</v>
      </c>
    </row>
    <row r="258" spans="26:36" x14ac:dyDescent="0.25">
      <c r="Z258">
        <v>77</v>
      </c>
      <c r="AA258" t="s">
        <v>280</v>
      </c>
      <c r="AB258" t="s">
        <v>155</v>
      </c>
      <c r="AC258" t="s">
        <v>23</v>
      </c>
      <c r="AD258">
        <v>44</v>
      </c>
      <c r="AF258" s="127">
        <v>26975</v>
      </c>
      <c r="AG258">
        <v>77</v>
      </c>
      <c r="AI258">
        <v>26</v>
      </c>
      <c r="AJ258">
        <v>55</v>
      </c>
    </row>
    <row r="259" spans="26:36" x14ac:dyDescent="0.25">
      <c r="Z259">
        <v>260</v>
      </c>
      <c r="AA259" t="s">
        <v>1105</v>
      </c>
      <c r="AB259" t="s">
        <v>43</v>
      </c>
      <c r="AC259" t="s">
        <v>24</v>
      </c>
      <c r="AD259">
        <v>68</v>
      </c>
      <c r="AF259" s="127">
        <v>18325</v>
      </c>
      <c r="AG259">
        <v>260</v>
      </c>
      <c r="AI259">
        <v>26</v>
      </c>
      <c r="AJ259">
        <v>57</v>
      </c>
    </row>
    <row r="260" spans="26:36" x14ac:dyDescent="0.25">
      <c r="Z260">
        <v>285</v>
      </c>
      <c r="AA260" t="s">
        <v>258</v>
      </c>
      <c r="AB260" t="s">
        <v>12</v>
      </c>
      <c r="AC260" t="s">
        <v>23</v>
      </c>
      <c r="AD260">
        <v>56</v>
      </c>
      <c r="AF260" s="127">
        <v>22659</v>
      </c>
      <c r="AG260">
        <v>285</v>
      </c>
      <c r="AI260">
        <v>26</v>
      </c>
      <c r="AJ260">
        <v>58</v>
      </c>
    </row>
    <row r="261" spans="26:36" x14ac:dyDescent="0.25">
      <c r="Z261">
        <v>390</v>
      </c>
      <c r="AA261" t="s">
        <v>1420</v>
      </c>
      <c r="AB261" t="s">
        <v>155</v>
      </c>
      <c r="AC261" t="s">
        <v>24</v>
      </c>
      <c r="AD261">
        <v>24</v>
      </c>
      <c r="AF261" s="127">
        <v>34505</v>
      </c>
      <c r="AG261">
        <v>390</v>
      </c>
      <c r="AI261">
        <v>27</v>
      </c>
      <c r="AJ261">
        <v>2</v>
      </c>
    </row>
    <row r="262" spans="26:36" x14ac:dyDescent="0.25">
      <c r="Z262">
        <v>157</v>
      </c>
      <c r="AA262" t="s">
        <v>2365</v>
      </c>
      <c r="AB262" t="s">
        <v>14</v>
      </c>
      <c r="AC262" t="s">
        <v>23</v>
      </c>
      <c r="AD262">
        <v>52</v>
      </c>
      <c r="AF262" s="127">
        <v>24058</v>
      </c>
      <c r="AG262">
        <v>157</v>
      </c>
      <c r="AI262">
        <v>27</v>
      </c>
      <c r="AJ262">
        <v>3</v>
      </c>
    </row>
    <row r="263" spans="26:36" x14ac:dyDescent="0.25">
      <c r="Z263">
        <v>57</v>
      </c>
      <c r="AA263" t="s">
        <v>437</v>
      </c>
      <c r="AB263" t="s">
        <v>12</v>
      </c>
      <c r="AC263" t="s">
        <v>24</v>
      </c>
      <c r="AD263">
        <v>67</v>
      </c>
      <c r="AF263" s="127">
        <v>18740</v>
      </c>
      <c r="AG263">
        <v>57</v>
      </c>
      <c r="AI263">
        <v>27</v>
      </c>
      <c r="AJ263">
        <v>6</v>
      </c>
    </row>
    <row r="264" spans="26:36" x14ac:dyDescent="0.25">
      <c r="Z264">
        <v>180</v>
      </c>
      <c r="AA264" t="s">
        <v>2236</v>
      </c>
      <c r="AB264" t="s">
        <v>1805</v>
      </c>
      <c r="AC264" t="s">
        <v>23</v>
      </c>
      <c r="AD264">
        <v>38</v>
      </c>
      <c r="AF264" s="127">
        <v>29236</v>
      </c>
      <c r="AG264">
        <v>180</v>
      </c>
      <c r="AI264">
        <v>27</v>
      </c>
      <c r="AJ264">
        <v>9</v>
      </c>
    </row>
    <row r="265" spans="26:36" x14ac:dyDescent="0.25">
      <c r="Z265">
        <v>420</v>
      </c>
      <c r="AA265" t="s">
        <v>452</v>
      </c>
      <c r="AB265" t="s">
        <v>12</v>
      </c>
      <c r="AC265" t="s">
        <v>23</v>
      </c>
      <c r="AD265">
        <v>41</v>
      </c>
      <c r="AF265" s="127">
        <v>27962</v>
      </c>
      <c r="AG265">
        <v>420</v>
      </c>
      <c r="AI265">
        <v>27</v>
      </c>
      <c r="AJ265">
        <v>10</v>
      </c>
    </row>
    <row r="266" spans="26:36" x14ac:dyDescent="0.25">
      <c r="Z266">
        <v>76</v>
      </c>
      <c r="AA266" t="s">
        <v>2366</v>
      </c>
      <c r="AB266" t="s">
        <v>155</v>
      </c>
      <c r="AC266" t="s">
        <v>23</v>
      </c>
      <c r="AD266">
        <v>48</v>
      </c>
      <c r="AF266" s="127">
        <v>25506</v>
      </c>
      <c r="AG266">
        <v>76</v>
      </c>
      <c r="AI266">
        <v>27</v>
      </c>
      <c r="AJ266">
        <v>11</v>
      </c>
    </row>
    <row r="267" spans="26:36" x14ac:dyDescent="0.25">
      <c r="Z267">
        <v>458</v>
      </c>
      <c r="AA267" t="s">
        <v>2367</v>
      </c>
      <c r="AB267" t="s">
        <v>505</v>
      </c>
      <c r="AC267" t="s">
        <v>23</v>
      </c>
      <c r="AD267">
        <v>28</v>
      </c>
      <c r="AF267" s="127">
        <v>32785</v>
      </c>
      <c r="AG267">
        <v>458</v>
      </c>
      <c r="AI267">
        <v>27</v>
      </c>
      <c r="AJ267">
        <v>17</v>
      </c>
    </row>
    <row r="268" spans="26:36" x14ac:dyDescent="0.25">
      <c r="Z268">
        <v>40</v>
      </c>
      <c r="AA268" t="s">
        <v>327</v>
      </c>
      <c r="AB268" t="s">
        <v>43</v>
      </c>
      <c r="AC268" t="s">
        <v>24</v>
      </c>
      <c r="AD268">
        <v>42</v>
      </c>
      <c r="AF268" s="127">
        <v>27918</v>
      </c>
      <c r="AG268">
        <v>40</v>
      </c>
      <c r="AI268">
        <v>27</v>
      </c>
      <c r="AJ268">
        <v>28</v>
      </c>
    </row>
    <row r="269" spans="26:36" x14ac:dyDescent="0.25">
      <c r="Z269">
        <v>115</v>
      </c>
      <c r="AA269" t="s">
        <v>1769</v>
      </c>
      <c r="AB269" t="s">
        <v>63</v>
      </c>
      <c r="AC269" t="s">
        <v>23</v>
      </c>
      <c r="AD269">
        <v>50</v>
      </c>
      <c r="AF269" s="127">
        <v>24777</v>
      </c>
      <c r="AG269">
        <v>115</v>
      </c>
      <c r="AI269">
        <v>27</v>
      </c>
      <c r="AJ269">
        <v>29</v>
      </c>
    </row>
    <row r="270" spans="26:36" x14ac:dyDescent="0.25">
      <c r="Z270">
        <v>404</v>
      </c>
      <c r="AA270" t="s">
        <v>380</v>
      </c>
      <c r="AB270" t="s">
        <v>43</v>
      </c>
      <c r="AC270" t="s">
        <v>23</v>
      </c>
      <c r="AD270">
        <v>43</v>
      </c>
      <c r="AF270" s="127">
        <v>27388</v>
      </c>
      <c r="AG270">
        <v>404</v>
      </c>
      <c r="AI270">
        <v>27</v>
      </c>
      <c r="AJ270">
        <v>34</v>
      </c>
    </row>
    <row r="271" spans="26:36" x14ac:dyDescent="0.25">
      <c r="Z271">
        <v>1</v>
      </c>
      <c r="AA271" t="s">
        <v>566</v>
      </c>
      <c r="AB271" t="s">
        <v>154</v>
      </c>
      <c r="AC271" t="s">
        <v>23</v>
      </c>
      <c r="AD271">
        <v>43</v>
      </c>
      <c r="AF271" s="127">
        <v>27239</v>
      </c>
      <c r="AG271">
        <v>1</v>
      </c>
      <c r="AI271">
        <v>27</v>
      </c>
      <c r="AJ271">
        <v>35</v>
      </c>
    </row>
    <row r="272" spans="26:36" x14ac:dyDescent="0.25">
      <c r="Z272">
        <v>400</v>
      </c>
      <c r="AA272" t="s">
        <v>2288</v>
      </c>
      <c r="AB272" t="s">
        <v>63</v>
      </c>
      <c r="AC272" t="s">
        <v>23</v>
      </c>
      <c r="AD272">
        <v>50</v>
      </c>
      <c r="AF272" s="127">
        <v>24849</v>
      </c>
      <c r="AG272">
        <v>400</v>
      </c>
      <c r="AI272">
        <v>27</v>
      </c>
      <c r="AJ272">
        <v>37</v>
      </c>
    </row>
    <row r="273" spans="26:36" x14ac:dyDescent="0.25">
      <c r="Z273">
        <v>41</v>
      </c>
      <c r="AA273" t="s">
        <v>1861</v>
      </c>
      <c r="AB273" t="s">
        <v>12</v>
      </c>
      <c r="AC273" t="s">
        <v>23</v>
      </c>
      <c r="AD273">
        <v>30</v>
      </c>
      <c r="AF273" s="127">
        <v>32141</v>
      </c>
      <c r="AG273">
        <v>41</v>
      </c>
      <c r="AI273">
        <v>27</v>
      </c>
      <c r="AJ273">
        <v>38</v>
      </c>
    </row>
    <row r="274" spans="26:36" x14ac:dyDescent="0.25">
      <c r="Z274">
        <v>158</v>
      </c>
      <c r="AA274" t="s">
        <v>2368</v>
      </c>
      <c r="AB274" t="s">
        <v>155</v>
      </c>
      <c r="AC274" t="s">
        <v>23</v>
      </c>
      <c r="AD274">
        <v>20</v>
      </c>
      <c r="AF274" s="127">
        <v>35715</v>
      </c>
      <c r="AG274">
        <v>158</v>
      </c>
      <c r="AI274">
        <v>27</v>
      </c>
      <c r="AJ274">
        <v>42</v>
      </c>
    </row>
    <row r="275" spans="26:36" x14ac:dyDescent="0.25">
      <c r="Z275">
        <v>271</v>
      </c>
      <c r="AA275" t="s">
        <v>2369</v>
      </c>
      <c r="AB275" t="s">
        <v>505</v>
      </c>
      <c r="AC275" t="s">
        <v>23</v>
      </c>
      <c r="AD275">
        <v>27</v>
      </c>
      <c r="AF275" s="127">
        <v>33179</v>
      </c>
      <c r="AG275">
        <v>271</v>
      </c>
      <c r="AI275">
        <v>27</v>
      </c>
      <c r="AJ275">
        <v>43</v>
      </c>
    </row>
    <row r="276" spans="26:36" x14ac:dyDescent="0.25">
      <c r="Z276">
        <v>377</v>
      </c>
      <c r="AA276" t="s">
        <v>218</v>
      </c>
      <c r="AB276" t="s">
        <v>38</v>
      </c>
      <c r="AC276" t="s">
        <v>24</v>
      </c>
      <c r="AD276">
        <v>72</v>
      </c>
      <c r="AF276" s="127">
        <v>16849</v>
      </c>
      <c r="AG276">
        <v>377</v>
      </c>
      <c r="AI276">
        <v>27</v>
      </c>
      <c r="AJ276">
        <v>43</v>
      </c>
    </row>
    <row r="277" spans="26:36" x14ac:dyDescent="0.25">
      <c r="Z277">
        <v>389</v>
      </c>
      <c r="AA277" t="s">
        <v>2279</v>
      </c>
      <c r="AB277" t="s">
        <v>38</v>
      </c>
      <c r="AC277" t="s">
        <v>23</v>
      </c>
      <c r="AD277">
        <v>50</v>
      </c>
      <c r="AF277" s="127">
        <v>24936</v>
      </c>
      <c r="AG277">
        <v>389</v>
      </c>
      <c r="AI277">
        <v>27</v>
      </c>
      <c r="AJ277">
        <v>47</v>
      </c>
    </row>
    <row r="278" spans="26:36" x14ac:dyDescent="0.25">
      <c r="Z278">
        <v>45</v>
      </c>
      <c r="AA278" t="s">
        <v>1591</v>
      </c>
      <c r="AB278" t="s">
        <v>12</v>
      </c>
      <c r="AC278" t="s">
        <v>23</v>
      </c>
      <c r="AD278">
        <v>52</v>
      </c>
      <c r="AF278" s="127">
        <v>23951</v>
      </c>
      <c r="AG278">
        <v>45</v>
      </c>
      <c r="AI278">
        <v>27</v>
      </c>
      <c r="AJ278">
        <v>47</v>
      </c>
    </row>
    <row r="279" spans="26:36" x14ac:dyDescent="0.25">
      <c r="Z279">
        <v>213</v>
      </c>
      <c r="AA279" t="s">
        <v>2234</v>
      </c>
      <c r="AB279" t="s">
        <v>1805</v>
      </c>
      <c r="AC279" t="s">
        <v>23</v>
      </c>
      <c r="AD279">
        <v>38</v>
      </c>
      <c r="AF279" s="127">
        <v>29289</v>
      </c>
      <c r="AG279">
        <v>213</v>
      </c>
      <c r="AI279">
        <v>27</v>
      </c>
      <c r="AJ279">
        <v>48</v>
      </c>
    </row>
    <row r="280" spans="26:36" x14ac:dyDescent="0.25">
      <c r="Z280">
        <v>374</v>
      </c>
      <c r="AA280" t="s">
        <v>1743</v>
      </c>
      <c r="AB280" t="s">
        <v>154</v>
      </c>
      <c r="AC280" t="s">
        <v>23</v>
      </c>
      <c r="AD280">
        <v>45</v>
      </c>
      <c r="AF280" s="127">
        <v>26665</v>
      </c>
      <c r="AG280">
        <v>374</v>
      </c>
      <c r="AI280">
        <v>27</v>
      </c>
      <c r="AJ280">
        <v>48</v>
      </c>
    </row>
    <row r="281" spans="26:36" x14ac:dyDescent="0.25">
      <c r="Z281">
        <v>436</v>
      </c>
      <c r="AA281" t="s">
        <v>2004</v>
      </c>
      <c r="AB281" t="s">
        <v>505</v>
      </c>
      <c r="AC281" t="s">
        <v>23</v>
      </c>
      <c r="AD281">
        <v>20</v>
      </c>
      <c r="AF281" s="127">
        <v>35807</v>
      </c>
      <c r="AG281">
        <v>436</v>
      </c>
      <c r="AI281">
        <v>27</v>
      </c>
      <c r="AJ281">
        <v>49</v>
      </c>
    </row>
    <row r="282" spans="26:36" x14ac:dyDescent="0.25">
      <c r="Z282">
        <v>61</v>
      </c>
      <c r="AA282" t="s">
        <v>2370</v>
      </c>
      <c r="AB282" t="s">
        <v>154</v>
      </c>
      <c r="AC282" t="s">
        <v>23</v>
      </c>
      <c r="AD282">
        <v>30</v>
      </c>
      <c r="AF282" s="127">
        <v>32009</v>
      </c>
      <c r="AG282">
        <v>61</v>
      </c>
      <c r="AI282">
        <v>27</v>
      </c>
      <c r="AJ282">
        <v>50</v>
      </c>
    </row>
    <row r="283" spans="26:36" x14ac:dyDescent="0.25">
      <c r="Z283">
        <v>349</v>
      </c>
      <c r="AA283" t="s">
        <v>2287</v>
      </c>
      <c r="AB283" t="s">
        <v>1805</v>
      </c>
      <c r="AC283" t="s">
        <v>24</v>
      </c>
      <c r="AD283">
        <v>65</v>
      </c>
      <c r="AF283" s="127">
        <v>19178</v>
      </c>
      <c r="AG283">
        <v>349</v>
      </c>
      <c r="AI283">
        <v>27</v>
      </c>
      <c r="AJ283">
        <v>52</v>
      </c>
    </row>
    <row r="284" spans="26:36" x14ac:dyDescent="0.25">
      <c r="Z284">
        <v>74</v>
      </c>
      <c r="AA284" t="s">
        <v>2371</v>
      </c>
      <c r="AB284" t="s">
        <v>14</v>
      </c>
      <c r="AC284" t="s">
        <v>23</v>
      </c>
      <c r="AD284">
        <v>52</v>
      </c>
      <c r="AF284" s="127">
        <v>23993</v>
      </c>
      <c r="AG284">
        <v>74</v>
      </c>
      <c r="AI284">
        <v>27</v>
      </c>
      <c r="AJ284">
        <v>52</v>
      </c>
    </row>
    <row r="285" spans="26:36" x14ac:dyDescent="0.25">
      <c r="Z285">
        <v>197</v>
      </c>
      <c r="AA285" t="s">
        <v>1884</v>
      </c>
      <c r="AB285" t="s">
        <v>12</v>
      </c>
      <c r="AC285" t="s">
        <v>23</v>
      </c>
      <c r="AD285">
        <v>43</v>
      </c>
      <c r="AF285" s="127">
        <v>27328</v>
      </c>
      <c r="AG285">
        <v>197</v>
      </c>
      <c r="AI285">
        <v>27</v>
      </c>
      <c r="AJ285">
        <v>52</v>
      </c>
    </row>
    <row r="286" spans="26:36" x14ac:dyDescent="0.25">
      <c r="Z286">
        <v>91</v>
      </c>
      <c r="AA286" t="s">
        <v>2372</v>
      </c>
      <c r="AB286" t="s">
        <v>12</v>
      </c>
      <c r="AC286" t="s">
        <v>23</v>
      </c>
      <c r="AD286">
        <v>41</v>
      </c>
      <c r="AF286" s="127">
        <v>28007</v>
      </c>
      <c r="AG286">
        <v>91</v>
      </c>
      <c r="AI286">
        <v>27</v>
      </c>
      <c r="AJ286">
        <v>54</v>
      </c>
    </row>
    <row r="287" spans="26:36" x14ac:dyDescent="0.25">
      <c r="Z287">
        <v>12</v>
      </c>
      <c r="AA287" t="s">
        <v>242</v>
      </c>
      <c r="AB287" t="s">
        <v>63</v>
      </c>
      <c r="AC287" t="s">
        <v>24</v>
      </c>
      <c r="AD287">
        <v>42</v>
      </c>
      <c r="AF287" s="127">
        <v>27894</v>
      </c>
      <c r="AG287">
        <v>12</v>
      </c>
      <c r="AI287">
        <v>27</v>
      </c>
      <c r="AJ287">
        <v>57</v>
      </c>
    </row>
    <row r="288" spans="26:36" x14ac:dyDescent="0.25">
      <c r="Z288">
        <v>343</v>
      </c>
      <c r="AA288" t="s">
        <v>179</v>
      </c>
      <c r="AB288" t="s">
        <v>505</v>
      </c>
      <c r="AC288" t="s">
        <v>23</v>
      </c>
      <c r="AD288">
        <v>48</v>
      </c>
      <c r="AF288" s="127">
        <v>25400</v>
      </c>
      <c r="AG288">
        <v>343</v>
      </c>
      <c r="AI288">
        <v>27</v>
      </c>
      <c r="AJ288">
        <v>59</v>
      </c>
    </row>
    <row r="289" spans="26:36" x14ac:dyDescent="0.25">
      <c r="Z289">
        <v>55</v>
      </c>
      <c r="AA289" t="s">
        <v>385</v>
      </c>
      <c r="AB289" t="s">
        <v>12</v>
      </c>
      <c r="AC289" t="s">
        <v>23</v>
      </c>
      <c r="AD289">
        <v>54</v>
      </c>
      <c r="AF289" s="127">
        <v>23285</v>
      </c>
      <c r="AG289">
        <v>55</v>
      </c>
      <c r="AI289">
        <v>27</v>
      </c>
      <c r="AJ289">
        <v>59</v>
      </c>
    </row>
    <row r="290" spans="26:36" x14ac:dyDescent="0.25">
      <c r="Z290">
        <v>268</v>
      </c>
      <c r="AA290" t="s">
        <v>2237</v>
      </c>
      <c r="AB290" t="s">
        <v>12</v>
      </c>
      <c r="AC290" t="s">
        <v>23</v>
      </c>
      <c r="AD290">
        <v>44</v>
      </c>
      <c r="AF290" s="127">
        <v>26974</v>
      </c>
      <c r="AG290">
        <v>268</v>
      </c>
      <c r="AI290">
        <v>27</v>
      </c>
      <c r="AJ290">
        <v>59</v>
      </c>
    </row>
    <row r="291" spans="26:36" x14ac:dyDescent="0.25">
      <c r="Z291">
        <v>449</v>
      </c>
      <c r="AA291" t="s">
        <v>462</v>
      </c>
      <c r="AB291" t="s">
        <v>505</v>
      </c>
      <c r="AC291" t="s">
        <v>24</v>
      </c>
      <c r="AD291">
        <v>62</v>
      </c>
      <c r="AF291" s="127">
        <v>20392</v>
      </c>
      <c r="AG291">
        <v>449</v>
      </c>
      <c r="AI291">
        <v>28</v>
      </c>
      <c r="AJ291">
        <v>4</v>
      </c>
    </row>
    <row r="292" spans="26:36" x14ac:dyDescent="0.25">
      <c r="Z292">
        <v>424</v>
      </c>
      <c r="AA292" t="s">
        <v>1991</v>
      </c>
      <c r="AB292" t="s">
        <v>63</v>
      </c>
      <c r="AC292" t="s">
        <v>23</v>
      </c>
      <c r="AD292">
        <v>27</v>
      </c>
      <c r="AF292" s="127">
        <v>33377</v>
      </c>
      <c r="AG292">
        <v>424</v>
      </c>
      <c r="AI292">
        <v>28</v>
      </c>
      <c r="AJ292">
        <v>5</v>
      </c>
    </row>
    <row r="293" spans="26:36" x14ac:dyDescent="0.25">
      <c r="Z293">
        <v>256</v>
      </c>
      <c r="AA293" t="s">
        <v>1772</v>
      </c>
      <c r="AB293" t="s">
        <v>108</v>
      </c>
      <c r="AC293" t="s">
        <v>23</v>
      </c>
      <c r="AD293">
        <v>34</v>
      </c>
      <c r="AF293" s="127">
        <v>30556</v>
      </c>
      <c r="AG293">
        <v>256</v>
      </c>
      <c r="AI293">
        <v>28</v>
      </c>
      <c r="AJ293">
        <v>6</v>
      </c>
    </row>
    <row r="294" spans="26:36" x14ac:dyDescent="0.25">
      <c r="Z294">
        <v>148</v>
      </c>
      <c r="AA294" t="s">
        <v>228</v>
      </c>
      <c r="AB294" t="s">
        <v>108</v>
      </c>
      <c r="AC294" t="s">
        <v>23</v>
      </c>
      <c r="AD294">
        <v>62</v>
      </c>
      <c r="AF294" s="127">
        <v>20300</v>
      </c>
      <c r="AG294">
        <v>148</v>
      </c>
      <c r="AI294">
        <v>28</v>
      </c>
      <c r="AJ294">
        <v>8</v>
      </c>
    </row>
    <row r="295" spans="26:36" x14ac:dyDescent="0.25">
      <c r="Z295">
        <v>113</v>
      </c>
      <c r="AA295" t="s">
        <v>1992</v>
      </c>
      <c r="AB295" t="s">
        <v>12</v>
      </c>
      <c r="AC295" t="s">
        <v>23</v>
      </c>
      <c r="AD295">
        <v>43</v>
      </c>
      <c r="AF295" s="127">
        <v>27466</v>
      </c>
      <c r="AG295">
        <v>113</v>
      </c>
      <c r="AI295">
        <v>28</v>
      </c>
      <c r="AJ295">
        <v>10</v>
      </c>
    </row>
    <row r="296" spans="26:36" x14ac:dyDescent="0.25">
      <c r="Z296">
        <v>62</v>
      </c>
      <c r="AA296" t="s">
        <v>1742</v>
      </c>
      <c r="AB296" t="s">
        <v>38</v>
      </c>
      <c r="AC296" t="s">
        <v>23</v>
      </c>
      <c r="AD296">
        <v>49</v>
      </c>
      <c r="AF296" s="127">
        <v>25232</v>
      </c>
      <c r="AG296">
        <v>62</v>
      </c>
      <c r="AI296">
        <v>28</v>
      </c>
      <c r="AJ296">
        <v>12</v>
      </c>
    </row>
    <row r="297" spans="26:36" x14ac:dyDescent="0.25">
      <c r="Z297">
        <v>245</v>
      </c>
      <c r="AA297" t="s">
        <v>2373</v>
      </c>
      <c r="AB297" t="s">
        <v>505</v>
      </c>
      <c r="AC297" t="s">
        <v>23</v>
      </c>
      <c r="AD297">
        <v>25</v>
      </c>
      <c r="AF297" s="127">
        <v>33908</v>
      </c>
      <c r="AG297">
        <v>245</v>
      </c>
      <c r="AI297">
        <v>28</v>
      </c>
      <c r="AJ297">
        <v>13</v>
      </c>
    </row>
    <row r="298" spans="26:36" x14ac:dyDescent="0.25">
      <c r="Z298">
        <v>117</v>
      </c>
      <c r="AA298" t="s">
        <v>1781</v>
      </c>
      <c r="AB298" t="s">
        <v>12</v>
      </c>
      <c r="AC298" t="s">
        <v>23</v>
      </c>
      <c r="AD298">
        <v>46</v>
      </c>
      <c r="AF298" s="127">
        <v>26200</v>
      </c>
      <c r="AG298">
        <v>117</v>
      </c>
      <c r="AI298">
        <v>28</v>
      </c>
      <c r="AJ298">
        <v>14</v>
      </c>
    </row>
    <row r="299" spans="26:36" x14ac:dyDescent="0.25">
      <c r="Z299">
        <v>383</v>
      </c>
      <c r="AA299" t="s">
        <v>683</v>
      </c>
      <c r="AB299" t="s">
        <v>43</v>
      </c>
      <c r="AC299" t="s">
        <v>24</v>
      </c>
      <c r="AD299">
        <v>62</v>
      </c>
      <c r="AF299" s="127">
        <v>20287</v>
      </c>
      <c r="AG299">
        <v>383</v>
      </c>
      <c r="AI299">
        <v>28</v>
      </c>
      <c r="AJ299">
        <v>16</v>
      </c>
    </row>
    <row r="300" spans="26:36" x14ac:dyDescent="0.25">
      <c r="Z300">
        <v>176</v>
      </c>
      <c r="AA300" t="s">
        <v>1133</v>
      </c>
      <c r="AB300" t="s">
        <v>38</v>
      </c>
      <c r="AC300" t="s">
        <v>23</v>
      </c>
      <c r="AD300">
        <v>48</v>
      </c>
      <c r="AF300" s="127">
        <v>25468</v>
      </c>
      <c r="AG300">
        <v>176</v>
      </c>
      <c r="AI300">
        <v>28</v>
      </c>
      <c r="AJ300">
        <v>16</v>
      </c>
    </row>
    <row r="301" spans="26:36" x14ac:dyDescent="0.25">
      <c r="Z301">
        <v>380</v>
      </c>
      <c r="AA301" t="s">
        <v>2374</v>
      </c>
      <c r="AB301" t="s">
        <v>505</v>
      </c>
      <c r="AC301" t="s">
        <v>24</v>
      </c>
      <c r="AD301">
        <v>27</v>
      </c>
      <c r="AF301" s="127">
        <v>33094</v>
      </c>
      <c r="AG301">
        <v>380</v>
      </c>
      <c r="AI301">
        <v>28</v>
      </c>
      <c r="AJ301">
        <v>20</v>
      </c>
    </row>
    <row r="302" spans="26:36" x14ac:dyDescent="0.25">
      <c r="Z302">
        <v>264</v>
      </c>
      <c r="AA302" t="s">
        <v>2311</v>
      </c>
      <c r="AB302" t="s">
        <v>63</v>
      </c>
      <c r="AC302" t="s">
        <v>23</v>
      </c>
      <c r="AD302">
        <v>28</v>
      </c>
      <c r="AF302" s="127">
        <v>32726</v>
      </c>
      <c r="AG302">
        <v>264</v>
      </c>
      <c r="AI302">
        <v>28</v>
      </c>
      <c r="AJ302">
        <v>21</v>
      </c>
    </row>
    <row r="303" spans="26:36" x14ac:dyDescent="0.25">
      <c r="Z303">
        <v>265</v>
      </c>
      <c r="AA303" t="s">
        <v>2375</v>
      </c>
      <c r="AB303" t="s">
        <v>505</v>
      </c>
      <c r="AC303" t="s">
        <v>23</v>
      </c>
      <c r="AD303">
        <v>33</v>
      </c>
      <c r="AF303" s="127">
        <v>30881</v>
      </c>
      <c r="AG303">
        <v>265</v>
      </c>
      <c r="AI303">
        <v>28</v>
      </c>
      <c r="AJ303">
        <v>22</v>
      </c>
    </row>
    <row r="304" spans="26:36" x14ac:dyDescent="0.25">
      <c r="Z304">
        <v>106</v>
      </c>
      <c r="AA304" t="s">
        <v>1455</v>
      </c>
      <c r="AB304" t="s">
        <v>154</v>
      </c>
      <c r="AC304" t="s">
        <v>23</v>
      </c>
      <c r="AD304">
        <v>47</v>
      </c>
      <c r="AF304" s="127">
        <v>25926</v>
      </c>
      <c r="AG304">
        <v>106</v>
      </c>
      <c r="AI304">
        <v>28</v>
      </c>
      <c r="AJ304">
        <v>24</v>
      </c>
    </row>
    <row r="305" spans="26:36" x14ac:dyDescent="0.25">
      <c r="Z305">
        <v>305</v>
      </c>
      <c r="AA305" t="s">
        <v>2272</v>
      </c>
      <c r="AB305" t="s">
        <v>155</v>
      </c>
      <c r="AC305" t="s">
        <v>23</v>
      </c>
      <c r="AD305">
        <v>44</v>
      </c>
      <c r="AF305" s="127">
        <v>27116</v>
      </c>
      <c r="AG305">
        <v>305</v>
      </c>
      <c r="AI305">
        <v>28</v>
      </c>
      <c r="AJ305">
        <v>27</v>
      </c>
    </row>
    <row r="306" spans="26:36" x14ac:dyDescent="0.25">
      <c r="Z306">
        <v>357</v>
      </c>
      <c r="AA306" t="s">
        <v>1159</v>
      </c>
      <c r="AB306" t="s">
        <v>155</v>
      </c>
      <c r="AC306" t="s">
        <v>23</v>
      </c>
      <c r="AD306">
        <v>48</v>
      </c>
      <c r="AF306" s="127">
        <v>25498</v>
      </c>
      <c r="AG306">
        <v>357</v>
      </c>
      <c r="AI306">
        <v>28</v>
      </c>
      <c r="AJ306">
        <v>28</v>
      </c>
    </row>
    <row r="307" spans="26:36" x14ac:dyDescent="0.25">
      <c r="Z307">
        <v>307</v>
      </c>
      <c r="AA307" t="s">
        <v>1670</v>
      </c>
      <c r="AB307" t="s">
        <v>505</v>
      </c>
      <c r="AC307" t="s">
        <v>24</v>
      </c>
      <c r="AD307">
        <v>44</v>
      </c>
      <c r="AF307" s="127">
        <v>27191</v>
      </c>
      <c r="AG307">
        <v>307</v>
      </c>
      <c r="AI307">
        <v>28</v>
      </c>
      <c r="AJ307">
        <v>41</v>
      </c>
    </row>
    <row r="308" spans="26:36" x14ac:dyDescent="0.25">
      <c r="Z308">
        <v>15</v>
      </c>
      <c r="AA308" t="s">
        <v>1348</v>
      </c>
      <c r="AB308" t="s">
        <v>12</v>
      </c>
      <c r="AC308" t="s">
        <v>24</v>
      </c>
      <c r="AD308">
        <v>75</v>
      </c>
      <c r="AF308" s="127">
        <v>15573</v>
      </c>
      <c r="AG308">
        <v>15</v>
      </c>
      <c r="AI308">
        <v>28</v>
      </c>
      <c r="AJ308">
        <v>41</v>
      </c>
    </row>
    <row r="309" spans="26:36" x14ac:dyDescent="0.25">
      <c r="Z309">
        <v>323</v>
      </c>
      <c r="AA309" t="s">
        <v>2239</v>
      </c>
      <c r="AB309" t="s">
        <v>63</v>
      </c>
      <c r="AC309" t="s">
        <v>23</v>
      </c>
      <c r="AD309">
        <v>32</v>
      </c>
      <c r="AF309" s="127">
        <v>31402</v>
      </c>
      <c r="AG309">
        <v>323</v>
      </c>
      <c r="AI309">
        <v>28</v>
      </c>
      <c r="AJ309">
        <v>44</v>
      </c>
    </row>
    <row r="310" spans="26:36" x14ac:dyDescent="0.25">
      <c r="Z310">
        <v>59</v>
      </c>
      <c r="AA310" t="s">
        <v>2293</v>
      </c>
      <c r="AB310" t="s">
        <v>38</v>
      </c>
      <c r="AC310" t="s">
        <v>23</v>
      </c>
      <c r="AD310">
        <v>26</v>
      </c>
      <c r="AF310" s="127">
        <v>33558</v>
      </c>
      <c r="AG310">
        <v>59</v>
      </c>
      <c r="AI310">
        <v>28</v>
      </c>
      <c r="AJ310">
        <v>48</v>
      </c>
    </row>
    <row r="311" spans="26:36" x14ac:dyDescent="0.25">
      <c r="Z311">
        <v>369</v>
      </c>
      <c r="AA311" t="s">
        <v>1484</v>
      </c>
      <c r="AB311" t="s">
        <v>38</v>
      </c>
      <c r="AC311" t="s">
        <v>24</v>
      </c>
      <c r="AD311">
        <v>56</v>
      </c>
      <c r="AF311" s="127">
        <v>22521</v>
      </c>
      <c r="AG311">
        <v>369</v>
      </c>
      <c r="AI311">
        <v>28</v>
      </c>
      <c r="AJ311">
        <v>48</v>
      </c>
    </row>
    <row r="312" spans="26:36" x14ac:dyDescent="0.25">
      <c r="Z312">
        <v>415</v>
      </c>
      <c r="AA312" t="s">
        <v>517</v>
      </c>
      <c r="AB312" t="s">
        <v>155</v>
      </c>
      <c r="AC312" t="s">
        <v>23</v>
      </c>
      <c r="AD312">
        <v>66</v>
      </c>
      <c r="AF312" s="127">
        <v>18941</v>
      </c>
      <c r="AG312">
        <v>415</v>
      </c>
      <c r="AI312">
        <v>28</v>
      </c>
      <c r="AJ312">
        <v>55</v>
      </c>
    </row>
    <row r="313" spans="26:36" x14ac:dyDescent="0.25">
      <c r="Z313">
        <v>269</v>
      </c>
      <c r="AA313" t="s">
        <v>2376</v>
      </c>
      <c r="AB313" t="s">
        <v>12</v>
      </c>
      <c r="AC313" t="s">
        <v>23</v>
      </c>
      <c r="AD313">
        <v>54</v>
      </c>
      <c r="AF313" s="127">
        <v>23549</v>
      </c>
      <c r="AG313">
        <v>269</v>
      </c>
      <c r="AI313">
        <v>29</v>
      </c>
      <c r="AJ313">
        <v>3</v>
      </c>
    </row>
    <row r="314" spans="26:36" x14ac:dyDescent="0.25">
      <c r="Z314">
        <v>97</v>
      </c>
      <c r="AA314" t="s">
        <v>853</v>
      </c>
      <c r="AB314" t="s">
        <v>43</v>
      </c>
      <c r="AC314" t="s">
        <v>24</v>
      </c>
      <c r="AD314">
        <v>45</v>
      </c>
      <c r="AF314" s="127">
        <v>26824</v>
      </c>
      <c r="AG314">
        <v>97</v>
      </c>
      <c r="AI314">
        <v>29</v>
      </c>
      <c r="AJ314">
        <v>9</v>
      </c>
    </row>
    <row r="315" spans="26:36" x14ac:dyDescent="0.25">
      <c r="Z315">
        <v>127</v>
      </c>
      <c r="AA315" t="s">
        <v>2291</v>
      </c>
      <c r="AB315" t="s">
        <v>108</v>
      </c>
      <c r="AC315" t="s">
        <v>24</v>
      </c>
      <c r="AD315">
        <v>58</v>
      </c>
      <c r="AF315" s="127">
        <v>21755</v>
      </c>
      <c r="AG315">
        <v>127</v>
      </c>
      <c r="AI315">
        <v>29</v>
      </c>
      <c r="AJ315">
        <v>9</v>
      </c>
    </row>
    <row r="316" spans="26:36" x14ac:dyDescent="0.25">
      <c r="Z316">
        <v>443</v>
      </c>
      <c r="AA316" t="s">
        <v>222</v>
      </c>
      <c r="AB316" t="s">
        <v>38</v>
      </c>
      <c r="AC316" t="s">
        <v>23</v>
      </c>
      <c r="AD316">
        <v>62</v>
      </c>
      <c r="AF316" s="127">
        <v>20565</v>
      </c>
      <c r="AG316">
        <v>443</v>
      </c>
      <c r="AI316">
        <v>29</v>
      </c>
      <c r="AJ316">
        <v>14</v>
      </c>
    </row>
    <row r="317" spans="26:36" x14ac:dyDescent="0.25">
      <c r="Z317">
        <v>345</v>
      </c>
      <c r="AA317" t="s">
        <v>1411</v>
      </c>
      <c r="AB317" t="s">
        <v>63</v>
      </c>
      <c r="AC317" t="s">
        <v>23</v>
      </c>
      <c r="AD317">
        <v>29</v>
      </c>
      <c r="AF317" s="127">
        <v>32567</v>
      </c>
      <c r="AG317">
        <v>345</v>
      </c>
      <c r="AI317">
        <v>29</v>
      </c>
      <c r="AJ317">
        <v>18</v>
      </c>
    </row>
    <row r="318" spans="26:36" x14ac:dyDescent="0.25">
      <c r="Z318">
        <v>211</v>
      </c>
      <c r="AA318" t="s">
        <v>195</v>
      </c>
      <c r="AB318" t="s">
        <v>108</v>
      </c>
      <c r="AC318" t="s">
        <v>24</v>
      </c>
      <c r="AD318">
        <v>57</v>
      </c>
      <c r="AF318" s="127">
        <v>22106</v>
      </c>
      <c r="AG318">
        <v>211</v>
      </c>
      <c r="AI318">
        <v>29</v>
      </c>
      <c r="AJ318">
        <v>21</v>
      </c>
    </row>
    <row r="319" spans="26:36" x14ac:dyDescent="0.25">
      <c r="Z319">
        <v>262</v>
      </c>
      <c r="AA319" t="s">
        <v>2377</v>
      </c>
      <c r="AB319" t="s">
        <v>12</v>
      </c>
      <c r="AC319" t="s">
        <v>23</v>
      </c>
      <c r="AD319">
        <v>40</v>
      </c>
      <c r="AF319" s="127">
        <v>28306</v>
      </c>
      <c r="AG319">
        <v>262</v>
      </c>
      <c r="AI319">
        <v>29</v>
      </c>
      <c r="AJ319">
        <v>24</v>
      </c>
    </row>
    <row r="320" spans="26:36" x14ac:dyDescent="0.25">
      <c r="Z320">
        <v>360</v>
      </c>
      <c r="AA320" t="s">
        <v>2378</v>
      </c>
      <c r="AB320" t="s">
        <v>2411</v>
      </c>
      <c r="AC320" t="s">
        <v>24</v>
      </c>
      <c r="AD320">
        <v>51</v>
      </c>
      <c r="AF320" s="127">
        <v>24597</v>
      </c>
      <c r="AG320">
        <v>360</v>
      </c>
      <c r="AI320">
        <v>29</v>
      </c>
      <c r="AJ320">
        <v>24</v>
      </c>
    </row>
    <row r="321" spans="26:36" x14ac:dyDescent="0.25">
      <c r="Z321">
        <v>376</v>
      </c>
      <c r="AA321" t="s">
        <v>2379</v>
      </c>
      <c r="AB321" t="s">
        <v>1805</v>
      </c>
      <c r="AC321" t="s">
        <v>23</v>
      </c>
      <c r="AD321">
        <v>30</v>
      </c>
      <c r="AF321" s="127">
        <v>32023</v>
      </c>
      <c r="AG321">
        <v>376</v>
      </c>
      <c r="AI321">
        <v>29</v>
      </c>
      <c r="AJ321">
        <v>24</v>
      </c>
    </row>
    <row r="322" spans="26:36" x14ac:dyDescent="0.25">
      <c r="Z322">
        <v>130</v>
      </c>
      <c r="AA322" t="s">
        <v>1758</v>
      </c>
      <c r="AB322" t="s">
        <v>63</v>
      </c>
      <c r="AC322" t="s">
        <v>23</v>
      </c>
      <c r="AD322">
        <v>30</v>
      </c>
      <c r="AF322" s="127">
        <v>32209</v>
      </c>
      <c r="AG322">
        <v>130</v>
      </c>
      <c r="AI322">
        <v>29</v>
      </c>
      <c r="AJ322">
        <v>26</v>
      </c>
    </row>
    <row r="323" spans="26:36" x14ac:dyDescent="0.25">
      <c r="Z323">
        <v>329</v>
      </c>
      <c r="AA323" t="s">
        <v>2380</v>
      </c>
      <c r="AB323" t="s">
        <v>154</v>
      </c>
      <c r="AC323" t="s">
        <v>23</v>
      </c>
      <c r="AD323">
        <v>37</v>
      </c>
      <c r="AF323" s="127">
        <v>29505</v>
      </c>
      <c r="AG323">
        <v>329</v>
      </c>
      <c r="AI323">
        <v>29</v>
      </c>
      <c r="AJ323">
        <v>37</v>
      </c>
    </row>
    <row r="324" spans="26:36" x14ac:dyDescent="0.25">
      <c r="Z324">
        <v>220</v>
      </c>
      <c r="AA324" t="s">
        <v>2381</v>
      </c>
      <c r="AB324" t="s">
        <v>12</v>
      </c>
      <c r="AC324" t="s">
        <v>24</v>
      </c>
      <c r="AD324">
        <v>57</v>
      </c>
      <c r="AF324" s="127">
        <v>22184</v>
      </c>
      <c r="AG324">
        <v>220</v>
      </c>
      <c r="AI324">
        <v>29</v>
      </c>
      <c r="AJ324">
        <v>41</v>
      </c>
    </row>
    <row r="325" spans="26:36" x14ac:dyDescent="0.25">
      <c r="Z325">
        <v>166</v>
      </c>
      <c r="AA325" t="s">
        <v>1366</v>
      </c>
      <c r="AB325" t="s">
        <v>38</v>
      </c>
      <c r="AC325" t="s">
        <v>23</v>
      </c>
      <c r="AD325">
        <v>45</v>
      </c>
      <c r="AF325" s="127">
        <v>26794</v>
      </c>
      <c r="AG325">
        <v>166</v>
      </c>
      <c r="AI325">
        <v>29</v>
      </c>
      <c r="AJ325">
        <v>41</v>
      </c>
    </row>
    <row r="326" spans="26:36" x14ac:dyDescent="0.25">
      <c r="Z326">
        <v>359</v>
      </c>
      <c r="AA326" t="s">
        <v>214</v>
      </c>
      <c r="AB326" t="s">
        <v>38</v>
      </c>
      <c r="AC326" t="s">
        <v>24</v>
      </c>
      <c r="AD326">
        <v>65</v>
      </c>
      <c r="AF326" s="127">
        <v>19455</v>
      </c>
      <c r="AG326">
        <v>359</v>
      </c>
      <c r="AI326">
        <v>29</v>
      </c>
      <c r="AJ326">
        <v>48</v>
      </c>
    </row>
    <row r="327" spans="26:36" x14ac:dyDescent="0.25">
      <c r="Z327">
        <v>341</v>
      </c>
      <c r="AA327" t="s">
        <v>2247</v>
      </c>
      <c r="AB327" t="s">
        <v>63</v>
      </c>
      <c r="AC327" t="s">
        <v>24</v>
      </c>
      <c r="AD327">
        <v>35</v>
      </c>
      <c r="AF327" s="127">
        <v>30229</v>
      </c>
      <c r="AG327">
        <v>341</v>
      </c>
      <c r="AI327">
        <v>29</v>
      </c>
      <c r="AJ327">
        <v>49</v>
      </c>
    </row>
    <row r="328" spans="26:36" x14ac:dyDescent="0.25">
      <c r="Z328">
        <v>279</v>
      </c>
      <c r="AA328" t="s">
        <v>2382</v>
      </c>
      <c r="AB328" t="s">
        <v>63</v>
      </c>
      <c r="AC328" t="s">
        <v>23</v>
      </c>
      <c r="AD328">
        <v>53</v>
      </c>
      <c r="AF328" s="127">
        <v>23802</v>
      </c>
      <c r="AG328">
        <v>279</v>
      </c>
      <c r="AI328">
        <v>29</v>
      </c>
      <c r="AJ328">
        <v>51</v>
      </c>
    </row>
    <row r="329" spans="26:36" x14ac:dyDescent="0.25">
      <c r="Z329">
        <v>28</v>
      </c>
      <c r="AA329" t="s">
        <v>2383</v>
      </c>
      <c r="AB329" t="s">
        <v>154</v>
      </c>
      <c r="AC329" t="s">
        <v>23</v>
      </c>
      <c r="AD329">
        <v>42</v>
      </c>
      <c r="AF329" s="127">
        <v>27814</v>
      </c>
      <c r="AG329">
        <v>28</v>
      </c>
      <c r="AI329">
        <v>29</v>
      </c>
      <c r="AJ329">
        <v>53</v>
      </c>
    </row>
    <row r="330" spans="26:36" x14ac:dyDescent="0.25">
      <c r="Z330">
        <v>460</v>
      </c>
      <c r="AA330" t="s">
        <v>2384</v>
      </c>
      <c r="AB330" t="s">
        <v>505</v>
      </c>
      <c r="AC330" t="s">
        <v>23</v>
      </c>
      <c r="AD330">
        <v>29</v>
      </c>
      <c r="AF330" s="127">
        <v>32741</v>
      </c>
      <c r="AG330">
        <v>460</v>
      </c>
      <c r="AI330">
        <v>29</v>
      </c>
      <c r="AJ330">
        <v>55</v>
      </c>
    </row>
    <row r="331" spans="26:36" x14ac:dyDescent="0.25">
      <c r="Z331">
        <v>150</v>
      </c>
      <c r="AA331" t="s">
        <v>1464</v>
      </c>
      <c r="AB331" t="s">
        <v>2412</v>
      </c>
      <c r="AC331" t="s">
        <v>24</v>
      </c>
      <c r="AD331">
        <v>55</v>
      </c>
      <c r="AF331" s="127">
        <v>23057</v>
      </c>
      <c r="AG331">
        <v>150</v>
      </c>
      <c r="AI331">
        <v>30</v>
      </c>
      <c r="AJ331">
        <v>4</v>
      </c>
    </row>
    <row r="332" spans="26:36" x14ac:dyDescent="0.25">
      <c r="Z332">
        <v>287</v>
      </c>
      <c r="AA332" t="s">
        <v>1195</v>
      </c>
      <c r="AB332" t="s">
        <v>505</v>
      </c>
      <c r="AC332" t="s">
        <v>23</v>
      </c>
      <c r="AD332">
        <v>34</v>
      </c>
      <c r="AF332" s="127">
        <v>30686</v>
      </c>
      <c r="AG332">
        <v>287</v>
      </c>
      <c r="AI332">
        <v>30</v>
      </c>
      <c r="AJ332">
        <v>9</v>
      </c>
    </row>
    <row r="333" spans="26:36" x14ac:dyDescent="0.25">
      <c r="Z333">
        <v>253</v>
      </c>
      <c r="AA333" t="s">
        <v>2027</v>
      </c>
      <c r="AB333" t="s">
        <v>1805</v>
      </c>
      <c r="AC333" t="s">
        <v>23</v>
      </c>
      <c r="AD333">
        <v>35</v>
      </c>
      <c r="AF333" s="127">
        <v>30321</v>
      </c>
      <c r="AG333">
        <v>253</v>
      </c>
      <c r="AI333">
        <v>30</v>
      </c>
      <c r="AJ333">
        <v>16</v>
      </c>
    </row>
    <row r="334" spans="26:36" x14ac:dyDescent="0.25">
      <c r="Z334">
        <v>284</v>
      </c>
      <c r="AA334" t="s">
        <v>2271</v>
      </c>
      <c r="AB334" t="s">
        <v>155</v>
      </c>
      <c r="AC334" t="s">
        <v>23</v>
      </c>
      <c r="AD334">
        <v>58</v>
      </c>
      <c r="AF334" s="127">
        <v>22051</v>
      </c>
      <c r="AG334">
        <v>284</v>
      </c>
      <c r="AI334">
        <v>30</v>
      </c>
      <c r="AJ334">
        <v>22</v>
      </c>
    </row>
    <row r="335" spans="26:36" x14ac:dyDescent="0.25">
      <c r="Z335">
        <v>95</v>
      </c>
      <c r="AA335" t="s">
        <v>578</v>
      </c>
      <c r="AB335" t="s">
        <v>43</v>
      </c>
      <c r="AC335" t="s">
        <v>23</v>
      </c>
      <c r="AD335">
        <v>39</v>
      </c>
      <c r="AF335" s="127">
        <v>28760</v>
      </c>
      <c r="AG335">
        <v>95</v>
      </c>
      <c r="AI335">
        <v>30</v>
      </c>
      <c r="AJ335">
        <v>23</v>
      </c>
    </row>
    <row r="336" spans="26:36" x14ac:dyDescent="0.25">
      <c r="Z336">
        <v>49</v>
      </c>
      <c r="AA336" t="s">
        <v>1513</v>
      </c>
      <c r="AB336" t="s">
        <v>108</v>
      </c>
      <c r="AC336" t="s">
        <v>23</v>
      </c>
      <c r="AD336">
        <v>50</v>
      </c>
      <c r="AF336" s="127">
        <v>24693</v>
      </c>
      <c r="AG336">
        <v>49</v>
      </c>
      <c r="AI336">
        <v>30</v>
      </c>
      <c r="AJ336">
        <v>25</v>
      </c>
    </row>
    <row r="337" spans="26:36" x14ac:dyDescent="0.25">
      <c r="Z337">
        <v>168</v>
      </c>
      <c r="AA337" t="s">
        <v>2162</v>
      </c>
      <c r="AB337" t="s">
        <v>38</v>
      </c>
      <c r="AC337" t="s">
        <v>23</v>
      </c>
      <c r="AD337">
        <v>60</v>
      </c>
      <c r="AF337" s="127">
        <v>21155</v>
      </c>
      <c r="AG337">
        <v>168</v>
      </c>
      <c r="AI337">
        <v>30</v>
      </c>
      <c r="AJ337">
        <v>33</v>
      </c>
    </row>
    <row r="338" spans="26:36" x14ac:dyDescent="0.25">
      <c r="Z338">
        <v>144</v>
      </c>
      <c r="AA338" t="s">
        <v>916</v>
      </c>
      <c r="AB338" t="s">
        <v>108</v>
      </c>
      <c r="AC338" t="s">
        <v>23</v>
      </c>
      <c r="AD338">
        <v>54</v>
      </c>
      <c r="AF338" s="127">
        <v>23481</v>
      </c>
      <c r="AG338">
        <v>144</v>
      </c>
      <c r="AI338">
        <v>30</v>
      </c>
      <c r="AJ338">
        <v>41</v>
      </c>
    </row>
    <row r="339" spans="26:36" x14ac:dyDescent="0.25">
      <c r="Z339">
        <v>362</v>
      </c>
      <c r="AA339" t="s">
        <v>2385</v>
      </c>
      <c r="AB339" t="s">
        <v>505</v>
      </c>
      <c r="AC339" t="s">
        <v>23</v>
      </c>
      <c r="AD339">
        <v>48</v>
      </c>
      <c r="AF339" s="127">
        <v>25573</v>
      </c>
      <c r="AG339">
        <v>362</v>
      </c>
      <c r="AI339">
        <v>30</v>
      </c>
      <c r="AJ339">
        <v>47</v>
      </c>
    </row>
    <row r="340" spans="26:36" x14ac:dyDescent="0.25">
      <c r="Z340">
        <v>26</v>
      </c>
      <c r="AA340" t="s">
        <v>2386</v>
      </c>
      <c r="AB340" t="s">
        <v>505</v>
      </c>
      <c r="AC340" t="s">
        <v>24</v>
      </c>
      <c r="AD340">
        <v>36</v>
      </c>
      <c r="AF340" s="127">
        <v>29768</v>
      </c>
      <c r="AG340">
        <v>26</v>
      </c>
      <c r="AI340">
        <v>30</v>
      </c>
      <c r="AJ340">
        <v>56</v>
      </c>
    </row>
    <row r="341" spans="26:36" x14ac:dyDescent="0.25">
      <c r="Z341">
        <v>8</v>
      </c>
      <c r="AA341" t="s">
        <v>2387</v>
      </c>
      <c r="AB341" t="s">
        <v>1805</v>
      </c>
      <c r="AC341" t="s">
        <v>24</v>
      </c>
      <c r="AD341">
        <v>33</v>
      </c>
      <c r="AF341" s="127">
        <v>30887</v>
      </c>
      <c r="AG341">
        <v>8</v>
      </c>
      <c r="AI341">
        <v>30</v>
      </c>
      <c r="AJ341">
        <v>58</v>
      </c>
    </row>
    <row r="342" spans="26:36" x14ac:dyDescent="0.25">
      <c r="Z342">
        <v>155</v>
      </c>
      <c r="AA342" t="s">
        <v>298</v>
      </c>
      <c r="AB342" t="s">
        <v>108</v>
      </c>
      <c r="AC342" t="s">
        <v>23</v>
      </c>
      <c r="AD342">
        <v>50</v>
      </c>
      <c r="AF342" s="127">
        <v>24855</v>
      </c>
      <c r="AG342">
        <v>155</v>
      </c>
      <c r="AI342">
        <v>31</v>
      </c>
      <c r="AJ342">
        <v>0</v>
      </c>
    </row>
    <row r="343" spans="26:36" x14ac:dyDescent="0.25">
      <c r="Z343">
        <v>344</v>
      </c>
      <c r="AA343" t="s">
        <v>1417</v>
      </c>
      <c r="AB343" t="s">
        <v>38</v>
      </c>
      <c r="AC343" t="s">
        <v>23</v>
      </c>
      <c r="AD343">
        <v>63</v>
      </c>
      <c r="AF343" s="127">
        <v>19916</v>
      </c>
      <c r="AG343">
        <v>344</v>
      </c>
      <c r="AI343">
        <v>31</v>
      </c>
      <c r="AJ343">
        <v>4</v>
      </c>
    </row>
    <row r="344" spans="26:36" x14ac:dyDescent="0.25">
      <c r="Z344">
        <v>414</v>
      </c>
      <c r="AA344" t="s">
        <v>525</v>
      </c>
      <c r="AB344" t="s">
        <v>43</v>
      </c>
      <c r="AC344" t="s">
        <v>24</v>
      </c>
      <c r="AD344">
        <v>42</v>
      </c>
      <c r="AF344" s="127">
        <v>27894</v>
      </c>
      <c r="AG344">
        <v>414</v>
      </c>
      <c r="AI344">
        <v>31</v>
      </c>
      <c r="AJ344">
        <v>13</v>
      </c>
    </row>
    <row r="345" spans="26:36" x14ac:dyDescent="0.25">
      <c r="Z345">
        <v>447</v>
      </c>
      <c r="AA345" t="s">
        <v>1920</v>
      </c>
      <c r="AB345" t="s">
        <v>154</v>
      </c>
      <c r="AC345" t="s">
        <v>23</v>
      </c>
      <c r="AD345">
        <v>39</v>
      </c>
      <c r="AF345" s="127">
        <v>28873</v>
      </c>
      <c r="AG345">
        <v>447</v>
      </c>
      <c r="AI345">
        <v>31</v>
      </c>
      <c r="AJ345">
        <v>21</v>
      </c>
    </row>
    <row r="346" spans="26:36" x14ac:dyDescent="0.25">
      <c r="Z346">
        <v>340</v>
      </c>
      <c r="AA346" t="s">
        <v>2388</v>
      </c>
      <c r="AB346" t="s">
        <v>505</v>
      </c>
      <c r="AC346" t="s">
        <v>24</v>
      </c>
      <c r="AD346">
        <v>30</v>
      </c>
      <c r="AF346" s="127">
        <v>32309</v>
      </c>
      <c r="AG346">
        <v>340</v>
      </c>
      <c r="AI346">
        <v>31</v>
      </c>
      <c r="AJ346">
        <v>25</v>
      </c>
    </row>
    <row r="347" spans="26:36" x14ac:dyDescent="0.25">
      <c r="Z347">
        <v>410</v>
      </c>
      <c r="AA347" t="s">
        <v>967</v>
      </c>
      <c r="AB347" t="s">
        <v>154</v>
      </c>
      <c r="AC347" t="s">
        <v>23</v>
      </c>
      <c r="AD347">
        <v>47</v>
      </c>
      <c r="AF347" s="127">
        <v>26043</v>
      </c>
      <c r="AG347">
        <v>410</v>
      </c>
      <c r="AI347">
        <v>31</v>
      </c>
      <c r="AJ347">
        <v>29</v>
      </c>
    </row>
    <row r="348" spans="26:36" x14ac:dyDescent="0.25">
      <c r="Z348">
        <v>99</v>
      </c>
      <c r="AA348" t="s">
        <v>1761</v>
      </c>
      <c r="AB348" t="s">
        <v>43</v>
      </c>
      <c r="AC348" t="s">
        <v>23</v>
      </c>
      <c r="AD348">
        <v>49</v>
      </c>
      <c r="AF348" s="127">
        <v>25348</v>
      </c>
      <c r="AG348">
        <v>99</v>
      </c>
      <c r="AI348">
        <v>31</v>
      </c>
      <c r="AJ348">
        <v>31</v>
      </c>
    </row>
    <row r="349" spans="26:36" x14ac:dyDescent="0.25">
      <c r="Z349">
        <v>237</v>
      </c>
      <c r="AA349" t="s">
        <v>2389</v>
      </c>
      <c r="AB349" t="s">
        <v>505</v>
      </c>
      <c r="AC349" t="s">
        <v>23</v>
      </c>
      <c r="AD349">
        <v>29</v>
      </c>
      <c r="AF349" s="127">
        <v>32423</v>
      </c>
      <c r="AG349">
        <v>237</v>
      </c>
      <c r="AI349">
        <v>31</v>
      </c>
      <c r="AJ349">
        <v>32</v>
      </c>
    </row>
    <row r="350" spans="26:36" x14ac:dyDescent="0.25">
      <c r="Z350">
        <v>301</v>
      </c>
      <c r="AA350" t="s">
        <v>1796</v>
      </c>
      <c r="AB350" t="s">
        <v>155</v>
      </c>
      <c r="AC350" t="s">
        <v>23</v>
      </c>
      <c r="AD350">
        <v>38</v>
      </c>
      <c r="AF350" s="127">
        <v>29038</v>
      </c>
      <c r="AG350">
        <v>301</v>
      </c>
      <c r="AI350">
        <v>31</v>
      </c>
      <c r="AJ350">
        <v>52</v>
      </c>
    </row>
    <row r="351" spans="26:36" x14ac:dyDescent="0.25">
      <c r="Z351">
        <v>236</v>
      </c>
      <c r="AA351" t="s">
        <v>2390</v>
      </c>
      <c r="AB351" t="s">
        <v>505</v>
      </c>
      <c r="AC351" t="s">
        <v>23</v>
      </c>
      <c r="AD351">
        <v>29</v>
      </c>
      <c r="AF351" s="127">
        <v>32578</v>
      </c>
      <c r="AG351">
        <v>236</v>
      </c>
      <c r="AI351">
        <v>32</v>
      </c>
      <c r="AJ351">
        <v>6</v>
      </c>
    </row>
    <row r="352" spans="26:36" x14ac:dyDescent="0.25">
      <c r="Z352">
        <v>297</v>
      </c>
      <c r="AA352" t="s">
        <v>2248</v>
      </c>
      <c r="AB352" t="s">
        <v>154</v>
      </c>
      <c r="AC352" t="s">
        <v>23</v>
      </c>
      <c r="AD352">
        <v>53</v>
      </c>
      <c r="AF352" s="127">
        <v>23641</v>
      </c>
      <c r="AG352">
        <v>297</v>
      </c>
      <c r="AI352">
        <v>32</v>
      </c>
      <c r="AJ352">
        <v>11</v>
      </c>
    </row>
    <row r="353" spans="26:36" x14ac:dyDescent="0.25">
      <c r="Z353">
        <v>283</v>
      </c>
      <c r="AA353" t="s">
        <v>1893</v>
      </c>
      <c r="AB353" t="s">
        <v>63</v>
      </c>
      <c r="AC353" t="s">
        <v>23</v>
      </c>
      <c r="AD353">
        <v>47</v>
      </c>
      <c r="AF353" s="127">
        <v>25855</v>
      </c>
      <c r="AG353">
        <v>283</v>
      </c>
      <c r="AI353">
        <v>32</v>
      </c>
      <c r="AJ353">
        <v>27</v>
      </c>
    </row>
    <row r="354" spans="26:36" x14ac:dyDescent="0.25">
      <c r="Z354">
        <v>215</v>
      </c>
      <c r="AA354" t="s">
        <v>1603</v>
      </c>
      <c r="AB354" t="s">
        <v>154</v>
      </c>
      <c r="AC354" t="s">
        <v>23</v>
      </c>
      <c r="AD354">
        <v>60</v>
      </c>
      <c r="AF354" s="127">
        <v>21279</v>
      </c>
      <c r="AG354">
        <v>215</v>
      </c>
      <c r="AI354">
        <v>32</v>
      </c>
      <c r="AJ354">
        <v>31</v>
      </c>
    </row>
    <row r="355" spans="26:36" x14ac:dyDescent="0.25">
      <c r="Z355">
        <v>129</v>
      </c>
      <c r="AA355" t="s">
        <v>2391</v>
      </c>
      <c r="AB355" t="s">
        <v>505</v>
      </c>
      <c r="AC355" t="s">
        <v>23</v>
      </c>
      <c r="AD355">
        <v>27</v>
      </c>
      <c r="AF355" s="127">
        <v>33185</v>
      </c>
      <c r="AG355">
        <v>129</v>
      </c>
      <c r="AI355">
        <v>32</v>
      </c>
      <c r="AJ355">
        <v>42</v>
      </c>
    </row>
    <row r="356" spans="26:36" x14ac:dyDescent="0.25">
      <c r="Z356">
        <v>102</v>
      </c>
      <c r="AA356" t="s">
        <v>2267</v>
      </c>
      <c r="AB356" t="s">
        <v>38</v>
      </c>
      <c r="AC356" t="s">
        <v>24</v>
      </c>
      <c r="AD356">
        <v>53</v>
      </c>
      <c r="AF356" s="127">
        <v>23714</v>
      </c>
      <c r="AG356">
        <v>102</v>
      </c>
      <c r="AI356">
        <v>32</v>
      </c>
      <c r="AJ356">
        <v>50</v>
      </c>
    </row>
    <row r="357" spans="26:36" x14ac:dyDescent="0.25">
      <c r="Z357">
        <v>403</v>
      </c>
      <c r="AA357" t="s">
        <v>2392</v>
      </c>
      <c r="AB357" t="s">
        <v>1805</v>
      </c>
      <c r="AC357" t="s">
        <v>23</v>
      </c>
      <c r="AD357">
        <v>33</v>
      </c>
      <c r="AF357" s="127">
        <v>31160</v>
      </c>
      <c r="AG357">
        <v>403</v>
      </c>
      <c r="AI357">
        <v>32</v>
      </c>
      <c r="AJ357">
        <v>51</v>
      </c>
    </row>
    <row r="358" spans="26:36" x14ac:dyDescent="0.25">
      <c r="Z358">
        <v>227</v>
      </c>
      <c r="AA358" t="s">
        <v>1623</v>
      </c>
      <c r="AB358" t="s">
        <v>155</v>
      </c>
      <c r="AC358" t="s">
        <v>23</v>
      </c>
      <c r="AD358">
        <v>67</v>
      </c>
      <c r="AF358" s="127">
        <v>18694</v>
      </c>
      <c r="AG358">
        <v>227</v>
      </c>
      <c r="AI358">
        <v>32</v>
      </c>
      <c r="AJ358">
        <v>57</v>
      </c>
    </row>
    <row r="359" spans="26:36" x14ac:dyDescent="0.25">
      <c r="Z359">
        <v>43</v>
      </c>
      <c r="AA359" t="s">
        <v>2292</v>
      </c>
      <c r="AB359" t="s">
        <v>1805</v>
      </c>
      <c r="AC359" t="s">
        <v>23</v>
      </c>
      <c r="AD359">
        <v>50</v>
      </c>
      <c r="AF359" s="127">
        <v>24767</v>
      </c>
      <c r="AG359">
        <v>43</v>
      </c>
      <c r="AI359">
        <v>33</v>
      </c>
      <c r="AJ359">
        <v>1</v>
      </c>
    </row>
    <row r="360" spans="26:36" x14ac:dyDescent="0.25">
      <c r="Z360">
        <v>405</v>
      </c>
      <c r="AA360" t="s">
        <v>2393</v>
      </c>
      <c r="AB360" t="s">
        <v>505</v>
      </c>
      <c r="AC360" t="s">
        <v>23</v>
      </c>
      <c r="AD360">
        <v>27</v>
      </c>
      <c r="AF360" s="127">
        <v>33305</v>
      </c>
      <c r="AG360">
        <v>405</v>
      </c>
      <c r="AI360">
        <v>33</v>
      </c>
      <c r="AJ360">
        <v>5</v>
      </c>
    </row>
    <row r="361" spans="26:36" x14ac:dyDescent="0.25">
      <c r="Z361">
        <v>347</v>
      </c>
      <c r="AA361" t="s">
        <v>756</v>
      </c>
      <c r="AB361" t="s">
        <v>155</v>
      </c>
      <c r="AC361" t="s">
        <v>23</v>
      </c>
      <c r="AD361">
        <v>48</v>
      </c>
      <c r="AF361" s="127">
        <v>25582</v>
      </c>
      <c r="AG361">
        <v>347</v>
      </c>
      <c r="AI361">
        <v>33</v>
      </c>
      <c r="AJ361">
        <v>14</v>
      </c>
    </row>
    <row r="362" spans="26:36" x14ac:dyDescent="0.25">
      <c r="Z362">
        <v>391</v>
      </c>
      <c r="AA362" t="s">
        <v>757</v>
      </c>
      <c r="AB362" t="s">
        <v>155</v>
      </c>
      <c r="AC362" t="s">
        <v>23</v>
      </c>
      <c r="AD362">
        <v>48</v>
      </c>
      <c r="AF362" s="127">
        <v>25393</v>
      </c>
      <c r="AG362">
        <v>391</v>
      </c>
      <c r="AI362">
        <v>33</v>
      </c>
      <c r="AJ362">
        <v>15</v>
      </c>
    </row>
    <row r="363" spans="26:36" x14ac:dyDescent="0.25">
      <c r="Z363">
        <v>406</v>
      </c>
      <c r="AA363" t="s">
        <v>2394</v>
      </c>
      <c r="AB363" t="s">
        <v>505</v>
      </c>
      <c r="AC363" t="s">
        <v>23</v>
      </c>
      <c r="AD363">
        <v>24</v>
      </c>
      <c r="AF363" s="127">
        <v>34193</v>
      </c>
      <c r="AG363">
        <v>406</v>
      </c>
      <c r="AI363">
        <v>33</v>
      </c>
      <c r="AJ363">
        <v>21</v>
      </c>
    </row>
    <row r="364" spans="26:36" x14ac:dyDescent="0.25">
      <c r="Z364">
        <v>118</v>
      </c>
      <c r="AA364" t="s">
        <v>1514</v>
      </c>
      <c r="AB364" t="s">
        <v>155</v>
      </c>
      <c r="AC364" t="s">
        <v>23</v>
      </c>
      <c r="AD364">
        <v>40</v>
      </c>
      <c r="AF364" s="127">
        <v>28453</v>
      </c>
      <c r="AG364">
        <v>118</v>
      </c>
      <c r="AI364">
        <v>33</v>
      </c>
      <c r="AJ364">
        <v>26</v>
      </c>
    </row>
    <row r="365" spans="26:36" x14ac:dyDescent="0.25">
      <c r="Z365">
        <v>317</v>
      </c>
      <c r="AA365" t="s">
        <v>839</v>
      </c>
      <c r="AB365" t="s">
        <v>63</v>
      </c>
      <c r="AC365" t="s">
        <v>23</v>
      </c>
      <c r="AD365">
        <v>57</v>
      </c>
      <c r="AF365" s="127">
        <v>22163</v>
      </c>
      <c r="AG365">
        <v>317</v>
      </c>
      <c r="AI365">
        <v>33</v>
      </c>
      <c r="AJ365">
        <v>30</v>
      </c>
    </row>
    <row r="366" spans="26:36" x14ac:dyDescent="0.25">
      <c r="Z366">
        <v>214</v>
      </c>
      <c r="AA366" t="s">
        <v>192</v>
      </c>
      <c r="AB366" t="s">
        <v>505</v>
      </c>
      <c r="AC366" t="s">
        <v>23</v>
      </c>
      <c r="AD366">
        <v>81</v>
      </c>
      <c r="AF366" s="127">
        <v>13338</v>
      </c>
      <c r="AG366">
        <v>214</v>
      </c>
      <c r="AI366">
        <v>33</v>
      </c>
      <c r="AJ366">
        <v>32</v>
      </c>
    </row>
    <row r="367" spans="26:36" x14ac:dyDescent="0.25">
      <c r="Z367">
        <v>451</v>
      </c>
      <c r="AA367" t="s">
        <v>2395</v>
      </c>
      <c r="AB367" t="s">
        <v>155</v>
      </c>
      <c r="AC367" t="s">
        <v>23</v>
      </c>
      <c r="AD367">
        <v>50</v>
      </c>
      <c r="AF367" s="127">
        <v>24789</v>
      </c>
      <c r="AG367">
        <v>451</v>
      </c>
      <c r="AI367">
        <v>33</v>
      </c>
      <c r="AJ367">
        <v>41</v>
      </c>
    </row>
    <row r="368" spans="26:36" x14ac:dyDescent="0.25">
      <c r="Z368">
        <v>322</v>
      </c>
      <c r="AA368" t="s">
        <v>212</v>
      </c>
      <c r="AB368" t="s">
        <v>38</v>
      </c>
      <c r="AC368" t="s">
        <v>24</v>
      </c>
      <c r="AD368">
        <v>66</v>
      </c>
      <c r="AF368" s="127">
        <v>18983</v>
      </c>
      <c r="AG368">
        <v>322</v>
      </c>
      <c r="AI368">
        <v>33</v>
      </c>
      <c r="AJ368">
        <v>42</v>
      </c>
    </row>
    <row r="369" spans="26:36" x14ac:dyDescent="0.25">
      <c r="Z369">
        <v>69</v>
      </c>
      <c r="AA369" t="s">
        <v>1076</v>
      </c>
      <c r="AB369" t="s">
        <v>155</v>
      </c>
      <c r="AC369" t="s">
        <v>23</v>
      </c>
      <c r="AD369">
        <v>54</v>
      </c>
      <c r="AF369" s="127">
        <v>23189</v>
      </c>
      <c r="AG369">
        <v>69</v>
      </c>
      <c r="AI369">
        <v>33</v>
      </c>
      <c r="AJ369">
        <v>44</v>
      </c>
    </row>
    <row r="370" spans="26:36" x14ac:dyDescent="0.25">
      <c r="Z370">
        <v>48</v>
      </c>
      <c r="AA370" t="s">
        <v>1624</v>
      </c>
      <c r="AB370" t="s">
        <v>38</v>
      </c>
      <c r="AC370" t="s">
        <v>23</v>
      </c>
      <c r="AD370">
        <v>61</v>
      </c>
      <c r="AF370" s="127">
        <v>20708</v>
      </c>
      <c r="AG370">
        <v>48</v>
      </c>
      <c r="AI370">
        <v>33</v>
      </c>
      <c r="AJ370">
        <v>54</v>
      </c>
    </row>
    <row r="371" spans="26:36" x14ac:dyDescent="0.25">
      <c r="Z371">
        <v>167</v>
      </c>
      <c r="AA371" t="s">
        <v>1848</v>
      </c>
      <c r="AB371" t="s">
        <v>38</v>
      </c>
      <c r="AC371" t="s">
        <v>23</v>
      </c>
      <c r="AD371">
        <v>54</v>
      </c>
      <c r="AF371" s="127">
        <v>23455</v>
      </c>
      <c r="AG371">
        <v>167</v>
      </c>
      <c r="AI371">
        <v>33</v>
      </c>
      <c r="AJ371">
        <v>54</v>
      </c>
    </row>
    <row r="372" spans="26:36" x14ac:dyDescent="0.25">
      <c r="Z372">
        <v>394</v>
      </c>
      <c r="AA372" t="s">
        <v>1043</v>
      </c>
      <c r="AB372" t="s">
        <v>154</v>
      </c>
      <c r="AC372" t="s">
        <v>23</v>
      </c>
      <c r="AD372">
        <v>45</v>
      </c>
      <c r="AF372" s="127">
        <v>26628</v>
      </c>
      <c r="AG372">
        <v>394</v>
      </c>
      <c r="AI372">
        <v>33</v>
      </c>
      <c r="AJ372">
        <v>56</v>
      </c>
    </row>
    <row r="373" spans="26:36" x14ac:dyDescent="0.25">
      <c r="Z373">
        <v>159</v>
      </c>
      <c r="AA373" t="s">
        <v>198</v>
      </c>
      <c r="AB373" t="s">
        <v>12</v>
      </c>
      <c r="AC373" t="s">
        <v>23</v>
      </c>
      <c r="AD373">
        <v>47</v>
      </c>
      <c r="AF373" s="127">
        <v>25892</v>
      </c>
      <c r="AG373">
        <v>159</v>
      </c>
      <c r="AI373">
        <v>34</v>
      </c>
      <c r="AJ373">
        <v>1</v>
      </c>
    </row>
    <row r="374" spans="26:36" x14ac:dyDescent="0.25">
      <c r="Z374">
        <v>205</v>
      </c>
      <c r="AA374" t="s">
        <v>1083</v>
      </c>
      <c r="AB374" t="s">
        <v>38</v>
      </c>
      <c r="AC374" t="s">
        <v>23</v>
      </c>
      <c r="AD374">
        <v>55</v>
      </c>
      <c r="AF374" s="127">
        <v>22835</v>
      </c>
      <c r="AG374">
        <v>205</v>
      </c>
      <c r="AI374">
        <v>34</v>
      </c>
      <c r="AJ374">
        <v>2</v>
      </c>
    </row>
    <row r="375" spans="26:36" x14ac:dyDescent="0.25">
      <c r="Z375">
        <v>418</v>
      </c>
      <c r="AA375" t="s">
        <v>2396</v>
      </c>
      <c r="AB375" t="s">
        <v>505</v>
      </c>
      <c r="AC375" t="s">
        <v>24</v>
      </c>
      <c r="AD375">
        <v>36</v>
      </c>
      <c r="AF375" s="127">
        <v>29875</v>
      </c>
      <c r="AG375">
        <v>418</v>
      </c>
      <c r="AI375">
        <v>34</v>
      </c>
      <c r="AJ375">
        <v>12</v>
      </c>
    </row>
    <row r="376" spans="26:36" x14ac:dyDescent="0.25">
      <c r="Z376">
        <v>438</v>
      </c>
      <c r="AA376" t="s">
        <v>968</v>
      </c>
      <c r="AB376" t="s">
        <v>154</v>
      </c>
      <c r="AC376" t="s">
        <v>23</v>
      </c>
      <c r="AD376">
        <v>64</v>
      </c>
      <c r="AF376" s="127">
        <v>19710</v>
      </c>
      <c r="AG376">
        <v>438</v>
      </c>
      <c r="AI376">
        <v>34</v>
      </c>
      <c r="AJ376">
        <v>12</v>
      </c>
    </row>
    <row r="377" spans="26:36" x14ac:dyDescent="0.25">
      <c r="Z377">
        <v>142</v>
      </c>
      <c r="AA377" t="s">
        <v>1782</v>
      </c>
      <c r="AB377" t="s">
        <v>108</v>
      </c>
      <c r="AC377" t="s">
        <v>23</v>
      </c>
      <c r="AD377">
        <v>41</v>
      </c>
      <c r="AF377" s="127">
        <v>27971</v>
      </c>
      <c r="AG377">
        <v>142</v>
      </c>
      <c r="AI377">
        <v>34</v>
      </c>
      <c r="AJ377">
        <v>16</v>
      </c>
    </row>
    <row r="378" spans="26:36" x14ac:dyDescent="0.25">
      <c r="Z378">
        <v>393</v>
      </c>
      <c r="AA378" t="s">
        <v>2397</v>
      </c>
      <c r="AB378" t="s">
        <v>505</v>
      </c>
      <c r="AC378" t="s">
        <v>23</v>
      </c>
      <c r="AD378">
        <v>42</v>
      </c>
      <c r="AF378" s="127">
        <v>27594</v>
      </c>
      <c r="AG378">
        <v>393</v>
      </c>
      <c r="AI378">
        <v>34</v>
      </c>
      <c r="AJ378">
        <v>18</v>
      </c>
    </row>
    <row r="379" spans="26:36" x14ac:dyDescent="0.25">
      <c r="Z379">
        <v>128</v>
      </c>
      <c r="AA379" t="s">
        <v>2398</v>
      </c>
      <c r="AB379" t="s">
        <v>505</v>
      </c>
      <c r="AC379" t="s">
        <v>23</v>
      </c>
      <c r="AD379">
        <v>53</v>
      </c>
      <c r="AF379" s="127">
        <v>23850</v>
      </c>
      <c r="AG379">
        <v>128</v>
      </c>
      <c r="AI379">
        <v>34</v>
      </c>
      <c r="AJ379">
        <v>54</v>
      </c>
    </row>
    <row r="380" spans="26:36" x14ac:dyDescent="0.25">
      <c r="Z380">
        <v>395</v>
      </c>
      <c r="AA380" t="s">
        <v>963</v>
      </c>
      <c r="AB380" t="s">
        <v>12</v>
      </c>
      <c r="AC380" t="s">
        <v>23</v>
      </c>
      <c r="AD380">
        <v>44</v>
      </c>
      <c r="AF380" s="127">
        <v>27116</v>
      </c>
      <c r="AG380">
        <v>395</v>
      </c>
      <c r="AI380">
        <v>35</v>
      </c>
      <c r="AJ380">
        <v>4</v>
      </c>
    </row>
    <row r="381" spans="26:36" x14ac:dyDescent="0.25">
      <c r="Z381">
        <v>35</v>
      </c>
      <c r="AA381" t="s">
        <v>386</v>
      </c>
      <c r="AB381" t="s">
        <v>12</v>
      </c>
      <c r="AC381" t="s">
        <v>24</v>
      </c>
      <c r="AD381">
        <v>59</v>
      </c>
      <c r="AF381" s="127">
        <v>21555</v>
      </c>
      <c r="AG381">
        <v>35</v>
      </c>
      <c r="AI381">
        <v>35</v>
      </c>
      <c r="AJ381">
        <v>26</v>
      </c>
    </row>
    <row r="382" spans="26:36" x14ac:dyDescent="0.25">
      <c r="Z382">
        <v>367</v>
      </c>
      <c r="AA382" t="s">
        <v>2399</v>
      </c>
      <c r="AB382" t="s">
        <v>38</v>
      </c>
      <c r="AC382" t="s">
        <v>23</v>
      </c>
      <c r="AD382">
        <v>71</v>
      </c>
      <c r="AF382" s="127">
        <v>17012</v>
      </c>
      <c r="AG382">
        <v>367</v>
      </c>
      <c r="AI382">
        <v>35</v>
      </c>
      <c r="AJ382">
        <v>36</v>
      </c>
    </row>
    <row r="383" spans="26:36" x14ac:dyDescent="0.25">
      <c r="Z383">
        <v>182</v>
      </c>
      <c r="AA383" t="s">
        <v>1467</v>
      </c>
      <c r="AB383" t="s">
        <v>154</v>
      </c>
      <c r="AC383" t="s">
        <v>23</v>
      </c>
      <c r="AD383">
        <v>46</v>
      </c>
      <c r="AF383" s="127">
        <v>26262</v>
      </c>
      <c r="AG383">
        <v>182</v>
      </c>
      <c r="AI383">
        <v>35</v>
      </c>
      <c r="AJ383">
        <v>50</v>
      </c>
    </row>
    <row r="384" spans="26:36" x14ac:dyDescent="0.25">
      <c r="Z384">
        <v>79</v>
      </c>
      <c r="AA384" t="s">
        <v>2400</v>
      </c>
      <c r="AB384" t="s">
        <v>505</v>
      </c>
      <c r="AC384" t="s">
        <v>23</v>
      </c>
      <c r="AD384">
        <v>40</v>
      </c>
      <c r="AF384" s="127">
        <v>28358</v>
      </c>
      <c r="AG384">
        <v>79</v>
      </c>
      <c r="AI384">
        <v>35</v>
      </c>
      <c r="AJ384">
        <v>52</v>
      </c>
    </row>
    <row r="385" spans="26:36" x14ac:dyDescent="0.25">
      <c r="Z385">
        <v>68</v>
      </c>
      <c r="AA385" t="s">
        <v>2401</v>
      </c>
      <c r="AB385" t="s">
        <v>38</v>
      </c>
      <c r="AC385" t="s">
        <v>23</v>
      </c>
      <c r="AD385">
        <v>51</v>
      </c>
      <c r="AF385" s="127">
        <v>24558</v>
      </c>
      <c r="AG385">
        <v>68</v>
      </c>
      <c r="AI385">
        <v>36</v>
      </c>
      <c r="AJ385">
        <v>19</v>
      </c>
    </row>
    <row r="386" spans="26:36" x14ac:dyDescent="0.25">
      <c r="Z386">
        <v>198</v>
      </c>
      <c r="AA386" t="s">
        <v>2402</v>
      </c>
      <c r="AB386" t="s">
        <v>38</v>
      </c>
      <c r="AC386" t="s">
        <v>23</v>
      </c>
      <c r="AD386">
        <v>47</v>
      </c>
      <c r="AF386" s="127">
        <v>25781</v>
      </c>
      <c r="AG386">
        <v>198</v>
      </c>
      <c r="AI386">
        <v>36</v>
      </c>
      <c r="AJ386">
        <v>19</v>
      </c>
    </row>
    <row r="387" spans="26:36" x14ac:dyDescent="0.25">
      <c r="Z387">
        <v>66</v>
      </c>
      <c r="AA387" t="s">
        <v>1078</v>
      </c>
      <c r="AB387" t="s">
        <v>12</v>
      </c>
      <c r="AC387" t="s">
        <v>23</v>
      </c>
      <c r="AD387">
        <v>46</v>
      </c>
      <c r="AF387" s="127">
        <v>26185</v>
      </c>
      <c r="AG387">
        <v>66</v>
      </c>
      <c r="AI387">
        <v>36</v>
      </c>
      <c r="AJ387">
        <v>40</v>
      </c>
    </row>
    <row r="388" spans="26:36" x14ac:dyDescent="0.25">
      <c r="Z388">
        <v>402</v>
      </c>
      <c r="AA388" t="s">
        <v>246</v>
      </c>
      <c r="AB388" t="s">
        <v>63</v>
      </c>
      <c r="AC388" t="s">
        <v>24</v>
      </c>
      <c r="AD388">
        <v>77</v>
      </c>
      <c r="AF388" s="127">
        <v>15132</v>
      </c>
      <c r="AG388">
        <v>402</v>
      </c>
      <c r="AI388">
        <v>37</v>
      </c>
      <c r="AJ388">
        <v>11</v>
      </c>
    </row>
    <row r="389" spans="26:36" x14ac:dyDescent="0.25">
      <c r="Z389">
        <v>124</v>
      </c>
      <c r="AA389" t="s">
        <v>809</v>
      </c>
      <c r="AB389" t="s">
        <v>155</v>
      </c>
      <c r="AC389" t="s">
        <v>23</v>
      </c>
      <c r="AD389">
        <v>50</v>
      </c>
      <c r="AF389" s="127">
        <v>24887</v>
      </c>
      <c r="AG389">
        <v>124</v>
      </c>
      <c r="AI389">
        <v>37</v>
      </c>
      <c r="AJ389">
        <v>33</v>
      </c>
    </row>
    <row r="390" spans="26:36" x14ac:dyDescent="0.25">
      <c r="Z390">
        <v>416</v>
      </c>
      <c r="AA390" t="s">
        <v>541</v>
      </c>
      <c r="AB390" t="s">
        <v>155</v>
      </c>
      <c r="AC390" t="s">
        <v>24</v>
      </c>
      <c r="AD390">
        <v>72</v>
      </c>
      <c r="AF390" s="127">
        <v>16676</v>
      </c>
      <c r="AG390">
        <v>416</v>
      </c>
      <c r="AI390">
        <v>37</v>
      </c>
      <c r="AJ390">
        <v>56</v>
      </c>
    </row>
    <row r="391" spans="26:36" x14ac:dyDescent="0.25">
      <c r="Z391">
        <v>366</v>
      </c>
      <c r="AA391" t="s">
        <v>1810</v>
      </c>
      <c r="AB391" t="s">
        <v>38</v>
      </c>
      <c r="AC391" t="s">
        <v>24</v>
      </c>
      <c r="AD391">
        <v>75</v>
      </c>
      <c r="AF391" s="127">
        <v>15750</v>
      </c>
      <c r="AG391">
        <v>366</v>
      </c>
      <c r="AI391">
        <v>38</v>
      </c>
      <c r="AJ391">
        <v>8</v>
      </c>
    </row>
    <row r="392" spans="26:36" x14ac:dyDescent="0.25">
      <c r="Z392">
        <v>20</v>
      </c>
      <c r="AA392" t="s">
        <v>2125</v>
      </c>
      <c r="AB392" t="s">
        <v>1805</v>
      </c>
      <c r="AC392" t="s">
        <v>23</v>
      </c>
      <c r="AD392">
        <v>45</v>
      </c>
      <c r="AF392" s="127">
        <v>26781</v>
      </c>
      <c r="AG392">
        <v>20</v>
      </c>
      <c r="AI392">
        <v>38</v>
      </c>
      <c r="AJ392">
        <v>17</v>
      </c>
    </row>
    <row r="393" spans="26:36" x14ac:dyDescent="0.25">
      <c r="Z393">
        <v>86</v>
      </c>
      <c r="AA393" t="s">
        <v>870</v>
      </c>
      <c r="AB393" t="s">
        <v>155</v>
      </c>
      <c r="AC393" t="s">
        <v>23</v>
      </c>
      <c r="AD393">
        <v>53</v>
      </c>
      <c r="AF393" s="127">
        <v>23655</v>
      </c>
      <c r="AG393">
        <v>86</v>
      </c>
      <c r="AI393">
        <v>38</v>
      </c>
      <c r="AJ393">
        <v>19</v>
      </c>
    </row>
    <row r="394" spans="26:36" x14ac:dyDescent="0.25">
      <c r="Z394">
        <v>174</v>
      </c>
      <c r="AA394" t="s">
        <v>1882</v>
      </c>
      <c r="AB394" t="s">
        <v>155</v>
      </c>
      <c r="AC394" t="s">
        <v>23</v>
      </c>
      <c r="AD394">
        <v>30</v>
      </c>
      <c r="AF394" s="127">
        <v>32155</v>
      </c>
      <c r="AG394">
        <v>174</v>
      </c>
      <c r="AI394">
        <v>38</v>
      </c>
      <c r="AJ394">
        <v>19</v>
      </c>
    </row>
    <row r="395" spans="26:36" x14ac:dyDescent="0.25">
      <c r="Z395">
        <v>388</v>
      </c>
      <c r="AA395" t="s">
        <v>2403</v>
      </c>
      <c r="AB395" t="s">
        <v>505</v>
      </c>
      <c r="AC395" t="s">
        <v>24</v>
      </c>
      <c r="AD395">
        <v>29</v>
      </c>
      <c r="AF395" s="127">
        <v>32486</v>
      </c>
      <c r="AG395">
        <v>388</v>
      </c>
      <c r="AI395">
        <v>41</v>
      </c>
      <c r="AJ395">
        <v>19</v>
      </c>
    </row>
    <row r="396" spans="26:36" x14ac:dyDescent="0.25">
      <c r="Z396">
        <v>364</v>
      </c>
      <c r="AA396" t="s">
        <v>2404</v>
      </c>
      <c r="AB396" t="s">
        <v>505</v>
      </c>
      <c r="AC396" t="s">
        <v>23</v>
      </c>
      <c r="AD396">
        <v>36</v>
      </c>
      <c r="AF396" s="127">
        <v>30107</v>
      </c>
      <c r="AG396">
        <v>364</v>
      </c>
      <c r="AI396">
        <v>41</v>
      </c>
      <c r="AJ396">
        <v>20</v>
      </c>
    </row>
    <row r="397" spans="26:36" x14ac:dyDescent="0.25">
      <c r="Z397">
        <v>385</v>
      </c>
      <c r="AA397" t="s">
        <v>2252</v>
      </c>
      <c r="AB397" t="s">
        <v>12</v>
      </c>
      <c r="AC397" t="s">
        <v>23</v>
      </c>
      <c r="AD397">
        <v>32</v>
      </c>
      <c r="AF397" s="127">
        <v>31313</v>
      </c>
      <c r="AG397">
        <v>385</v>
      </c>
      <c r="AI397">
        <v>41</v>
      </c>
      <c r="AJ397">
        <v>30</v>
      </c>
    </row>
    <row r="398" spans="26:36" x14ac:dyDescent="0.25">
      <c r="Z398">
        <v>274</v>
      </c>
      <c r="AA398" t="s">
        <v>2245</v>
      </c>
      <c r="AB398" t="s">
        <v>1805</v>
      </c>
      <c r="AC398" t="s">
        <v>23</v>
      </c>
      <c r="AD398">
        <v>54</v>
      </c>
      <c r="AF398" s="127">
        <v>23387</v>
      </c>
      <c r="AG398">
        <v>274</v>
      </c>
      <c r="AI398">
        <v>42</v>
      </c>
      <c r="AJ398">
        <v>57</v>
      </c>
    </row>
    <row r="399" spans="26:36" x14ac:dyDescent="0.25">
      <c r="Z399">
        <v>411</v>
      </c>
      <c r="AA399" t="s">
        <v>2405</v>
      </c>
      <c r="AB399" t="s">
        <v>63</v>
      </c>
      <c r="AC399" t="s">
        <v>24</v>
      </c>
      <c r="AD399">
        <v>47</v>
      </c>
      <c r="AF399" s="127">
        <v>25807</v>
      </c>
      <c r="AG399">
        <v>411</v>
      </c>
      <c r="AI399">
        <v>44</v>
      </c>
      <c r="AJ399">
        <v>26</v>
      </c>
    </row>
    <row r="400" spans="26:36" x14ac:dyDescent="0.25">
      <c r="Z400">
        <v>141</v>
      </c>
      <c r="AA400" t="s">
        <v>189</v>
      </c>
      <c r="AB400" t="s">
        <v>43</v>
      </c>
      <c r="AC400" t="s">
        <v>23</v>
      </c>
      <c r="AD400">
        <v>53</v>
      </c>
      <c r="AF400" s="127">
        <v>23824</v>
      </c>
      <c r="AG400">
        <v>141</v>
      </c>
      <c r="AI400">
        <v>44</v>
      </c>
      <c r="AJ400">
        <v>26</v>
      </c>
    </row>
    <row r="401" spans="26:36" x14ac:dyDescent="0.25">
      <c r="Z401">
        <v>9</v>
      </c>
      <c r="AA401" t="s">
        <v>2406</v>
      </c>
      <c r="AB401" t="s">
        <v>43</v>
      </c>
      <c r="AC401" t="s">
        <v>24</v>
      </c>
      <c r="AD401">
        <v>55</v>
      </c>
      <c r="AF401" s="127">
        <v>22881</v>
      </c>
      <c r="AG401">
        <v>9</v>
      </c>
      <c r="AI401">
        <v>44</v>
      </c>
      <c r="AJ401">
        <v>29</v>
      </c>
    </row>
  </sheetData>
  <sheetProtection password="CC06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J316"/>
  <sheetViews>
    <sheetView workbookViewId="0"/>
  </sheetViews>
  <sheetFormatPr defaultRowHeight="15.75" x14ac:dyDescent="0.25"/>
  <cols>
    <col min="1" max="1" width="20.625" customWidth="1"/>
    <col min="2" max="4" width="3.625" customWidth="1"/>
    <col min="5" max="5" width="20.625" customWidth="1"/>
    <col min="6" max="7" width="3.625" customWidth="1"/>
    <col min="8" max="8" width="20.625" customWidth="1"/>
    <col min="9" max="10" width="3.625" customWidth="1"/>
    <col min="11" max="11" width="20.625" customWidth="1"/>
    <col min="12" max="13" width="3.625" customWidth="1"/>
    <col min="14" max="14" width="20.625" customWidth="1"/>
    <col min="15" max="16" width="3.625" customWidth="1"/>
    <col min="17" max="17" width="20.625" customWidth="1"/>
    <col min="18" max="19" width="3.625" customWidth="1"/>
    <col min="20" max="20" width="20.625" customWidth="1"/>
    <col min="21" max="22" width="3.625" customWidth="1"/>
    <col min="25" max="31" width="9" customWidth="1"/>
    <col min="32" max="32" width="9" style="127" customWidth="1"/>
    <col min="33" max="35" width="9" customWidth="1"/>
  </cols>
  <sheetData>
    <row r="1" spans="1:36" x14ac:dyDescent="0.25">
      <c r="A1" s="125" t="s">
        <v>1319</v>
      </c>
      <c r="B1" s="125"/>
      <c r="C1" s="125"/>
      <c r="D1" s="125"/>
    </row>
    <row r="2" spans="1:36" s="2" customFormat="1" x14ac:dyDescent="0.25">
      <c r="A2" s="125" t="s">
        <v>2186</v>
      </c>
      <c r="B2" s="125"/>
      <c r="C2" s="125"/>
      <c r="D2" s="125"/>
      <c r="AF2" s="173"/>
    </row>
    <row r="3" spans="1:36" s="2" customFormat="1" x14ac:dyDescent="0.25">
      <c r="A3" s="125" t="s">
        <v>153</v>
      </c>
      <c r="B3" s="125" t="s">
        <v>0</v>
      </c>
      <c r="C3" s="125" t="s">
        <v>1205</v>
      </c>
      <c r="D3" s="125" t="s">
        <v>1206</v>
      </c>
      <c r="E3" s="125" t="s">
        <v>148</v>
      </c>
      <c r="F3" s="125" t="s">
        <v>587</v>
      </c>
      <c r="G3" s="125" t="s">
        <v>0</v>
      </c>
      <c r="H3" s="125" t="s">
        <v>1207</v>
      </c>
      <c r="I3" s="125" t="s">
        <v>587</v>
      </c>
      <c r="J3" s="125" t="s">
        <v>0</v>
      </c>
      <c r="K3" s="125" t="s">
        <v>150</v>
      </c>
      <c r="L3" s="125" t="s">
        <v>587</v>
      </c>
      <c r="M3" s="125" t="s">
        <v>0</v>
      </c>
      <c r="N3" s="125" t="s">
        <v>151</v>
      </c>
      <c r="O3" s="125" t="s">
        <v>587</v>
      </c>
      <c r="P3" s="125" t="s">
        <v>0</v>
      </c>
      <c r="Q3" s="125" t="s">
        <v>1208</v>
      </c>
      <c r="R3" s="125" t="s">
        <v>587</v>
      </c>
      <c r="S3" s="125" t="s">
        <v>0</v>
      </c>
      <c r="T3" s="125" t="s">
        <v>1209</v>
      </c>
      <c r="U3" s="125" t="s">
        <v>587</v>
      </c>
      <c r="V3" s="125" t="s">
        <v>0</v>
      </c>
      <c r="AF3" s="173"/>
    </row>
    <row r="4" spans="1:36" x14ac:dyDescent="0.25">
      <c r="Y4" s="48"/>
      <c r="AE4" s="2"/>
    </row>
    <row r="5" spans="1:36" x14ac:dyDescent="0.25">
      <c r="A5" t="s">
        <v>1277</v>
      </c>
    </row>
    <row r="6" spans="1:36" x14ac:dyDescent="0.25">
      <c r="A6" t="s">
        <v>108</v>
      </c>
      <c r="B6">
        <v>1</v>
      </c>
      <c r="C6">
        <v>6</v>
      </c>
      <c r="D6">
        <v>59</v>
      </c>
      <c r="E6" t="s">
        <v>336</v>
      </c>
      <c r="F6" t="s">
        <v>1813</v>
      </c>
      <c r="G6">
        <v>1</v>
      </c>
      <c r="H6" t="s">
        <v>1389</v>
      </c>
      <c r="I6" t="s">
        <v>1814</v>
      </c>
      <c r="J6">
        <v>4</v>
      </c>
      <c r="K6" t="s">
        <v>302</v>
      </c>
      <c r="L6" t="s">
        <v>1814</v>
      </c>
      <c r="M6">
        <v>6</v>
      </c>
      <c r="N6" t="s">
        <v>1808</v>
      </c>
      <c r="O6" t="s">
        <v>1813</v>
      </c>
      <c r="P6">
        <v>12</v>
      </c>
      <c r="Q6" t="s">
        <v>1682</v>
      </c>
      <c r="R6" t="s">
        <v>1813</v>
      </c>
      <c r="S6">
        <v>15</v>
      </c>
      <c r="T6" t="s">
        <v>2196</v>
      </c>
      <c r="U6" t="s">
        <v>1814</v>
      </c>
      <c r="V6">
        <v>21</v>
      </c>
      <c r="Z6" t="s">
        <v>6</v>
      </c>
      <c r="AA6" t="s">
        <v>2</v>
      </c>
      <c r="AB6" t="s">
        <v>3</v>
      </c>
      <c r="AC6" t="s">
        <v>22</v>
      </c>
      <c r="AD6" t="s">
        <v>37</v>
      </c>
      <c r="AE6" t="s">
        <v>1242</v>
      </c>
      <c r="AF6" s="127" t="s">
        <v>1240</v>
      </c>
      <c r="AG6" t="s">
        <v>8</v>
      </c>
      <c r="AI6" t="s">
        <v>4</v>
      </c>
    </row>
    <row r="7" spans="1:36" x14ac:dyDescent="0.25">
      <c r="A7" t="s">
        <v>12</v>
      </c>
      <c r="B7">
        <v>2</v>
      </c>
      <c r="C7">
        <v>6</v>
      </c>
      <c r="D7">
        <v>63</v>
      </c>
      <c r="E7" t="s">
        <v>596</v>
      </c>
      <c r="F7" t="s">
        <v>1813</v>
      </c>
      <c r="G7">
        <v>2</v>
      </c>
      <c r="H7" t="s">
        <v>1357</v>
      </c>
      <c r="I7" t="s">
        <v>1813</v>
      </c>
      <c r="J7">
        <v>3</v>
      </c>
      <c r="K7" t="s">
        <v>363</v>
      </c>
      <c r="L7" t="s">
        <v>1814</v>
      </c>
      <c r="M7">
        <v>11</v>
      </c>
      <c r="N7" t="s">
        <v>895</v>
      </c>
      <c r="O7" t="s">
        <v>1814</v>
      </c>
      <c r="P7">
        <v>13</v>
      </c>
      <c r="Q7" t="s">
        <v>2444</v>
      </c>
      <c r="R7" t="s">
        <v>1814</v>
      </c>
      <c r="S7">
        <v>16</v>
      </c>
      <c r="T7" t="s">
        <v>1745</v>
      </c>
      <c r="U7" t="s">
        <v>1813</v>
      </c>
      <c r="V7">
        <v>18</v>
      </c>
      <c r="Z7">
        <v>147</v>
      </c>
      <c r="AA7" t="s">
        <v>375</v>
      </c>
      <c r="AB7" t="s">
        <v>108</v>
      </c>
      <c r="AC7" t="s">
        <v>23</v>
      </c>
      <c r="AD7">
        <v>55</v>
      </c>
      <c r="AF7" s="127">
        <v>22745</v>
      </c>
      <c r="AG7">
        <v>415</v>
      </c>
      <c r="AI7">
        <v>27</v>
      </c>
      <c r="AJ7">
        <v>49</v>
      </c>
    </row>
    <row r="8" spans="1:36" x14ac:dyDescent="0.25">
      <c r="A8" t="s">
        <v>14</v>
      </c>
      <c r="B8">
        <v>3</v>
      </c>
      <c r="C8">
        <v>6</v>
      </c>
      <c r="D8">
        <v>181</v>
      </c>
      <c r="E8" t="s">
        <v>2479</v>
      </c>
      <c r="F8" t="s">
        <v>1814</v>
      </c>
      <c r="G8">
        <v>5</v>
      </c>
      <c r="H8" t="s">
        <v>935</v>
      </c>
      <c r="I8" t="s">
        <v>1813</v>
      </c>
      <c r="J8">
        <v>8</v>
      </c>
      <c r="K8" t="s">
        <v>2469</v>
      </c>
      <c r="L8" t="s">
        <v>1814</v>
      </c>
      <c r="M8">
        <v>17</v>
      </c>
      <c r="N8" t="s">
        <v>1905</v>
      </c>
      <c r="O8" t="s">
        <v>1813</v>
      </c>
      <c r="P8">
        <v>37</v>
      </c>
      <c r="Q8" t="s">
        <v>1522</v>
      </c>
      <c r="R8" t="s">
        <v>1814</v>
      </c>
      <c r="S8">
        <v>53</v>
      </c>
      <c r="T8" t="s">
        <v>1911</v>
      </c>
      <c r="U8" t="s">
        <v>1814</v>
      </c>
      <c r="V8">
        <v>61</v>
      </c>
      <c r="Z8">
        <v>148</v>
      </c>
      <c r="AA8" t="s">
        <v>1713</v>
      </c>
      <c r="AB8" t="s">
        <v>108</v>
      </c>
      <c r="AC8" t="s">
        <v>23</v>
      </c>
      <c r="AD8">
        <v>28</v>
      </c>
      <c r="AF8" s="127">
        <v>33043</v>
      </c>
      <c r="AG8">
        <v>312</v>
      </c>
      <c r="AI8">
        <v>29</v>
      </c>
      <c r="AJ8">
        <v>19</v>
      </c>
    </row>
    <row r="9" spans="1:36" x14ac:dyDescent="0.25">
      <c r="A9" t="s">
        <v>63</v>
      </c>
      <c r="B9">
        <v>4</v>
      </c>
      <c r="C9">
        <v>6</v>
      </c>
      <c r="D9">
        <v>235</v>
      </c>
      <c r="E9" t="s">
        <v>2465</v>
      </c>
      <c r="F9" t="s">
        <v>1814</v>
      </c>
      <c r="G9">
        <v>22</v>
      </c>
      <c r="H9" t="s">
        <v>2320</v>
      </c>
      <c r="I9" t="s">
        <v>1813</v>
      </c>
      <c r="J9">
        <v>25</v>
      </c>
      <c r="K9" t="s">
        <v>408</v>
      </c>
      <c r="L9" t="s">
        <v>1813</v>
      </c>
      <c r="M9">
        <v>26</v>
      </c>
      <c r="N9" t="s">
        <v>2307</v>
      </c>
      <c r="O9" t="s">
        <v>1814</v>
      </c>
      <c r="P9">
        <v>30</v>
      </c>
      <c r="Q9" t="s">
        <v>277</v>
      </c>
      <c r="R9" t="s">
        <v>1813</v>
      </c>
      <c r="S9">
        <v>31</v>
      </c>
      <c r="T9" t="s">
        <v>1751</v>
      </c>
      <c r="U9" t="s">
        <v>1814</v>
      </c>
      <c r="V9">
        <v>101</v>
      </c>
      <c r="Z9">
        <v>149</v>
      </c>
      <c r="AA9" t="s">
        <v>188</v>
      </c>
      <c r="AB9" t="s">
        <v>108</v>
      </c>
      <c r="AC9" t="s">
        <v>23</v>
      </c>
      <c r="AD9">
        <v>29</v>
      </c>
      <c r="AF9" s="127">
        <v>32599</v>
      </c>
      <c r="AG9">
        <v>403</v>
      </c>
      <c r="AI9">
        <v>29</v>
      </c>
      <c r="AJ9">
        <v>40</v>
      </c>
    </row>
    <row r="10" spans="1:36" x14ac:dyDescent="0.25">
      <c r="A10" t="s">
        <v>43</v>
      </c>
      <c r="B10">
        <v>5</v>
      </c>
      <c r="C10">
        <v>6</v>
      </c>
      <c r="D10">
        <v>305</v>
      </c>
      <c r="E10" t="s">
        <v>1122</v>
      </c>
      <c r="F10" t="s">
        <v>1814</v>
      </c>
      <c r="G10">
        <v>24</v>
      </c>
      <c r="H10" t="s">
        <v>239</v>
      </c>
      <c r="I10" t="s">
        <v>1814</v>
      </c>
      <c r="J10">
        <v>33</v>
      </c>
      <c r="K10" t="s">
        <v>609</v>
      </c>
      <c r="L10" t="s">
        <v>1814</v>
      </c>
      <c r="M10">
        <v>55</v>
      </c>
      <c r="N10" t="s">
        <v>353</v>
      </c>
      <c r="O10" t="s">
        <v>1814</v>
      </c>
      <c r="P10">
        <v>56</v>
      </c>
      <c r="Q10" t="s">
        <v>1155</v>
      </c>
      <c r="R10" t="s">
        <v>1813</v>
      </c>
      <c r="S10">
        <v>68</v>
      </c>
      <c r="T10" t="s">
        <v>2275</v>
      </c>
      <c r="U10" t="s">
        <v>1813</v>
      </c>
      <c r="V10">
        <v>69</v>
      </c>
      <c r="Z10">
        <v>150</v>
      </c>
      <c r="AA10" t="s">
        <v>1624</v>
      </c>
      <c r="AB10" t="s">
        <v>38</v>
      </c>
      <c r="AC10" t="s">
        <v>23</v>
      </c>
      <c r="AD10">
        <v>61</v>
      </c>
      <c r="AF10" s="127">
        <v>20708</v>
      </c>
      <c r="AG10">
        <v>219</v>
      </c>
      <c r="AI10">
        <v>29</v>
      </c>
      <c r="AJ10">
        <v>48</v>
      </c>
    </row>
    <row r="11" spans="1:36" x14ac:dyDescent="0.25">
      <c r="A11" t="s">
        <v>38</v>
      </c>
      <c r="B11">
        <v>6</v>
      </c>
      <c r="C11">
        <v>6</v>
      </c>
      <c r="D11">
        <v>401</v>
      </c>
      <c r="E11" t="s">
        <v>1819</v>
      </c>
      <c r="F11" t="s">
        <v>1813</v>
      </c>
      <c r="G11">
        <v>10</v>
      </c>
      <c r="H11" t="s">
        <v>2322</v>
      </c>
      <c r="I11" t="s">
        <v>1813</v>
      </c>
      <c r="J11">
        <v>54</v>
      </c>
      <c r="K11" t="s">
        <v>2205</v>
      </c>
      <c r="L11" t="s">
        <v>1814</v>
      </c>
      <c r="M11">
        <v>65</v>
      </c>
      <c r="N11" t="s">
        <v>2212</v>
      </c>
      <c r="O11" t="s">
        <v>1814</v>
      </c>
      <c r="P11">
        <v>84</v>
      </c>
      <c r="Q11" t="s">
        <v>2435</v>
      </c>
      <c r="R11" t="s">
        <v>1814</v>
      </c>
      <c r="S11">
        <v>93</v>
      </c>
      <c r="T11" t="s">
        <v>204</v>
      </c>
      <c r="U11" t="s">
        <v>1814</v>
      </c>
      <c r="V11">
        <v>95</v>
      </c>
      <c r="Z11">
        <v>151</v>
      </c>
      <c r="AA11" t="s">
        <v>1651</v>
      </c>
      <c r="AB11" t="s">
        <v>108</v>
      </c>
      <c r="AC11" t="s">
        <v>24</v>
      </c>
      <c r="AD11">
        <v>42</v>
      </c>
      <c r="AF11" s="127">
        <v>27597</v>
      </c>
      <c r="AG11">
        <v>456</v>
      </c>
      <c r="AI11">
        <v>30</v>
      </c>
      <c r="AJ11">
        <v>17</v>
      </c>
    </row>
    <row r="12" spans="1:36" x14ac:dyDescent="0.25">
      <c r="A12" t="s">
        <v>1805</v>
      </c>
      <c r="B12">
        <v>7</v>
      </c>
      <c r="C12">
        <v>6</v>
      </c>
      <c r="D12">
        <v>493</v>
      </c>
      <c r="E12" t="s">
        <v>2193</v>
      </c>
      <c r="F12" t="s">
        <v>1813</v>
      </c>
      <c r="G12">
        <v>27</v>
      </c>
      <c r="H12" t="s">
        <v>2197</v>
      </c>
      <c r="I12" t="s">
        <v>1813</v>
      </c>
      <c r="J12">
        <v>28</v>
      </c>
      <c r="K12" t="s">
        <v>2028</v>
      </c>
      <c r="L12" t="s">
        <v>1813</v>
      </c>
      <c r="M12">
        <v>34</v>
      </c>
      <c r="N12" t="s">
        <v>2217</v>
      </c>
      <c r="O12" t="s">
        <v>1814</v>
      </c>
      <c r="P12">
        <v>114</v>
      </c>
      <c r="Q12" t="s">
        <v>1792</v>
      </c>
      <c r="R12" t="s">
        <v>1814</v>
      </c>
      <c r="S12">
        <v>141</v>
      </c>
      <c r="T12" t="s">
        <v>2440</v>
      </c>
      <c r="U12" t="s">
        <v>1814</v>
      </c>
      <c r="V12">
        <v>149</v>
      </c>
      <c r="Z12">
        <v>152</v>
      </c>
      <c r="AA12" t="s">
        <v>2435</v>
      </c>
      <c r="AB12" t="s">
        <v>38</v>
      </c>
      <c r="AC12" t="s">
        <v>24</v>
      </c>
      <c r="AD12">
        <v>49</v>
      </c>
      <c r="AF12" s="127">
        <v>25056</v>
      </c>
      <c r="AG12">
        <v>412</v>
      </c>
      <c r="AI12">
        <v>30</v>
      </c>
      <c r="AJ12">
        <v>25</v>
      </c>
    </row>
    <row r="13" spans="1:36" x14ac:dyDescent="0.25">
      <c r="A13" t="s">
        <v>155</v>
      </c>
      <c r="B13">
        <v>8</v>
      </c>
      <c r="C13">
        <v>6</v>
      </c>
      <c r="D13">
        <v>527</v>
      </c>
      <c r="E13" t="s">
        <v>768</v>
      </c>
      <c r="F13" t="s">
        <v>1814</v>
      </c>
      <c r="G13">
        <v>20</v>
      </c>
      <c r="H13" t="s">
        <v>1404</v>
      </c>
      <c r="I13" t="s">
        <v>1813</v>
      </c>
      <c r="J13">
        <v>72</v>
      </c>
      <c r="K13" t="s">
        <v>1406</v>
      </c>
      <c r="L13" t="s">
        <v>1813</v>
      </c>
      <c r="M13">
        <v>76</v>
      </c>
      <c r="N13" t="s">
        <v>371</v>
      </c>
      <c r="O13" t="s">
        <v>1814</v>
      </c>
      <c r="P13">
        <v>111</v>
      </c>
      <c r="Q13" t="s">
        <v>283</v>
      </c>
      <c r="R13" t="s">
        <v>1814</v>
      </c>
      <c r="S13">
        <v>112</v>
      </c>
      <c r="T13" t="s">
        <v>2441</v>
      </c>
      <c r="U13" t="s">
        <v>1813</v>
      </c>
      <c r="V13">
        <v>136</v>
      </c>
      <c r="Z13">
        <v>153</v>
      </c>
      <c r="AA13" t="s">
        <v>1742</v>
      </c>
      <c r="AB13" t="s">
        <v>38</v>
      </c>
      <c r="AC13" t="s">
        <v>23</v>
      </c>
      <c r="AD13">
        <v>49</v>
      </c>
      <c r="AF13" s="127">
        <v>25232</v>
      </c>
      <c r="AG13">
        <v>311</v>
      </c>
      <c r="AI13">
        <v>30</v>
      </c>
      <c r="AJ13">
        <v>38</v>
      </c>
    </row>
    <row r="14" spans="1:36" x14ac:dyDescent="0.25">
      <c r="A14" t="s">
        <v>154</v>
      </c>
      <c r="B14">
        <v>9</v>
      </c>
      <c r="C14">
        <v>5</v>
      </c>
      <c r="D14">
        <v>430</v>
      </c>
      <c r="E14" t="s">
        <v>311</v>
      </c>
      <c r="F14" t="s">
        <v>1814</v>
      </c>
      <c r="G14">
        <v>7</v>
      </c>
      <c r="H14" t="s">
        <v>1903</v>
      </c>
      <c r="I14" t="s">
        <v>1813</v>
      </c>
      <c r="J14">
        <v>9</v>
      </c>
      <c r="K14" t="s">
        <v>301</v>
      </c>
      <c r="L14" t="s">
        <v>1814</v>
      </c>
      <c r="M14">
        <v>43</v>
      </c>
      <c r="N14" t="s">
        <v>1699</v>
      </c>
      <c r="O14" t="s">
        <v>1814</v>
      </c>
      <c r="P14">
        <v>63</v>
      </c>
      <c r="Q14" t="s">
        <v>2436</v>
      </c>
      <c r="R14" t="s">
        <v>1814</v>
      </c>
      <c r="S14">
        <v>139</v>
      </c>
      <c r="T14" t="s">
        <v>1815</v>
      </c>
      <c r="V14">
        <v>169</v>
      </c>
      <c r="Z14">
        <v>154</v>
      </c>
      <c r="AA14" t="s">
        <v>1761</v>
      </c>
      <c r="AB14" t="s">
        <v>43</v>
      </c>
      <c r="AC14" t="s">
        <v>23</v>
      </c>
      <c r="AD14">
        <v>49</v>
      </c>
      <c r="AF14" s="127">
        <v>25348</v>
      </c>
      <c r="AG14">
        <v>398</v>
      </c>
      <c r="AI14">
        <v>31</v>
      </c>
      <c r="AJ14">
        <v>2</v>
      </c>
    </row>
    <row r="15" spans="1:36" x14ac:dyDescent="0.25">
      <c r="A15" t="s">
        <v>1278</v>
      </c>
      <c r="Z15">
        <v>155</v>
      </c>
      <c r="AA15" t="s">
        <v>1127</v>
      </c>
      <c r="AB15" t="s">
        <v>38</v>
      </c>
      <c r="AC15" t="s">
        <v>24</v>
      </c>
      <c r="AD15">
        <v>49</v>
      </c>
      <c r="AF15" s="127">
        <v>25315</v>
      </c>
      <c r="AG15">
        <v>438</v>
      </c>
      <c r="AI15">
        <v>31</v>
      </c>
      <c r="AJ15">
        <v>5</v>
      </c>
    </row>
    <row r="16" spans="1:36" x14ac:dyDescent="0.25">
      <c r="A16" t="s">
        <v>12</v>
      </c>
      <c r="B16">
        <v>1</v>
      </c>
      <c r="C16">
        <v>4</v>
      </c>
      <c r="D16">
        <v>13</v>
      </c>
      <c r="E16" t="s">
        <v>901</v>
      </c>
      <c r="F16" t="s">
        <v>1813</v>
      </c>
      <c r="G16">
        <v>1</v>
      </c>
      <c r="H16" t="s">
        <v>260</v>
      </c>
      <c r="I16" t="s">
        <v>1814</v>
      </c>
      <c r="J16">
        <v>3</v>
      </c>
      <c r="K16" t="s">
        <v>2124</v>
      </c>
      <c r="L16" t="s">
        <v>1814</v>
      </c>
      <c r="M16">
        <v>4</v>
      </c>
      <c r="N16" t="s">
        <v>2448</v>
      </c>
      <c r="O16" t="s">
        <v>1813</v>
      </c>
      <c r="P16">
        <v>5</v>
      </c>
      <c r="Z16">
        <v>156</v>
      </c>
      <c r="AA16" t="s">
        <v>578</v>
      </c>
      <c r="AB16" t="s">
        <v>43</v>
      </c>
      <c r="AC16" t="s">
        <v>23</v>
      </c>
      <c r="AD16">
        <v>39</v>
      </c>
      <c r="AF16" s="127">
        <v>28760</v>
      </c>
      <c r="AG16">
        <v>414</v>
      </c>
      <c r="AI16">
        <v>31</v>
      </c>
      <c r="AJ16">
        <v>9</v>
      </c>
    </row>
    <row r="17" spans="1:36" x14ac:dyDescent="0.25">
      <c r="A17" t="s">
        <v>154</v>
      </c>
      <c r="B17">
        <v>2</v>
      </c>
      <c r="C17">
        <v>4</v>
      </c>
      <c r="D17">
        <v>36</v>
      </c>
      <c r="E17" t="s">
        <v>1956</v>
      </c>
      <c r="F17" t="s">
        <v>1814</v>
      </c>
      <c r="G17">
        <v>2</v>
      </c>
      <c r="H17" t="s">
        <v>373</v>
      </c>
      <c r="I17" t="s">
        <v>1814</v>
      </c>
      <c r="J17">
        <v>7</v>
      </c>
      <c r="K17" t="s">
        <v>560</v>
      </c>
      <c r="L17" t="s">
        <v>1814</v>
      </c>
      <c r="M17">
        <v>13</v>
      </c>
      <c r="N17" t="s">
        <v>1928</v>
      </c>
      <c r="O17" t="s">
        <v>1814</v>
      </c>
      <c r="P17">
        <v>14</v>
      </c>
      <c r="Z17">
        <v>157</v>
      </c>
      <c r="AA17" t="s">
        <v>1155</v>
      </c>
      <c r="AB17" t="s">
        <v>43</v>
      </c>
      <c r="AC17" t="s">
        <v>24</v>
      </c>
      <c r="AD17">
        <v>39</v>
      </c>
      <c r="AF17" s="127">
        <v>28894</v>
      </c>
      <c r="AG17">
        <v>266</v>
      </c>
      <c r="AI17">
        <v>31</v>
      </c>
      <c r="AJ17">
        <v>12</v>
      </c>
    </row>
    <row r="18" spans="1:36" x14ac:dyDescent="0.25">
      <c r="A18" t="s">
        <v>108</v>
      </c>
      <c r="B18">
        <v>3</v>
      </c>
      <c r="C18">
        <v>4</v>
      </c>
      <c r="D18">
        <v>57</v>
      </c>
      <c r="E18" t="s">
        <v>229</v>
      </c>
      <c r="F18" t="s">
        <v>1814</v>
      </c>
      <c r="G18">
        <v>9</v>
      </c>
      <c r="H18" t="s">
        <v>2215</v>
      </c>
      <c r="I18" t="s">
        <v>1814</v>
      </c>
      <c r="J18">
        <v>12</v>
      </c>
      <c r="K18" t="s">
        <v>375</v>
      </c>
      <c r="L18" t="s">
        <v>1814</v>
      </c>
      <c r="M18">
        <v>16</v>
      </c>
      <c r="N18" t="s">
        <v>188</v>
      </c>
      <c r="O18" t="s">
        <v>1813</v>
      </c>
      <c r="P18">
        <v>20</v>
      </c>
      <c r="Z18">
        <v>158</v>
      </c>
      <c r="AA18" t="s">
        <v>421</v>
      </c>
      <c r="AB18" t="s">
        <v>14</v>
      </c>
      <c r="AC18" t="s">
        <v>24</v>
      </c>
      <c r="AD18">
        <v>70</v>
      </c>
      <c r="AF18" s="127">
        <v>17501</v>
      </c>
      <c r="AG18">
        <v>330</v>
      </c>
      <c r="AI18">
        <v>31</v>
      </c>
      <c r="AJ18">
        <v>26</v>
      </c>
    </row>
    <row r="19" spans="1:36" x14ac:dyDescent="0.25">
      <c r="A19" t="s">
        <v>14</v>
      </c>
      <c r="B19">
        <v>4</v>
      </c>
      <c r="C19">
        <v>4</v>
      </c>
      <c r="D19">
        <v>64</v>
      </c>
      <c r="E19" t="s">
        <v>575</v>
      </c>
      <c r="F19" t="s">
        <v>1814</v>
      </c>
      <c r="G19">
        <v>8</v>
      </c>
      <c r="H19" t="s">
        <v>1566</v>
      </c>
      <c r="I19" t="s">
        <v>1813</v>
      </c>
      <c r="J19">
        <v>17</v>
      </c>
      <c r="K19" t="s">
        <v>436</v>
      </c>
      <c r="L19" t="s">
        <v>1814</v>
      </c>
      <c r="M19">
        <v>18</v>
      </c>
      <c r="N19" t="s">
        <v>1005</v>
      </c>
      <c r="O19" t="s">
        <v>1814</v>
      </c>
      <c r="P19">
        <v>21</v>
      </c>
      <c r="Z19">
        <v>159</v>
      </c>
      <c r="AA19" t="s">
        <v>1083</v>
      </c>
      <c r="AB19" t="s">
        <v>38</v>
      </c>
      <c r="AC19" t="s">
        <v>23</v>
      </c>
      <c r="AD19">
        <v>56</v>
      </c>
      <c r="AF19" s="127">
        <v>22835</v>
      </c>
      <c r="AG19">
        <v>289</v>
      </c>
      <c r="AI19">
        <v>31</v>
      </c>
      <c r="AJ19">
        <v>45</v>
      </c>
    </row>
    <row r="20" spans="1:36" x14ac:dyDescent="0.25">
      <c r="A20" t="s">
        <v>63</v>
      </c>
      <c r="B20">
        <v>5</v>
      </c>
      <c r="C20">
        <v>4</v>
      </c>
      <c r="D20">
        <v>110</v>
      </c>
      <c r="E20" t="s">
        <v>2211</v>
      </c>
      <c r="F20" t="s">
        <v>1813</v>
      </c>
      <c r="G20">
        <v>10</v>
      </c>
      <c r="H20" t="s">
        <v>251</v>
      </c>
      <c r="I20" t="s">
        <v>1814</v>
      </c>
      <c r="J20">
        <v>31</v>
      </c>
      <c r="K20" t="s">
        <v>1182</v>
      </c>
      <c r="L20" t="s">
        <v>1814</v>
      </c>
      <c r="M20">
        <v>34</v>
      </c>
      <c r="N20" t="s">
        <v>2147</v>
      </c>
      <c r="O20" t="s">
        <v>1813</v>
      </c>
      <c r="P20">
        <v>35</v>
      </c>
      <c r="Z20">
        <v>160</v>
      </c>
      <c r="AA20" t="s">
        <v>2271</v>
      </c>
      <c r="AB20" t="s">
        <v>155</v>
      </c>
      <c r="AC20" t="s">
        <v>23</v>
      </c>
      <c r="AD20">
        <v>58</v>
      </c>
      <c r="AF20" s="127">
        <v>22051</v>
      </c>
      <c r="AG20">
        <v>220</v>
      </c>
      <c r="AI20">
        <v>31</v>
      </c>
      <c r="AJ20">
        <v>59</v>
      </c>
    </row>
    <row r="21" spans="1:36" x14ac:dyDescent="0.25">
      <c r="A21" t="s">
        <v>155</v>
      </c>
      <c r="B21">
        <v>6</v>
      </c>
      <c r="C21">
        <v>4</v>
      </c>
      <c r="D21">
        <v>157</v>
      </c>
      <c r="E21" t="s">
        <v>1511</v>
      </c>
      <c r="F21" t="s">
        <v>1814</v>
      </c>
      <c r="G21">
        <v>28</v>
      </c>
      <c r="H21" t="s">
        <v>281</v>
      </c>
      <c r="I21" t="s">
        <v>1814</v>
      </c>
      <c r="J21">
        <v>36</v>
      </c>
      <c r="K21" t="s">
        <v>1835</v>
      </c>
      <c r="L21" t="s">
        <v>1813</v>
      </c>
      <c r="M21">
        <v>42</v>
      </c>
      <c r="N21" t="s">
        <v>2274</v>
      </c>
      <c r="O21" t="s">
        <v>1814</v>
      </c>
      <c r="P21">
        <v>51</v>
      </c>
      <c r="Z21">
        <v>161</v>
      </c>
      <c r="AA21" t="s">
        <v>2272</v>
      </c>
      <c r="AB21" t="s">
        <v>155</v>
      </c>
      <c r="AC21" t="s">
        <v>23</v>
      </c>
      <c r="AD21">
        <v>44</v>
      </c>
      <c r="AF21" s="127">
        <v>27116</v>
      </c>
      <c r="AG21">
        <v>411</v>
      </c>
      <c r="AI21">
        <v>32</v>
      </c>
      <c r="AJ21">
        <v>6</v>
      </c>
    </row>
    <row r="22" spans="1:36" x14ac:dyDescent="0.25">
      <c r="A22" t="s">
        <v>38</v>
      </c>
      <c r="B22">
        <v>7</v>
      </c>
      <c r="C22">
        <v>4</v>
      </c>
      <c r="D22">
        <v>292</v>
      </c>
      <c r="E22" t="s">
        <v>1371</v>
      </c>
      <c r="F22" t="s">
        <v>1814</v>
      </c>
      <c r="G22">
        <v>62</v>
      </c>
      <c r="H22" t="s">
        <v>1742</v>
      </c>
      <c r="I22" t="s">
        <v>1814</v>
      </c>
      <c r="J22">
        <v>71</v>
      </c>
      <c r="K22" t="s">
        <v>1366</v>
      </c>
      <c r="L22" t="s">
        <v>1814</v>
      </c>
      <c r="M22">
        <v>79</v>
      </c>
      <c r="N22" t="s">
        <v>2242</v>
      </c>
      <c r="O22" t="s">
        <v>1814</v>
      </c>
      <c r="P22">
        <v>80</v>
      </c>
      <c r="Z22">
        <v>162</v>
      </c>
      <c r="AA22" t="s">
        <v>1043</v>
      </c>
      <c r="AB22" t="s">
        <v>154</v>
      </c>
      <c r="AC22" t="s">
        <v>23</v>
      </c>
      <c r="AD22">
        <v>45</v>
      </c>
      <c r="AF22" s="127">
        <v>26628</v>
      </c>
      <c r="AG22">
        <v>228</v>
      </c>
      <c r="AI22">
        <v>32</v>
      </c>
      <c r="AJ22">
        <v>8</v>
      </c>
    </row>
    <row r="23" spans="1:36" x14ac:dyDescent="0.25">
      <c r="A23" t="s">
        <v>43</v>
      </c>
      <c r="B23">
        <v>8</v>
      </c>
      <c r="C23">
        <v>4</v>
      </c>
      <c r="D23">
        <v>293</v>
      </c>
      <c r="E23" t="s">
        <v>380</v>
      </c>
      <c r="F23" t="s">
        <v>1814</v>
      </c>
      <c r="G23">
        <v>43</v>
      </c>
      <c r="H23" t="s">
        <v>578</v>
      </c>
      <c r="I23" t="s">
        <v>1814</v>
      </c>
      <c r="J23">
        <v>75</v>
      </c>
      <c r="K23" t="s">
        <v>1761</v>
      </c>
      <c r="L23" t="s">
        <v>1814</v>
      </c>
      <c r="M23">
        <v>82</v>
      </c>
      <c r="N23" t="s">
        <v>189</v>
      </c>
      <c r="O23" t="s">
        <v>1814</v>
      </c>
      <c r="P23">
        <v>93</v>
      </c>
      <c r="Z23">
        <v>163</v>
      </c>
      <c r="AA23" t="s">
        <v>1699</v>
      </c>
      <c r="AB23" t="s">
        <v>154</v>
      </c>
      <c r="AC23" t="s">
        <v>24</v>
      </c>
      <c r="AD23">
        <v>61</v>
      </c>
      <c r="AF23" s="127">
        <v>20663</v>
      </c>
      <c r="AG23">
        <v>260</v>
      </c>
      <c r="AI23">
        <v>32</v>
      </c>
      <c r="AJ23">
        <v>16</v>
      </c>
    </row>
    <row r="24" spans="1:36" x14ac:dyDescent="0.25">
      <c r="A24" t="s">
        <v>1805</v>
      </c>
      <c r="B24">
        <v>9</v>
      </c>
      <c r="C24">
        <v>3</v>
      </c>
      <c r="D24">
        <v>241</v>
      </c>
      <c r="E24" t="s">
        <v>2218</v>
      </c>
      <c r="F24" t="s">
        <v>1814</v>
      </c>
      <c r="G24">
        <v>24</v>
      </c>
      <c r="H24" t="s">
        <v>2236</v>
      </c>
      <c r="I24" t="s">
        <v>1814</v>
      </c>
      <c r="J24">
        <v>57</v>
      </c>
      <c r="K24" t="s">
        <v>2234</v>
      </c>
      <c r="L24" t="s">
        <v>1814</v>
      </c>
      <c r="M24">
        <v>61</v>
      </c>
      <c r="N24" t="s">
        <v>1815</v>
      </c>
      <c r="P24">
        <v>99</v>
      </c>
      <c r="Z24">
        <v>164</v>
      </c>
      <c r="AA24" t="s">
        <v>2436</v>
      </c>
      <c r="AB24" t="s">
        <v>154</v>
      </c>
      <c r="AC24" t="s">
        <v>24</v>
      </c>
      <c r="AD24">
        <v>64</v>
      </c>
      <c r="AF24" s="127">
        <v>19612</v>
      </c>
      <c r="AG24">
        <v>420</v>
      </c>
      <c r="AI24">
        <v>32</v>
      </c>
      <c r="AJ24">
        <v>23</v>
      </c>
    </row>
    <row r="25" spans="1:36" x14ac:dyDescent="0.25">
      <c r="Z25">
        <v>165</v>
      </c>
      <c r="AA25" t="s">
        <v>2437</v>
      </c>
      <c r="AB25" t="s">
        <v>108</v>
      </c>
      <c r="AC25" t="s">
        <v>23</v>
      </c>
      <c r="AD25">
        <v>62</v>
      </c>
      <c r="AF25" s="127">
        <v>20300</v>
      </c>
      <c r="AG25">
        <v>361</v>
      </c>
      <c r="AI25">
        <v>32</v>
      </c>
      <c r="AJ25">
        <v>25</v>
      </c>
    </row>
    <row r="26" spans="1:36" x14ac:dyDescent="0.25">
      <c r="Z26">
        <v>166</v>
      </c>
      <c r="AA26" t="s">
        <v>1371</v>
      </c>
      <c r="AB26" t="s">
        <v>38</v>
      </c>
      <c r="AC26" t="s">
        <v>23</v>
      </c>
      <c r="AD26">
        <v>38</v>
      </c>
      <c r="AF26" s="127">
        <v>29323</v>
      </c>
      <c r="AG26">
        <v>250</v>
      </c>
      <c r="AI26">
        <v>32</v>
      </c>
      <c r="AJ26">
        <v>27</v>
      </c>
    </row>
    <row r="27" spans="1:36" x14ac:dyDescent="0.25">
      <c r="Z27">
        <v>167</v>
      </c>
      <c r="AA27" t="s">
        <v>1792</v>
      </c>
      <c r="AB27" t="s">
        <v>1805</v>
      </c>
      <c r="AC27" t="s">
        <v>24</v>
      </c>
      <c r="AD27">
        <v>56</v>
      </c>
      <c r="AF27" s="127">
        <v>22737</v>
      </c>
      <c r="AG27">
        <v>195</v>
      </c>
      <c r="AI27">
        <v>32</v>
      </c>
      <c r="AJ27">
        <v>30</v>
      </c>
    </row>
    <row r="28" spans="1:36" x14ac:dyDescent="0.25">
      <c r="Z28">
        <v>168</v>
      </c>
      <c r="AA28" t="s">
        <v>2028</v>
      </c>
      <c r="AB28" t="s">
        <v>1805</v>
      </c>
      <c r="AC28" t="s">
        <v>24</v>
      </c>
      <c r="AD28">
        <v>29</v>
      </c>
      <c r="AF28" s="127">
        <v>32449</v>
      </c>
      <c r="AG28">
        <v>235</v>
      </c>
      <c r="AI28">
        <v>32</v>
      </c>
      <c r="AJ28">
        <v>31</v>
      </c>
    </row>
    <row r="29" spans="1:36" x14ac:dyDescent="0.25">
      <c r="Z29">
        <v>169</v>
      </c>
      <c r="AA29" t="s">
        <v>2197</v>
      </c>
      <c r="AB29" t="s">
        <v>1805</v>
      </c>
      <c r="AC29" t="s">
        <v>24</v>
      </c>
      <c r="AD29">
        <v>31</v>
      </c>
      <c r="AF29" s="127">
        <v>31708</v>
      </c>
      <c r="AG29">
        <v>407</v>
      </c>
      <c r="AI29">
        <v>32</v>
      </c>
      <c r="AJ29">
        <v>32</v>
      </c>
    </row>
    <row r="30" spans="1:36" x14ac:dyDescent="0.25">
      <c r="Z30">
        <v>170</v>
      </c>
      <c r="AA30" t="s">
        <v>2234</v>
      </c>
      <c r="AB30" t="s">
        <v>1805</v>
      </c>
      <c r="AC30" t="s">
        <v>23</v>
      </c>
      <c r="AD30">
        <v>38</v>
      </c>
      <c r="AF30" s="127">
        <v>29289</v>
      </c>
      <c r="AG30">
        <v>454</v>
      </c>
      <c r="AI30">
        <v>32</v>
      </c>
      <c r="AJ30">
        <v>39</v>
      </c>
    </row>
    <row r="31" spans="1:36" x14ac:dyDescent="0.25">
      <c r="Z31">
        <v>171</v>
      </c>
      <c r="AA31" t="s">
        <v>2216</v>
      </c>
      <c r="AB31" t="s">
        <v>1805</v>
      </c>
      <c r="AC31" t="s">
        <v>23</v>
      </c>
      <c r="AD31">
        <v>27</v>
      </c>
      <c r="AF31" s="127">
        <v>33320</v>
      </c>
      <c r="AG31">
        <v>447</v>
      </c>
      <c r="AI31">
        <v>32</v>
      </c>
      <c r="AJ31">
        <v>47</v>
      </c>
    </row>
    <row r="32" spans="1:36" x14ac:dyDescent="0.25">
      <c r="Z32">
        <v>172</v>
      </c>
      <c r="AA32" t="s">
        <v>2193</v>
      </c>
      <c r="AB32" t="s">
        <v>1805</v>
      </c>
      <c r="AC32" t="s">
        <v>24</v>
      </c>
      <c r="AD32">
        <v>27</v>
      </c>
      <c r="AF32" s="127">
        <v>33086</v>
      </c>
      <c r="AG32">
        <v>431</v>
      </c>
      <c r="AI32">
        <v>32</v>
      </c>
      <c r="AJ32">
        <v>51</v>
      </c>
    </row>
    <row r="33" spans="26:36" x14ac:dyDescent="0.25">
      <c r="Z33">
        <v>173</v>
      </c>
      <c r="AA33" t="s">
        <v>524</v>
      </c>
      <c r="AB33" t="s">
        <v>63</v>
      </c>
      <c r="AC33" t="s">
        <v>24</v>
      </c>
      <c r="AD33">
        <v>36</v>
      </c>
      <c r="AF33" s="127">
        <v>29845</v>
      </c>
      <c r="AG33">
        <v>399</v>
      </c>
      <c r="AI33">
        <v>33</v>
      </c>
      <c r="AJ33">
        <v>8</v>
      </c>
    </row>
    <row r="34" spans="26:36" x14ac:dyDescent="0.25">
      <c r="Z34">
        <v>174</v>
      </c>
      <c r="AA34" t="s">
        <v>683</v>
      </c>
      <c r="AB34" t="s">
        <v>43</v>
      </c>
      <c r="AC34" t="s">
        <v>24</v>
      </c>
      <c r="AD34">
        <v>63</v>
      </c>
      <c r="AF34" s="127">
        <v>20287</v>
      </c>
      <c r="AG34">
        <v>172</v>
      </c>
      <c r="AI34">
        <v>33</v>
      </c>
      <c r="AJ34">
        <v>9</v>
      </c>
    </row>
    <row r="35" spans="26:36" x14ac:dyDescent="0.25">
      <c r="Z35">
        <v>175</v>
      </c>
      <c r="AA35" t="s">
        <v>1514</v>
      </c>
      <c r="AB35" t="s">
        <v>155</v>
      </c>
      <c r="AC35" t="s">
        <v>23</v>
      </c>
      <c r="AD35">
        <v>40</v>
      </c>
      <c r="AF35" s="127">
        <v>28453</v>
      </c>
      <c r="AG35">
        <v>169</v>
      </c>
      <c r="AI35">
        <v>33</v>
      </c>
      <c r="AJ35">
        <v>16</v>
      </c>
    </row>
    <row r="36" spans="26:36" x14ac:dyDescent="0.25">
      <c r="Z36">
        <v>176</v>
      </c>
      <c r="AA36" t="s">
        <v>2281</v>
      </c>
      <c r="AB36" t="s">
        <v>155</v>
      </c>
      <c r="AC36" t="s">
        <v>23</v>
      </c>
      <c r="AD36">
        <v>28</v>
      </c>
      <c r="AF36" s="127">
        <v>32969</v>
      </c>
      <c r="AG36">
        <v>357</v>
      </c>
      <c r="AI36">
        <v>33</v>
      </c>
      <c r="AJ36">
        <v>27</v>
      </c>
    </row>
    <row r="37" spans="26:36" x14ac:dyDescent="0.25">
      <c r="Z37">
        <v>177</v>
      </c>
      <c r="AA37" t="s">
        <v>283</v>
      </c>
      <c r="AB37" t="s">
        <v>155</v>
      </c>
      <c r="AC37" t="s">
        <v>24</v>
      </c>
      <c r="AD37">
        <v>50</v>
      </c>
      <c r="AF37" s="127">
        <v>24958</v>
      </c>
      <c r="AG37">
        <v>378</v>
      </c>
      <c r="AI37">
        <v>33</v>
      </c>
      <c r="AJ37">
        <v>30</v>
      </c>
    </row>
    <row r="38" spans="26:36" x14ac:dyDescent="0.25">
      <c r="Z38">
        <v>178</v>
      </c>
      <c r="AA38" t="s">
        <v>951</v>
      </c>
      <c r="AB38" t="s">
        <v>155</v>
      </c>
      <c r="AC38" t="s">
        <v>23</v>
      </c>
      <c r="AD38">
        <v>52</v>
      </c>
      <c r="AF38" s="127">
        <v>24105</v>
      </c>
      <c r="AG38">
        <v>283</v>
      </c>
      <c r="AI38">
        <v>33</v>
      </c>
      <c r="AJ38">
        <v>31</v>
      </c>
    </row>
    <row r="39" spans="26:36" x14ac:dyDescent="0.25">
      <c r="Z39">
        <v>179</v>
      </c>
      <c r="AA39" t="s">
        <v>557</v>
      </c>
      <c r="AB39" t="s">
        <v>154</v>
      </c>
      <c r="AC39" t="s">
        <v>24</v>
      </c>
      <c r="AD39">
        <v>54</v>
      </c>
      <c r="AF39" s="127">
        <v>23481</v>
      </c>
      <c r="AG39">
        <v>303</v>
      </c>
      <c r="AI39">
        <v>33</v>
      </c>
      <c r="AJ39">
        <v>33</v>
      </c>
    </row>
    <row r="40" spans="26:36" x14ac:dyDescent="0.25">
      <c r="Z40">
        <v>180</v>
      </c>
      <c r="AA40" t="s">
        <v>1159</v>
      </c>
      <c r="AB40" t="s">
        <v>155</v>
      </c>
      <c r="AC40" t="s">
        <v>23</v>
      </c>
      <c r="AD40">
        <v>48</v>
      </c>
      <c r="AF40" s="127">
        <v>25498</v>
      </c>
      <c r="AG40">
        <v>442</v>
      </c>
      <c r="AI40">
        <v>33</v>
      </c>
      <c r="AJ40">
        <v>35</v>
      </c>
    </row>
    <row r="41" spans="26:36" x14ac:dyDescent="0.25">
      <c r="Z41">
        <v>181</v>
      </c>
      <c r="AA41" t="s">
        <v>1362</v>
      </c>
      <c r="AB41" t="s">
        <v>12</v>
      </c>
      <c r="AC41" t="s">
        <v>23</v>
      </c>
      <c r="AD41">
        <v>57</v>
      </c>
      <c r="AF41" s="127">
        <v>22256</v>
      </c>
      <c r="AG41">
        <v>288</v>
      </c>
      <c r="AI41">
        <v>33</v>
      </c>
      <c r="AJ41">
        <v>37</v>
      </c>
    </row>
    <row r="42" spans="26:36" x14ac:dyDescent="0.25">
      <c r="Z42">
        <v>182</v>
      </c>
      <c r="AA42" t="s">
        <v>809</v>
      </c>
      <c r="AB42" t="s">
        <v>155</v>
      </c>
      <c r="AC42" t="s">
        <v>23</v>
      </c>
      <c r="AD42">
        <v>50</v>
      </c>
      <c r="AF42" s="127">
        <v>24887</v>
      </c>
      <c r="AG42">
        <v>356</v>
      </c>
      <c r="AI42">
        <v>33</v>
      </c>
      <c r="AJ42">
        <v>43</v>
      </c>
    </row>
    <row r="43" spans="26:36" x14ac:dyDescent="0.25">
      <c r="Z43">
        <v>183</v>
      </c>
      <c r="AA43" t="s">
        <v>1756</v>
      </c>
      <c r="AB43" t="s">
        <v>155</v>
      </c>
      <c r="AC43" t="s">
        <v>24</v>
      </c>
      <c r="AD43">
        <v>47</v>
      </c>
      <c r="AF43" s="127">
        <v>26057</v>
      </c>
      <c r="AG43">
        <v>168</v>
      </c>
      <c r="AI43">
        <v>33</v>
      </c>
      <c r="AJ43">
        <v>48</v>
      </c>
    </row>
    <row r="44" spans="26:36" x14ac:dyDescent="0.25">
      <c r="Z44">
        <v>184</v>
      </c>
      <c r="AA44" t="s">
        <v>2289</v>
      </c>
      <c r="AB44" t="s">
        <v>14</v>
      </c>
      <c r="AC44" t="s">
        <v>24</v>
      </c>
      <c r="AD44">
        <v>41</v>
      </c>
      <c r="AF44" s="127">
        <v>28087</v>
      </c>
      <c r="AG44">
        <v>338</v>
      </c>
      <c r="AI44">
        <v>33</v>
      </c>
      <c r="AJ44">
        <v>54</v>
      </c>
    </row>
    <row r="45" spans="26:36" x14ac:dyDescent="0.25">
      <c r="Z45">
        <v>185</v>
      </c>
      <c r="AA45" t="s">
        <v>2148</v>
      </c>
      <c r="AB45" t="s">
        <v>14</v>
      </c>
      <c r="AC45" t="s">
        <v>24</v>
      </c>
      <c r="AD45">
        <v>47</v>
      </c>
      <c r="AF45" s="127">
        <v>25940</v>
      </c>
      <c r="AG45">
        <v>440</v>
      </c>
      <c r="AI45">
        <v>34</v>
      </c>
      <c r="AJ45">
        <v>0</v>
      </c>
    </row>
    <row r="46" spans="26:36" x14ac:dyDescent="0.25">
      <c r="Z46">
        <v>186</v>
      </c>
      <c r="AA46" t="s">
        <v>1794</v>
      </c>
      <c r="AB46" t="s">
        <v>14</v>
      </c>
      <c r="AC46" t="s">
        <v>23</v>
      </c>
      <c r="AD46">
        <v>40</v>
      </c>
      <c r="AF46" s="127">
        <v>28331</v>
      </c>
      <c r="AG46">
        <v>419</v>
      </c>
      <c r="AI46">
        <v>34</v>
      </c>
      <c r="AJ46">
        <v>19</v>
      </c>
    </row>
    <row r="47" spans="26:36" x14ac:dyDescent="0.25">
      <c r="Z47">
        <v>187</v>
      </c>
      <c r="AA47" t="s">
        <v>1762</v>
      </c>
      <c r="AB47" t="s">
        <v>108</v>
      </c>
      <c r="AC47" t="s">
        <v>24</v>
      </c>
      <c r="AD47">
        <v>59</v>
      </c>
      <c r="AF47" s="127">
        <v>21688</v>
      </c>
      <c r="AG47">
        <v>342</v>
      </c>
      <c r="AI47">
        <v>34</v>
      </c>
      <c r="AJ47">
        <v>28</v>
      </c>
    </row>
    <row r="48" spans="26:36" x14ac:dyDescent="0.25">
      <c r="Z48">
        <v>188</v>
      </c>
      <c r="AA48" t="s">
        <v>1677</v>
      </c>
      <c r="AB48" t="s">
        <v>14</v>
      </c>
      <c r="AC48" t="s">
        <v>23</v>
      </c>
      <c r="AD48">
        <v>59</v>
      </c>
      <c r="AF48" s="127">
        <v>21555</v>
      </c>
      <c r="AG48">
        <v>242</v>
      </c>
      <c r="AI48">
        <v>34</v>
      </c>
      <c r="AJ48">
        <v>31</v>
      </c>
    </row>
    <row r="49" spans="26:36" x14ac:dyDescent="0.25">
      <c r="Z49">
        <v>189</v>
      </c>
      <c r="AA49" t="s">
        <v>1911</v>
      </c>
      <c r="AB49" t="s">
        <v>14</v>
      </c>
      <c r="AC49" t="s">
        <v>24</v>
      </c>
      <c r="AD49">
        <v>60</v>
      </c>
      <c r="AF49" s="127">
        <v>21251</v>
      </c>
      <c r="AG49">
        <v>212</v>
      </c>
      <c r="AI49">
        <v>34</v>
      </c>
      <c r="AJ49">
        <v>33</v>
      </c>
    </row>
    <row r="50" spans="26:36" x14ac:dyDescent="0.25">
      <c r="Z50">
        <v>190</v>
      </c>
      <c r="AA50" t="s">
        <v>1851</v>
      </c>
      <c r="AB50" t="s">
        <v>63</v>
      </c>
      <c r="AC50" t="s">
        <v>23</v>
      </c>
      <c r="AD50">
        <v>27</v>
      </c>
      <c r="AF50" s="127">
        <v>33331</v>
      </c>
      <c r="AG50">
        <v>299</v>
      </c>
      <c r="AI50">
        <v>34</v>
      </c>
      <c r="AJ50">
        <v>49</v>
      </c>
    </row>
    <row r="51" spans="26:36" x14ac:dyDescent="0.25">
      <c r="Z51">
        <v>191</v>
      </c>
      <c r="AA51" t="s">
        <v>2194</v>
      </c>
      <c r="AB51" t="s">
        <v>63</v>
      </c>
      <c r="AC51" t="s">
        <v>24</v>
      </c>
      <c r="AD51">
        <v>25</v>
      </c>
      <c r="AF51" s="127">
        <v>34046</v>
      </c>
      <c r="AG51">
        <v>358</v>
      </c>
      <c r="AI51">
        <v>34</v>
      </c>
      <c r="AJ51">
        <v>50</v>
      </c>
    </row>
    <row r="52" spans="26:36" x14ac:dyDescent="0.25">
      <c r="Z52">
        <v>192</v>
      </c>
      <c r="AA52" t="s">
        <v>1835</v>
      </c>
      <c r="AB52" t="s">
        <v>155</v>
      </c>
      <c r="AC52" t="s">
        <v>23</v>
      </c>
      <c r="AD52">
        <v>27</v>
      </c>
      <c r="AF52" s="127">
        <v>33126</v>
      </c>
      <c r="AG52">
        <v>434</v>
      </c>
      <c r="AI52">
        <v>34</v>
      </c>
      <c r="AJ52">
        <v>58</v>
      </c>
    </row>
    <row r="53" spans="26:36" x14ac:dyDescent="0.25">
      <c r="Z53">
        <v>193</v>
      </c>
      <c r="AA53" t="s">
        <v>2233</v>
      </c>
      <c r="AB53" t="s">
        <v>38</v>
      </c>
      <c r="AC53" t="s">
        <v>24</v>
      </c>
      <c r="AD53">
        <v>54</v>
      </c>
      <c r="AF53" s="127">
        <v>23242</v>
      </c>
      <c r="AG53">
        <v>295</v>
      </c>
      <c r="AI53">
        <v>35</v>
      </c>
      <c r="AJ53">
        <v>24</v>
      </c>
    </row>
    <row r="54" spans="26:36" x14ac:dyDescent="0.25">
      <c r="Z54">
        <v>194</v>
      </c>
      <c r="AA54" t="s">
        <v>1366</v>
      </c>
      <c r="AB54" t="s">
        <v>38</v>
      </c>
      <c r="AC54" t="s">
        <v>23</v>
      </c>
      <c r="AD54">
        <v>45</v>
      </c>
      <c r="AF54" s="127">
        <v>26794</v>
      </c>
      <c r="AG54">
        <v>444</v>
      </c>
      <c r="AI54">
        <v>35</v>
      </c>
      <c r="AJ54">
        <v>27</v>
      </c>
    </row>
    <row r="55" spans="26:36" x14ac:dyDescent="0.25">
      <c r="Z55">
        <v>195</v>
      </c>
      <c r="AA55" t="s">
        <v>768</v>
      </c>
      <c r="AB55" t="s">
        <v>155</v>
      </c>
      <c r="AC55" t="s">
        <v>24</v>
      </c>
      <c r="AD55">
        <v>40</v>
      </c>
      <c r="AF55" s="127">
        <v>28389</v>
      </c>
      <c r="AG55">
        <v>389</v>
      </c>
      <c r="AI55">
        <v>35</v>
      </c>
      <c r="AJ55">
        <v>32</v>
      </c>
    </row>
    <row r="56" spans="26:36" x14ac:dyDescent="0.25">
      <c r="Z56">
        <v>196</v>
      </c>
      <c r="AA56" t="s">
        <v>928</v>
      </c>
      <c r="AB56" t="s">
        <v>12</v>
      </c>
      <c r="AC56" t="s">
        <v>24</v>
      </c>
      <c r="AD56">
        <v>34</v>
      </c>
      <c r="AF56" s="127">
        <v>30830</v>
      </c>
      <c r="AG56">
        <v>306</v>
      </c>
      <c r="AI56">
        <v>35</v>
      </c>
      <c r="AJ56">
        <v>34</v>
      </c>
    </row>
    <row r="57" spans="26:36" x14ac:dyDescent="0.25">
      <c r="Z57">
        <v>197</v>
      </c>
      <c r="AA57" t="s">
        <v>2208</v>
      </c>
      <c r="AB57" t="s">
        <v>12</v>
      </c>
      <c r="AC57" t="s">
        <v>24</v>
      </c>
      <c r="AD57">
        <v>32</v>
      </c>
      <c r="AF57" s="127">
        <v>31587</v>
      </c>
      <c r="AG57">
        <v>196</v>
      </c>
      <c r="AI57">
        <v>35</v>
      </c>
      <c r="AJ57">
        <v>37</v>
      </c>
    </row>
    <row r="58" spans="26:36" x14ac:dyDescent="0.25">
      <c r="Z58">
        <v>198</v>
      </c>
      <c r="AA58" t="s">
        <v>2206</v>
      </c>
      <c r="AB58" t="s">
        <v>12</v>
      </c>
      <c r="AC58" t="s">
        <v>24</v>
      </c>
      <c r="AD58">
        <v>41</v>
      </c>
      <c r="AF58" s="127">
        <v>28194</v>
      </c>
      <c r="AG58">
        <v>341</v>
      </c>
      <c r="AI58">
        <v>35</v>
      </c>
      <c r="AJ58">
        <v>44</v>
      </c>
    </row>
    <row r="59" spans="26:36" x14ac:dyDescent="0.25">
      <c r="Z59">
        <v>199</v>
      </c>
      <c r="AA59" t="s">
        <v>258</v>
      </c>
      <c r="AB59" t="s">
        <v>12</v>
      </c>
      <c r="AC59" t="s">
        <v>23</v>
      </c>
      <c r="AD59">
        <v>56</v>
      </c>
      <c r="AF59" s="127">
        <v>22659</v>
      </c>
      <c r="AG59">
        <v>151</v>
      </c>
      <c r="AI59">
        <v>35</v>
      </c>
      <c r="AJ59">
        <v>48</v>
      </c>
    </row>
    <row r="60" spans="26:36" x14ac:dyDescent="0.25">
      <c r="Z60">
        <v>200</v>
      </c>
      <c r="AA60" t="s">
        <v>2228</v>
      </c>
      <c r="AB60" t="s">
        <v>12</v>
      </c>
      <c r="AC60" t="s">
        <v>23</v>
      </c>
      <c r="AD60">
        <v>32</v>
      </c>
      <c r="AF60" s="127">
        <v>31611</v>
      </c>
      <c r="AG60">
        <v>305</v>
      </c>
      <c r="AI60">
        <v>35</v>
      </c>
      <c r="AJ60">
        <v>55</v>
      </c>
    </row>
    <row r="61" spans="26:36" x14ac:dyDescent="0.25">
      <c r="Z61">
        <v>201</v>
      </c>
      <c r="AA61" t="s">
        <v>839</v>
      </c>
      <c r="AB61" t="s">
        <v>63</v>
      </c>
      <c r="AC61" t="s">
        <v>23</v>
      </c>
      <c r="AD61">
        <v>57</v>
      </c>
      <c r="AF61" s="127">
        <v>22163</v>
      </c>
      <c r="AG61">
        <v>310</v>
      </c>
      <c r="AI61">
        <v>36</v>
      </c>
      <c r="AJ61">
        <v>1</v>
      </c>
    </row>
    <row r="62" spans="26:36" x14ac:dyDescent="0.25">
      <c r="Z62">
        <v>202</v>
      </c>
      <c r="AA62" t="s">
        <v>1784</v>
      </c>
      <c r="AB62" t="s">
        <v>12</v>
      </c>
      <c r="AC62" t="s">
        <v>24</v>
      </c>
      <c r="AD62">
        <v>45</v>
      </c>
      <c r="AF62" s="127">
        <v>26569</v>
      </c>
      <c r="AG62">
        <v>385</v>
      </c>
      <c r="AI62">
        <v>36</v>
      </c>
      <c r="AJ62">
        <v>7</v>
      </c>
    </row>
    <row r="63" spans="26:36" x14ac:dyDescent="0.25">
      <c r="Z63">
        <v>203</v>
      </c>
      <c r="AA63" t="s">
        <v>1662</v>
      </c>
      <c r="AB63" t="s">
        <v>14</v>
      </c>
      <c r="AC63" t="s">
        <v>24</v>
      </c>
      <c r="AD63">
        <v>53</v>
      </c>
      <c r="AF63" s="127">
        <v>23899</v>
      </c>
      <c r="AG63">
        <v>424</v>
      </c>
      <c r="AI63">
        <v>36</v>
      </c>
      <c r="AJ63">
        <v>12</v>
      </c>
    </row>
    <row r="64" spans="26:36" x14ac:dyDescent="0.25">
      <c r="Z64">
        <v>204</v>
      </c>
      <c r="AA64" t="s">
        <v>1359</v>
      </c>
      <c r="AB64" t="s">
        <v>12</v>
      </c>
      <c r="AC64" t="s">
        <v>23</v>
      </c>
      <c r="AD64">
        <v>53</v>
      </c>
      <c r="AF64" s="127">
        <v>23728</v>
      </c>
      <c r="AG64">
        <v>317</v>
      </c>
      <c r="AI64">
        <v>36</v>
      </c>
      <c r="AJ64">
        <v>16</v>
      </c>
    </row>
    <row r="65" spans="26:36" x14ac:dyDescent="0.25">
      <c r="Z65">
        <v>205</v>
      </c>
      <c r="AA65" t="s">
        <v>509</v>
      </c>
      <c r="AB65" t="s">
        <v>154</v>
      </c>
      <c r="AC65" t="s">
        <v>23</v>
      </c>
      <c r="AD65">
        <v>60</v>
      </c>
      <c r="AF65" s="127">
        <v>21261</v>
      </c>
      <c r="AG65">
        <v>382</v>
      </c>
      <c r="AI65">
        <v>36</v>
      </c>
      <c r="AJ65">
        <v>27</v>
      </c>
    </row>
    <row r="66" spans="26:36" x14ac:dyDescent="0.25">
      <c r="Z66">
        <v>206</v>
      </c>
      <c r="AA66" t="s">
        <v>1786</v>
      </c>
      <c r="AB66" t="s">
        <v>12</v>
      </c>
      <c r="AC66" t="s">
        <v>24</v>
      </c>
      <c r="AD66">
        <v>32</v>
      </c>
      <c r="AF66" s="127">
        <v>31399</v>
      </c>
      <c r="AG66">
        <v>233</v>
      </c>
      <c r="AI66">
        <v>36</v>
      </c>
      <c r="AJ66">
        <v>29</v>
      </c>
    </row>
    <row r="67" spans="26:36" x14ac:dyDescent="0.25">
      <c r="Z67">
        <v>207</v>
      </c>
      <c r="AA67" t="s">
        <v>179</v>
      </c>
      <c r="AB67" t="s">
        <v>12</v>
      </c>
      <c r="AC67" t="s">
        <v>23</v>
      </c>
      <c r="AD67">
        <v>49</v>
      </c>
      <c r="AF67" s="127">
        <v>25400</v>
      </c>
      <c r="AG67">
        <v>227</v>
      </c>
      <c r="AI67">
        <v>36</v>
      </c>
      <c r="AJ67">
        <v>31</v>
      </c>
    </row>
    <row r="68" spans="26:36" x14ac:dyDescent="0.25">
      <c r="Z68">
        <v>208</v>
      </c>
      <c r="AA68" t="s">
        <v>584</v>
      </c>
      <c r="AB68" t="s">
        <v>155</v>
      </c>
      <c r="AC68" t="s">
        <v>24</v>
      </c>
      <c r="AD68">
        <v>41</v>
      </c>
      <c r="AF68" s="127">
        <v>28286</v>
      </c>
      <c r="AG68">
        <v>372</v>
      </c>
      <c r="AI68">
        <v>36</v>
      </c>
      <c r="AJ68">
        <v>32</v>
      </c>
    </row>
    <row r="69" spans="26:36" x14ac:dyDescent="0.25">
      <c r="Z69">
        <v>209</v>
      </c>
      <c r="AA69" t="s">
        <v>1992</v>
      </c>
      <c r="AB69" t="s">
        <v>12</v>
      </c>
      <c r="AC69" t="s">
        <v>23</v>
      </c>
      <c r="AD69">
        <v>43</v>
      </c>
      <c r="AF69" s="127">
        <v>27466</v>
      </c>
      <c r="AG69">
        <v>252</v>
      </c>
      <c r="AI69">
        <v>36</v>
      </c>
      <c r="AJ69">
        <v>33</v>
      </c>
    </row>
    <row r="70" spans="26:36" x14ac:dyDescent="0.25">
      <c r="Z70">
        <v>210</v>
      </c>
      <c r="AA70" t="s">
        <v>181</v>
      </c>
      <c r="AB70" t="s">
        <v>12</v>
      </c>
      <c r="AC70" t="s">
        <v>23</v>
      </c>
      <c r="AD70">
        <v>46</v>
      </c>
      <c r="AF70" s="127">
        <v>26412</v>
      </c>
      <c r="AG70">
        <v>340</v>
      </c>
      <c r="AI70">
        <v>36</v>
      </c>
      <c r="AJ70">
        <v>34</v>
      </c>
    </row>
    <row r="71" spans="26:36" x14ac:dyDescent="0.25">
      <c r="Z71">
        <v>211</v>
      </c>
      <c r="AA71" t="s">
        <v>2247</v>
      </c>
      <c r="AB71" t="s">
        <v>63</v>
      </c>
      <c r="AC71" t="s">
        <v>24</v>
      </c>
      <c r="AD71">
        <v>35</v>
      </c>
      <c r="AF71" s="127">
        <v>30229</v>
      </c>
      <c r="AG71">
        <v>347</v>
      </c>
      <c r="AI71">
        <v>36</v>
      </c>
      <c r="AJ71">
        <v>44</v>
      </c>
    </row>
    <row r="72" spans="26:36" x14ac:dyDescent="0.25">
      <c r="Z72">
        <v>212</v>
      </c>
      <c r="AA72" t="s">
        <v>1785</v>
      </c>
      <c r="AB72" t="s">
        <v>12</v>
      </c>
      <c r="AC72" t="s">
        <v>24</v>
      </c>
      <c r="AD72">
        <v>27</v>
      </c>
      <c r="AF72" s="127">
        <v>33306</v>
      </c>
      <c r="AG72">
        <v>240</v>
      </c>
      <c r="AI72">
        <v>36</v>
      </c>
      <c r="AJ72">
        <v>48</v>
      </c>
    </row>
    <row r="73" spans="26:36" x14ac:dyDescent="0.25">
      <c r="Z73">
        <v>213</v>
      </c>
      <c r="AA73" t="s">
        <v>2349</v>
      </c>
      <c r="AB73" t="s">
        <v>63</v>
      </c>
      <c r="AC73" t="s">
        <v>24</v>
      </c>
      <c r="AD73">
        <v>39</v>
      </c>
      <c r="AF73" s="127">
        <v>28962</v>
      </c>
      <c r="AG73">
        <v>189</v>
      </c>
      <c r="AI73">
        <v>37</v>
      </c>
      <c r="AJ73">
        <v>4</v>
      </c>
    </row>
    <row r="74" spans="26:36" x14ac:dyDescent="0.25">
      <c r="Z74">
        <v>214</v>
      </c>
      <c r="AA74" t="s">
        <v>2438</v>
      </c>
      <c r="AB74" t="s">
        <v>154</v>
      </c>
      <c r="AC74" t="s">
        <v>23</v>
      </c>
      <c r="AD74">
        <v>43</v>
      </c>
      <c r="AF74" s="127">
        <v>27551</v>
      </c>
      <c r="AG74">
        <v>448</v>
      </c>
      <c r="AI74">
        <v>37</v>
      </c>
      <c r="AJ74">
        <v>5</v>
      </c>
    </row>
    <row r="75" spans="26:36" x14ac:dyDescent="0.25">
      <c r="Z75">
        <v>215</v>
      </c>
      <c r="AA75" t="s">
        <v>2215</v>
      </c>
      <c r="AB75" t="s">
        <v>108</v>
      </c>
      <c r="AC75" t="s">
        <v>23</v>
      </c>
      <c r="AD75">
        <v>49</v>
      </c>
      <c r="AF75" s="127">
        <v>25283</v>
      </c>
      <c r="AG75">
        <v>163</v>
      </c>
      <c r="AI75">
        <v>37</v>
      </c>
      <c r="AJ75">
        <v>8</v>
      </c>
    </row>
    <row r="76" spans="26:36" x14ac:dyDescent="0.25">
      <c r="Z76">
        <v>216</v>
      </c>
      <c r="AA76" t="s">
        <v>1182</v>
      </c>
      <c r="AB76" t="s">
        <v>63</v>
      </c>
      <c r="AC76" t="s">
        <v>23</v>
      </c>
      <c r="AD76">
        <v>64</v>
      </c>
      <c r="AF76" s="127">
        <v>19834</v>
      </c>
      <c r="AG76">
        <v>425</v>
      </c>
      <c r="AI76">
        <v>37</v>
      </c>
      <c r="AJ76">
        <v>9</v>
      </c>
    </row>
    <row r="77" spans="26:36" x14ac:dyDescent="0.25">
      <c r="Z77">
        <v>217</v>
      </c>
      <c r="AA77" t="s">
        <v>1772</v>
      </c>
      <c r="AB77" t="s">
        <v>108</v>
      </c>
      <c r="AC77" t="s">
        <v>23</v>
      </c>
      <c r="AD77">
        <v>34</v>
      </c>
      <c r="AF77" s="127">
        <v>30556</v>
      </c>
      <c r="AG77">
        <v>328</v>
      </c>
      <c r="AI77">
        <v>37</v>
      </c>
      <c r="AJ77">
        <v>11</v>
      </c>
    </row>
    <row r="78" spans="26:36" x14ac:dyDescent="0.25">
      <c r="Z78">
        <v>218</v>
      </c>
      <c r="AA78" t="s">
        <v>1771</v>
      </c>
      <c r="AB78" t="s">
        <v>108</v>
      </c>
      <c r="AC78" t="s">
        <v>24</v>
      </c>
      <c r="AD78">
        <v>35</v>
      </c>
      <c r="AF78" s="127">
        <v>30488</v>
      </c>
      <c r="AG78">
        <v>264</v>
      </c>
      <c r="AI78">
        <v>37</v>
      </c>
      <c r="AJ78">
        <v>15</v>
      </c>
    </row>
    <row r="79" spans="26:36" x14ac:dyDescent="0.25">
      <c r="Z79">
        <v>219</v>
      </c>
      <c r="AA79" t="s">
        <v>1389</v>
      </c>
      <c r="AB79" t="s">
        <v>108</v>
      </c>
      <c r="AC79" t="s">
        <v>24</v>
      </c>
      <c r="AD79">
        <v>46</v>
      </c>
      <c r="AF79" s="127">
        <v>26352</v>
      </c>
      <c r="AG79">
        <v>423</v>
      </c>
      <c r="AI79">
        <v>37</v>
      </c>
      <c r="AJ79">
        <v>17</v>
      </c>
    </row>
    <row r="80" spans="26:36" x14ac:dyDescent="0.25">
      <c r="Z80">
        <v>220</v>
      </c>
      <c r="AA80" t="s">
        <v>901</v>
      </c>
      <c r="AB80" t="s">
        <v>12</v>
      </c>
      <c r="AC80" t="s">
        <v>23</v>
      </c>
      <c r="AD80">
        <v>27</v>
      </c>
      <c r="AF80" s="127">
        <v>33311</v>
      </c>
      <c r="AG80">
        <v>157</v>
      </c>
      <c r="AI80">
        <v>37</v>
      </c>
      <c r="AJ80">
        <v>18</v>
      </c>
    </row>
    <row r="81" spans="26:36" x14ac:dyDescent="0.25">
      <c r="Z81">
        <v>221</v>
      </c>
      <c r="AA81" t="s">
        <v>2255</v>
      </c>
      <c r="AB81" t="s">
        <v>12</v>
      </c>
      <c r="AC81" t="s">
        <v>24</v>
      </c>
      <c r="AD81">
        <v>44</v>
      </c>
      <c r="AF81" s="127">
        <v>27156</v>
      </c>
      <c r="AG81">
        <v>337</v>
      </c>
      <c r="AI81">
        <v>37</v>
      </c>
      <c r="AJ81">
        <v>19</v>
      </c>
    </row>
    <row r="82" spans="26:36" x14ac:dyDescent="0.25">
      <c r="Z82">
        <v>222</v>
      </c>
      <c r="AA82" t="s">
        <v>1920</v>
      </c>
      <c r="AB82" t="s">
        <v>154</v>
      </c>
      <c r="AC82" t="s">
        <v>23</v>
      </c>
      <c r="AD82">
        <v>39</v>
      </c>
      <c r="AG82">
        <v>441</v>
      </c>
      <c r="AI82">
        <v>37</v>
      </c>
      <c r="AJ82">
        <v>20</v>
      </c>
    </row>
    <row r="83" spans="26:36" x14ac:dyDescent="0.25">
      <c r="Z83">
        <v>223</v>
      </c>
      <c r="AA83" t="s">
        <v>1741</v>
      </c>
      <c r="AB83" t="s">
        <v>12</v>
      </c>
      <c r="AC83" t="s">
        <v>24</v>
      </c>
      <c r="AD83">
        <v>44</v>
      </c>
      <c r="AF83" s="127">
        <v>27017</v>
      </c>
      <c r="AG83">
        <v>275</v>
      </c>
      <c r="AI83">
        <v>37</v>
      </c>
      <c r="AJ83">
        <v>22</v>
      </c>
    </row>
    <row r="84" spans="26:36" x14ac:dyDescent="0.25">
      <c r="Z84">
        <v>224</v>
      </c>
      <c r="AA84" t="s">
        <v>1388</v>
      </c>
      <c r="AB84" t="s">
        <v>12</v>
      </c>
      <c r="AC84" t="s">
        <v>23</v>
      </c>
      <c r="AD84">
        <v>54</v>
      </c>
      <c r="AF84" s="127">
        <v>23549</v>
      </c>
      <c r="AG84">
        <v>325</v>
      </c>
      <c r="AI84">
        <v>37</v>
      </c>
      <c r="AJ84">
        <v>22</v>
      </c>
    </row>
    <row r="85" spans="26:36" x14ac:dyDescent="0.25">
      <c r="Z85">
        <v>225</v>
      </c>
      <c r="AA85" t="s">
        <v>2439</v>
      </c>
      <c r="AB85" t="s">
        <v>108</v>
      </c>
      <c r="AC85" t="s">
        <v>24</v>
      </c>
      <c r="AD85">
        <v>65</v>
      </c>
      <c r="AF85" s="127">
        <v>19528</v>
      </c>
      <c r="AG85">
        <v>270</v>
      </c>
      <c r="AI85">
        <v>37</v>
      </c>
      <c r="AJ85">
        <v>23</v>
      </c>
    </row>
    <row r="86" spans="26:36" x14ac:dyDescent="0.25">
      <c r="Z86">
        <v>226</v>
      </c>
      <c r="AA86" t="s">
        <v>1855</v>
      </c>
      <c r="AB86" t="s">
        <v>154</v>
      </c>
      <c r="AC86" t="s">
        <v>23</v>
      </c>
      <c r="AD86">
        <v>38</v>
      </c>
      <c r="AF86" s="127">
        <v>29055</v>
      </c>
      <c r="AG86">
        <v>379</v>
      </c>
      <c r="AI86">
        <v>37</v>
      </c>
      <c r="AJ86">
        <v>37</v>
      </c>
    </row>
    <row r="87" spans="26:36" x14ac:dyDescent="0.25">
      <c r="Z87">
        <v>227</v>
      </c>
      <c r="AA87" t="s">
        <v>353</v>
      </c>
      <c r="AB87" t="s">
        <v>43</v>
      </c>
      <c r="AC87" t="s">
        <v>24</v>
      </c>
      <c r="AD87">
        <v>61</v>
      </c>
      <c r="AF87" s="127">
        <v>20941</v>
      </c>
      <c r="AG87">
        <v>397</v>
      </c>
      <c r="AI87">
        <v>37</v>
      </c>
      <c r="AJ87">
        <v>50</v>
      </c>
    </row>
    <row r="88" spans="26:36" x14ac:dyDescent="0.25">
      <c r="Z88">
        <v>228</v>
      </c>
      <c r="AA88" t="s">
        <v>1682</v>
      </c>
      <c r="AB88" t="s">
        <v>108</v>
      </c>
      <c r="AC88" t="s">
        <v>24</v>
      </c>
      <c r="AD88">
        <v>33</v>
      </c>
      <c r="AF88" s="127">
        <v>31023</v>
      </c>
      <c r="AG88">
        <v>286</v>
      </c>
      <c r="AI88">
        <v>37</v>
      </c>
      <c r="AJ88">
        <v>52</v>
      </c>
    </row>
    <row r="89" spans="26:36" x14ac:dyDescent="0.25">
      <c r="Z89">
        <v>229</v>
      </c>
      <c r="AA89" t="s">
        <v>2249</v>
      </c>
      <c r="AB89" t="s">
        <v>12</v>
      </c>
      <c r="AC89" t="s">
        <v>23</v>
      </c>
      <c r="AD89">
        <v>28</v>
      </c>
      <c r="AF89" s="127">
        <v>32733</v>
      </c>
      <c r="AG89">
        <v>450</v>
      </c>
      <c r="AI89">
        <v>38</v>
      </c>
      <c r="AJ89">
        <v>9</v>
      </c>
    </row>
    <row r="90" spans="26:36" x14ac:dyDescent="0.25">
      <c r="Z90">
        <v>230</v>
      </c>
      <c r="AA90" t="s">
        <v>300</v>
      </c>
      <c r="AB90" t="s">
        <v>43</v>
      </c>
      <c r="AC90" t="s">
        <v>24</v>
      </c>
      <c r="AD90">
        <v>50</v>
      </c>
      <c r="AF90" s="127">
        <v>24838</v>
      </c>
      <c r="AG90">
        <v>417</v>
      </c>
      <c r="AI90">
        <v>38</v>
      </c>
      <c r="AJ90">
        <v>15</v>
      </c>
    </row>
    <row r="91" spans="26:36" x14ac:dyDescent="0.25">
      <c r="Z91">
        <v>231</v>
      </c>
      <c r="AA91" t="s">
        <v>2440</v>
      </c>
      <c r="AB91" t="s">
        <v>1805</v>
      </c>
      <c r="AC91" t="s">
        <v>24</v>
      </c>
      <c r="AD91">
        <v>55</v>
      </c>
      <c r="AF91" s="127">
        <v>23600</v>
      </c>
      <c r="AG91">
        <v>187</v>
      </c>
      <c r="AI91">
        <v>38</v>
      </c>
      <c r="AJ91">
        <v>18</v>
      </c>
    </row>
    <row r="92" spans="26:36" x14ac:dyDescent="0.25">
      <c r="Z92">
        <v>232</v>
      </c>
      <c r="AA92" t="s">
        <v>2441</v>
      </c>
      <c r="AB92" t="s">
        <v>155</v>
      </c>
      <c r="AC92" t="s">
        <v>24</v>
      </c>
      <c r="AD92">
        <v>35</v>
      </c>
      <c r="AF92" s="127">
        <v>30375</v>
      </c>
      <c r="AG92">
        <v>230</v>
      </c>
      <c r="AI92">
        <v>38</v>
      </c>
      <c r="AJ92">
        <v>21</v>
      </c>
    </row>
    <row r="93" spans="26:36" x14ac:dyDescent="0.25">
      <c r="Z93">
        <v>233</v>
      </c>
      <c r="AA93" t="s">
        <v>609</v>
      </c>
      <c r="AB93" t="s">
        <v>43</v>
      </c>
      <c r="AC93" t="s">
        <v>24</v>
      </c>
      <c r="AD93">
        <v>54</v>
      </c>
      <c r="AF93" s="127">
        <v>23334</v>
      </c>
      <c r="AG93">
        <v>291</v>
      </c>
      <c r="AI93">
        <v>38</v>
      </c>
      <c r="AJ93">
        <v>25</v>
      </c>
    </row>
    <row r="94" spans="26:36" x14ac:dyDescent="0.25">
      <c r="Z94">
        <v>234</v>
      </c>
      <c r="AA94" t="s">
        <v>511</v>
      </c>
      <c r="AB94" t="s">
        <v>12</v>
      </c>
      <c r="AC94" t="s">
        <v>23</v>
      </c>
      <c r="AD94">
        <v>59</v>
      </c>
      <c r="AF94" s="127">
        <v>21703</v>
      </c>
      <c r="AG94">
        <v>394</v>
      </c>
      <c r="AI94">
        <v>38</v>
      </c>
      <c r="AJ94">
        <v>30</v>
      </c>
    </row>
    <row r="95" spans="26:36" x14ac:dyDescent="0.25">
      <c r="Z95">
        <v>235</v>
      </c>
      <c r="AA95" t="s">
        <v>2196</v>
      </c>
      <c r="AB95" t="s">
        <v>108</v>
      </c>
      <c r="AC95" t="s">
        <v>24</v>
      </c>
      <c r="AD95">
        <v>44</v>
      </c>
      <c r="AF95" s="127">
        <v>26976</v>
      </c>
      <c r="AG95">
        <v>422</v>
      </c>
      <c r="AI95">
        <v>38</v>
      </c>
      <c r="AJ95">
        <v>31</v>
      </c>
    </row>
    <row r="96" spans="26:36" x14ac:dyDescent="0.25">
      <c r="Z96">
        <v>236</v>
      </c>
      <c r="AA96" t="s">
        <v>517</v>
      </c>
      <c r="AB96" t="s">
        <v>155</v>
      </c>
      <c r="AC96" t="s">
        <v>23</v>
      </c>
      <c r="AD96">
        <v>66</v>
      </c>
      <c r="AF96" s="127">
        <v>18941</v>
      </c>
      <c r="AG96">
        <v>322</v>
      </c>
      <c r="AI96">
        <v>38</v>
      </c>
      <c r="AJ96">
        <v>41</v>
      </c>
    </row>
    <row r="97" spans="26:36" x14ac:dyDescent="0.25">
      <c r="Z97">
        <v>237</v>
      </c>
      <c r="AA97" t="s">
        <v>541</v>
      </c>
      <c r="AB97" t="s">
        <v>155</v>
      </c>
      <c r="AC97" t="s">
        <v>24</v>
      </c>
      <c r="AD97">
        <v>72</v>
      </c>
      <c r="AF97" s="127">
        <v>16676</v>
      </c>
      <c r="AG97">
        <v>331</v>
      </c>
      <c r="AI97">
        <v>38</v>
      </c>
      <c r="AJ97">
        <v>41</v>
      </c>
    </row>
    <row r="98" spans="26:36" x14ac:dyDescent="0.25">
      <c r="Z98">
        <v>238</v>
      </c>
      <c r="AA98" t="s">
        <v>377</v>
      </c>
      <c r="AB98" t="s">
        <v>155</v>
      </c>
      <c r="AC98" t="s">
        <v>23</v>
      </c>
      <c r="AD98">
        <v>38</v>
      </c>
      <c r="AF98" s="127">
        <v>29401</v>
      </c>
      <c r="AG98">
        <v>455</v>
      </c>
      <c r="AI98">
        <v>38</v>
      </c>
      <c r="AJ98">
        <v>45</v>
      </c>
    </row>
    <row r="99" spans="26:36" x14ac:dyDescent="0.25">
      <c r="Z99">
        <v>239</v>
      </c>
      <c r="AA99" t="s">
        <v>549</v>
      </c>
      <c r="AB99" t="s">
        <v>14</v>
      </c>
      <c r="AC99" t="s">
        <v>24</v>
      </c>
      <c r="AD99">
        <v>57</v>
      </c>
      <c r="AF99" s="127">
        <v>22396</v>
      </c>
      <c r="AG99">
        <v>294</v>
      </c>
      <c r="AI99">
        <v>38</v>
      </c>
      <c r="AJ99">
        <v>56</v>
      </c>
    </row>
    <row r="100" spans="26:36" x14ac:dyDescent="0.25">
      <c r="Z100">
        <v>240</v>
      </c>
      <c r="AA100" t="s">
        <v>1373</v>
      </c>
      <c r="AB100" t="s">
        <v>12</v>
      </c>
      <c r="AC100" t="s">
        <v>24</v>
      </c>
      <c r="AD100">
        <v>52</v>
      </c>
      <c r="AF100" s="127">
        <v>24216</v>
      </c>
      <c r="AG100">
        <v>239</v>
      </c>
      <c r="AI100">
        <v>38</v>
      </c>
      <c r="AJ100">
        <v>59</v>
      </c>
    </row>
    <row r="101" spans="26:36" x14ac:dyDescent="0.25">
      <c r="Z101">
        <v>241</v>
      </c>
      <c r="AA101" t="s">
        <v>371</v>
      </c>
      <c r="AB101" t="s">
        <v>155</v>
      </c>
      <c r="AC101" t="s">
        <v>24</v>
      </c>
      <c r="AD101">
        <v>60</v>
      </c>
      <c r="AF101" s="127">
        <v>21037</v>
      </c>
      <c r="AG101">
        <v>396</v>
      </c>
      <c r="AI101">
        <v>39</v>
      </c>
      <c r="AJ101">
        <v>0</v>
      </c>
    </row>
    <row r="102" spans="26:36" x14ac:dyDescent="0.25">
      <c r="Z102">
        <v>242</v>
      </c>
      <c r="AA102" t="s">
        <v>903</v>
      </c>
      <c r="AB102" t="s">
        <v>12</v>
      </c>
      <c r="AC102" t="s">
        <v>24</v>
      </c>
      <c r="AD102">
        <v>48</v>
      </c>
      <c r="AF102" s="127">
        <v>25659</v>
      </c>
      <c r="AG102">
        <v>257</v>
      </c>
      <c r="AI102">
        <v>39</v>
      </c>
      <c r="AJ102">
        <v>2</v>
      </c>
    </row>
    <row r="103" spans="26:36" x14ac:dyDescent="0.25">
      <c r="Z103">
        <v>243</v>
      </c>
      <c r="AA103" t="s">
        <v>196</v>
      </c>
      <c r="AB103" t="s">
        <v>108</v>
      </c>
      <c r="AC103" t="s">
        <v>24</v>
      </c>
      <c r="AD103">
        <v>58</v>
      </c>
      <c r="AF103" s="127">
        <v>22076</v>
      </c>
      <c r="AG103">
        <v>428</v>
      </c>
      <c r="AI103">
        <v>39</v>
      </c>
      <c r="AJ103">
        <v>3</v>
      </c>
    </row>
    <row r="104" spans="26:36" x14ac:dyDescent="0.25">
      <c r="Z104">
        <v>244</v>
      </c>
      <c r="AA104" t="s">
        <v>853</v>
      </c>
      <c r="AB104" t="s">
        <v>43</v>
      </c>
      <c r="AC104" t="s">
        <v>24</v>
      </c>
      <c r="AD104">
        <v>45</v>
      </c>
      <c r="AF104" s="127">
        <v>26824</v>
      </c>
      <c r="AG104">
        <v>451</v>
      </c>
      <c r="AI104">
        <v>39</v>
      </c>
      <c r="AJ104">
        <v>4</v>
      </c>
    </row>
    <row r="105" spans="26:36" x14ac:dyDescent="0.25">
      <c r="Z105">
        <v>245</v>
      </c>
      <c r="AA105" t="s">
        <v>475</v>
      </c>
      <c r="AB105" t="s">
        <v>154</v>
      </c>
      <c r="AC105" t="s">
        <v>23</v>
      </c>
      <c r="AD105">
        <v>53</v>
      </c>
      <c r="AF105" s="127">
        <v>23788</v>
      </c>
      <c r="AG105">
        <v>375</v>
      </c>
      <c r="AI105">
        <v>39</v>
      </c>
      <c r="AJ105">
        <v>9</v>
      </c>
    </row>
    <row r="106" spans="26:36" x14ac:dyDescent="0.25">
      <c r="Z106">
        <v>246</v>
      </c>
      <c r="AA106" t="s">
        <v>1496</v>
      </c>
      <c r="AB106" t="s">
        <v>108</v>
      </c>
      <c r="AC106" t="s">
        <v>24</v>
      </c>
      <c r="AD106">
        <v>53</v>
      </c>
      <c r="AF106" s="127">
        <v>23863</v>
      </c>
      <c r="AG106">
        <v>381</v>
      </c>
      <c r="AI106">
        <v>39</v>
      </c>
      <c r="AJ106">
        <v>11</v>
      </c>
    </row>
    <row r="107" spans="26:36" x14ac:dyDescent="0.25">
      <c r="Z107">
        <v>247</v>
      </c>
      <c r="AA107" t="s">
        <v>1376</v>
      </c>
      <c r="AB107" t="s">
        <v>38</v>
      </c>
      <c r="AC107" t="s">
        <v>23</v>
      </c>
      <c r="AD107">
        <v>48</v>
      </c>
      <c r="AF107" s="127">
        <v>25581</v>
      </c>
      <c r="AG107">
        <v>197</v>
      </c>
      <c r="AI107">
        <v>39</v>
      </c>
      <c r="AJ107">
        <v>11</v>
      </c>
    </row>
    <row r="108" spans="26:36" x14ac:dyDescent="0.25">
      <c r="Z108">
        <v>248</v>
      </c>
      <c r="AA108" t="s">
        <v>1769</v>
      </c>
      <c r="AB108" t="s">
        <v>63</v>
      </c>
      <c r="AC108" t="s">
        <v>23</v>
      </c>
      <c r="AD108">
        <v>50</v>
      </c>
      <c r="AF108" s="127">
        <v>24777</v>
      </c>
      <c r="AG108">
        <v>386</v>
      </c>
      <c r="AI108">
        <v>39</v>
      </c>
      <c r="AJ108">
        <v>23</v>
      </c>
    </row>
    <row r="109" spans="26:36" x14ac:dyDescent="0.25">
      <c r="Z109">
        <v>249</v>
      </c>
      <c r="AA109" t="s">
        <v>218</v>
      </c>
      <c r="AB109" t="s">
        <v>38</v>
      </c>
      <c r="AC109" t="s">
        <v>24</v>
      </c>
      <c r="AD109">
        <v>72</v>
      </c>
      <c r="AF109" s="127">
        <v>16849</v>
      </c>
      <c r="AG109">
        <v>152</v>
      </c>
      <c r="AI109">
        <v>39</v>
      </c>
      <c r="AJ109">
        <v>23</v>
      </c>
    </row>
    <row r="110" spans="26:36" x14ac:dyDescent="0.25">
      <c r="Z110">
        <v>250</v>
      </c>
      <c r="AA110" t="s">
        <v>272</v>
      </c>
      <c r="AB110" t="s">
        <v>12</v>
      </c>
      <c r="AC110" t="s">
        <v>24</v>
      </c>
      <c r="AD110">
        <v>34</v>
      </c>
      <c r="AF110" s="127">
        <v>30601</v>
      </c>
      <c r="AG110">
        <v>350</v>
      </c>
      <c r="AI110">
        <v>39</v>
      </c>
      <c r="AJ110">
        <v>27</v>
      </c>
    </row>
    <row r="111" spans="26:36" x14ac:dyDescent="0.25">
      <c r="Z111">
        <v>251</v>
      </c>
      <c r="AA111" t="s">
        <v>2442</v>
      </c>
      <c r="AB111" t="s">
        <v>12</v>
      </c>
      <c r="AC111" t="s">
        <v>23</v>
      </c>
      <c r="AD111">
        <v>44</v>
      </c>
      <c r="AF111" s="127">
        <v>27067</v>
      </c>
      <c r="AG111">
        <v>184</v>
      </c>
      <c r="AI111">
        <v>39</v>
      </c>
      <c r="AJ111">
        <v>32</v>
      </c>
    </row>
    <row r="112" spans="26:36" x14ac:dyDescent="0.25">
      <c r="Z112">
        <v>252</v>
      </c>
      <c r="AA112" t="s">
        <v>411</v>
      </c>
      <c r="AB112" t="s">
        <v>12</v>
      </c>
      <c r="AC112" t="s">
        <v>24</v>
      </c>
      <c r="AD112">
        <v>32</v>
      </c>
      <c r="AF112" s="127">
        <v>31478</v>
      </c>
      <c r="AG112">
        <v>298</v>
      </c>
      <c r="AI112">
        <v>39</v>
      </c>
      <c r="AJ112">
        <v>37</v>
      </c>
    </row>
    <row r="113" spans="26:36" x14ac:dyDescent="0.25">
      <c r="Z113">
        <v>253</v>
      </c>
      <c r="AA113" t="s">
        <v>1452</v>
      </c>
      <c r="AB113" t="s">
        <v>14</v>
      </c>
      <c r="AC113" t="s">
        <v>23</v>
      </c>
      <c r="AD113">
        <v>44</v>
      </c>
      <c r="AF113" s="127">
        <v>26894</v>
      </c>
      <c r="AG113">
        <v>215</v>
      </c>
      <c r="AI113">
        <v>39</v>
      </c>
      <c r="AJ113">
        <v>38</v>
      </c>
    </row>
    <row r="114" spans="26:36" x14ac:dyDescent="0.25">
      <c r="Z114">
        <v>254</v>
      </c>
      <c r="AA114" t="s">
        <v>212</v>
      </c>
      <c r="AB114" t="s">
        <v>38</v>
      </c>
      <c r="AC114" t="s">
        <v>24</v>
      </c>
      <c r="AD114">
        <v>66</v>
      </c>
      <c r="AF114" s="127">
        <v>18983</v>
      </c>
      <c r="AG114">
        <v>274</v>
      </c>
      <c r="AI114">
        <v>39</v>
      </c>
      <c r="AJ114">
        <v>41</v>
      </c>
    </row>
    <row r="115" spans="26:36" x14ac:dyDescent="0.25">
      <c r="Z115">
        <v>255</v>
      </c>
      <c r="AA115" t="s">
        <v>1690</v>
      </c>
      <c r="AB115" t="s">
        <v>12</v>
      </c>
      <c r="AC115" t="s">
        <v>23</v>
      </c>
      <c r="AD115">
        <v>56</v>
      </c>
      <c r="AF115" s="127">
        <v>22502</v>
      </c>
      <c r="AG115">
        <v>380</v>
      </c>
      <c r="AI115">
        <v>39</v>
      </c>
      <c r="AJ115">
        <v>44</v>
      </c>
    </row>
    <row r="116" spans="26:36" x14ac:dyDescent="0.25">
      <c r="Z116">
        <v>256</v>
      </c>
      <c r="AA116" t="s">
        <v>782</v>
      </c>
      <c r="AB116" t="s">
        <v>12</v>
      </c>
      <c r="AC116" t="s">
        <v>23</v>
      </c>
      <c r="AD116">
        <v>38</v>
      </c>
      <c r="AF116" s="127">
        <v>29419</v>
      </c>
      <c r="AG116">
        <v>273</v>
      </c>
      <c r="AI116">
        <v>39</v>
      </c>
      <c r="AJ116">
        <v>48</v>
      </c>
    </row>
    <row r="117" spans="26:36" x14ac:dyDescent="0.25">
      <c r="Z117">
        <v>257</v>
      </c>
      <c r="AA117" t="s">
        <v>186</v>
      </c>
      <c r="AB117" t="s">
        <v>12</v>
      </c>
      <c r="AC117" t="s">
        <v>24</v>
      </c>
      <c r="AD117">
        <v>52</v>
      </c>
      <c r="AF117" s="127">
        <v>24159</v>
      </c>
      <c r="AG117">
        <v>147</v>
      </c>
      <c r="AI117">
        <v>39</v>
      </c>
      <c r="AJ117">
        <v>50</v>
      </c>
    </row>
    <row r="118" spans="26:36" x14ac:dyDescent="0.25">
      <c r="Z118">
        <v>258</v>
      </c>
      <c r="AA118" t="s">
        <v>2443</v>
      </c>
      <c r="AB118" t="s">
        <v>38</v>
      </c>
      <c r="AC118" t="s">
        <v>24</v>
      </c>
      <c r="AD118">
        <v>56</v>
      </c>
      <c r="AF118" s="127">
        <v>22521</v>
      </c>
      <c r="AG118">
        <v>265</v>
      </c>
      <c r="AI118">
        <v>39</v>
      </c>
      <c r="AJ118">
        <v>53</v>
      </c>
    </row>
    <row r="119" spans="26:36" x14ac:dyDescent="0.25">
      <c r="Z119">
        <v>259</v>
      </c>
      <c r="AA119" t="s">
        <v>1333</v>
      </c>
      <c r="AB119" t="s">
        <v>155</v>
      </c>
      <c r="AC119" t="s">
        <v>23</v>
      </c>
      <c r="AD119">
        <v>47</v>
      </c>
      <c r="AF119" s="127">
        <v>25790</v>
      </c>
      <c r="AG119">
        <v>246</v>
      </c>
      <c r="AI119">
        <v>39</v>
      </c>
      <c r="AJ119">
        <v>55</v>
      </c>
    </row>
    <row r="120" spans="26:36" x14ac:dyDescent="0.25">
      <c r="Z120">
        <v>260</v>
      </c>
      <c r="AA120" t="s">
        <v>2444</v>
      </c>
      <c r="AB120" t="s">
        <v>12</v>
      </c>
      <c r="AC120" t="s">
        <v>24</v>
      </c>
      <c r="AD120">
        <v>43</v>
      </c>
      <c r="AF120" s="127">
        <v>27550</v>
      </c>
      <c r="AG120">
        <v>421</v>
      </c>
      <c r="AI120">
        <v>40</v>
      </c>
      <c r="AJ120">
        <v>2</v>
      </c>
    </row>
    <row r="121" spans="26:36" x14ac:dyDescent="0.25">
      <c r="Z121">
        <v>261</v>
      </c>
      <c r="AA121" t="s">
        <v>1250</v>
      </c>
      <c r="AB121" t="s">
        <v>12</v>
      </c>
      <c r="AC121" t="s">
        <v>24</v>
      </c>
      <c r="AD121">
        <v>44</v>
      </c>
      <c r="AF121" s="127">
        <v>27150</v>
      </c>
      <c r="AG121">
        <v>280</v>
      </c>
      <c r="AI121">
        <v>40</v>
      </c>
      <c r="AJ121">
        <v>4</v>
      </c>
    </row>
    <row r="122" spans="26:36" x14ac:dyDescent="0.25">
      <c r="Z122">
        <v>262</v>
      </c>
      <c r="AA122" t="s">
        <v>2279</v>
      </c>
      <c r="AB122" t="s">
        <v>38</v>
      </c>
      <c r="AC122" t="s">
        <v>23</v>
      </c>
      <c r="AD122">
        <v>50</v>
      </c>
      <c r="AF122" s="127">
        <v>24936</v>
      </c>
      <c r="AG122">
        <v>374</v>
      </c>
      <c r="AI122">
        <v>40</v>
      </c>
      <c r="AJ122">
        <v>7</v>
      </c>
    </row>
    <row r="123" spans="26:36" x14ac:dyDescent="0.25">
      <c r="Z123">
        <v>263</v>
      </c>
      <c r="AA123" t="s">
        <v>566</v>
      </c>
      <c r="AB123" t="s">
        <v>154</v>
      </c>
      <c r="AC123" t="s">
        <v>23</v>
      </c>
      <c r="AD123">
        <v>43</v>
      </c>
      <c r="AF123" s="127">
        <v>27239</v>
      </c>
      <c r="AG123">
        <v>321</v>
      </c>
      <c r="AI123">
        <v>40</v>
      </c>
      <c r="AJ123">
        <v>33</v>
      </c>
    </row>
    <row r="124" spans="26:36" x14ac:dyDescent="0.25">
      <c r="Z124">
        <v>264</v>
      </c>
      <c r="AA124" t="s">
        <v>2203</v>
      </c>
      <c r="AB124" t="s">
        <v>505</v>
      </c>
      <c r="AC124" t="s">
        <v>24</v>
      </c>
      <c r="AD124">
        <v>38</v>
      </c>
      <c r="AF124" s="127">
        <v>29266</v>
      </c>
      <c r="AG124">
        <v>267</v>
      </c>
      <c r="AI124">
        <v>40</v>
      </c>
      <c r="AJ124">
        <v>39</v>
      </c>
    </row>
    <row r="125" spans="26:36" x14ac:dyDescent="0.25">
      <c r="Z125">
        <v>265</v>
      </c>
      <c r="AA125" t="s">
        <v>1566</v>
      </c>
      <c r="AB125" t="s">
        <v>14</v>
      </c>
      <c r="AC125" t="s">
        <v>23</v>
      </c>
      <c r="AD125">
        <v>29</v>
      </c>
      <c r="AF125" s="127">
        <v>32409</v>
      </c>
      <c r="AG125">
        <v>409</v>
      </c>
      <c r="AI125">
        <v>40</v>
      </c>
      <c r="AJ125">
        <v>59</v>
      </c>
    </row>
    <row r="126" spans="26:36" x14ac:dyDescent="0.25">
      <c r="Z126">
        <v>266</v>
      </c>
      <c r="AA126" t="s">
        <v>363</v>
      </c>
      <c r="AB126" t="s">
        <v>12</v>
      </c>
      <c r="AC126" t="s">
        <v>24</v>
      </c>
      <c r="AD126">
        <v>44</v>
      </c>
      <c r="AF126" s="127">
        <v>26975</v>
      </c>
      <c r="AG126">
        <v>395</v>
      </c>
      <c r="AI126">
        <v>41</v>
      </c>
      <c r="AJ126">
        <v>14</v>
      </c>
    </row>
    <row r="127" spans="26:36" x14ac:dyDescent="0.25">
      <c r="Z127">
        <v>267</v>
      </c>
      <c r="AA127" t="s">
        <v>221</v>
      </c>
      <c r="AB127" t="s">
        <v>38</v>
      </c>
      <c r="AC127" t="s">
        <v>24</v>
      </c>
      <c r="AD127">
        <v>67</v>
      </c>
      <c r="AF127" s="127">
        <v>18656</v>
      </c>
      <c r="AG127">
        <v>362</v>
      </c>
      <c r="AI127">
        <v>41</v>
      </c>
      <c r="AJ127">
        <v>17</v>
      </c>
    </row>
    <row r="128" spans="26:36" x14ac:dyDescent="0.25">
      <c r="Z128">
        <v>268</v>
      </c>
      <c r="AA128" t="s">
        <v>1654</v>
      </c>
      <c r="AB128" t="s">
        <v>12</v>
      </c>
      <c r="AC128" t="s">
        <v>24</v>
      </c>
      <c r="AD128">
        <v>57</v>
      </c>
      <c r="AF128" s="127">
        <v>22375</v>
      </c>
      <c r="AG128">
        <v>376</v>
      </c>
      <c r="AI128">
        <v>41</v>
      </c>
      <c r="AJ128">
        <v>18</v>
      </c>
    </row>
    <row r="129" spans="26:36" x14ac:dyDescent="0.25">
      <c r="Z129">
        <v>269</v>
      </c>
      <c r="AA129" t="s">
        <v>185</v>
      </c>
      <c r="AB129" t="s">
        <v>12</v>
      </c>
      <c r="AC129" t="s">
        <v>23</v>
      </c>
      <c r="AD129">
        <v>47</v>
      </c>
      <c r="AF129" s="127">
        <v>25856</v>
      </c>
      <c r="AG129">
        <v>383</v>
      </c>
      <c r="AI129">
        <v>41</v>
      </c>
      <c r="AJ129">
        <v>21</v>
      </c>
    </row>
    <row r="130" spans="26:36" x14ac:dyDescent="0.25">
      <c r="Z130">
        <v>270</v>
      </c>
      <c r="AA130" t="s">
        <v>373</v>
      </c>
      <c r="AB130" t="s">
        <v>154</v>
      </c>
      <c r="AC130" t="s">
        <v>23</v>
      </c>
      <c r="AD130">
        <v>54</v>
      </c>
      <c r="AF130" s="127">
        <v>23268</v>
      </c>
      <c r="AG130">
        <v>218</v>
      </c>
      <c r="AI130">
        <v>41</v>
      </c>
      <c r="AJ130">
        <v>29</v>
      </c>
    </row>
    <row r="131" spans="26:36" x14ac:dyDescent="0.25">
      <c r="Z131">
        <v>271</v>
      </c>
      <c r="AA131" t="s">
        <v>749</v>
      </c>
      <c r="AB131" t="s">
        <v>14</v>
      </c>
      <c r="AC131" t="s">
        <v>23</v>
      </c>
      <c r="AD131">
        <v>55</v>
      </c>
      <c r="AF131" s="127">
        <v>22977</v>
      </c>
      <c r="AG131">
        <v>243</v>
      </c>
      <c r="AI131">
        <v>41</v>
      </c>
      <c r="AJ131">
        <v>31</v>
      </c>
    </row>
    <row r="132" spans="26:36" x14ac:dyDescent="0.25">
      <c r="Z132">
        <v>272</v>
      </c>
      <c r="AA132" t="s">
        <v>1183</v>
      </c>
      <c r="AB132" t="s">
        <v>108</v>
      </c>
      <c r="AC132" t="s">
        <v>23</v>
      </c>
      <c r="AD132">
        <v>53</v>
      </c>
      <c r="AF132" s="127">
        <v>23938</v>
      </c>
      <c r="AG132">
        <v>158</v>
      </c>
      <c r="AI132">
        <v>41</v>
      </c>
      <c r="AJ132">
        <v>37</v>
      </c>
    </row>
    <row r="133" spans="26:36" x14ac:dyDescent="0.25">
      <c r="Z133">
        <v>273</v>
      </c>
      <c r="AA133" t="s">
        <v>2445</v>
      </c>
      <c r="AB133" t="s">
        <v>154</v>
      </c>
      <c r="AC133" t="s">
        <v>23</v>
      </c>
      <c r="AD133">
        <v>45</v>
      </c>
      <c r="AF133" s="127">
        <v>26654</v>
      </c>
      <c r="AG133">
        <v>149</v>
      </c>
      <c r="AI133">
        <v>41</v>
      </c>
      <c r="AJ133">
        <v>38</v>
      </c>
    </row>
    <row r="134" spans="26:36" x14ac:dyDescent="0.25">
      <c r="Z134">
        <v>274</v>
      </c>
      <c r="AA134" t="s">
        <v>560</v>
      </c>
      <c r="AB134" t="s">
        <v>154</v>
      </c>
      <c r="AC134" t="s">
        <v>23</v>
      </c>
      <c r="AD134">
        <v>39</v>
      </c>
      <c r="AF134" s="127">
        <v>28928</v>
      </c>
      <c r="AG134">
        <v>277</v>
      </c>
      <c r="AI134">
        <v>41</v>
      </c>
      <c r="AJ134">
        <v>40</v>
      </c>
    </row>
    <row r="135" spans="26:36" x14ac:dyDescent="0.25">
      <c r="Z135">
        <v>275</v>
      </c>
      <c r="AA135" t="s">
        <v>269</v>
      </c>
      <c r="AB135" t="s">
        <v>43</v>
      </c>
      <c r="AC135" t="s">
        <v>24</v>
      </c>
      <c r="AD135">
        <v>66</v>
      </c>
      <c r="AF135" s="127">
        <v>19111</v>
      </c>
      <c r="AG135">
        <v>301</v>
      </c>
      <c r="AI135">
        <v>41</v>
      </c>
      <c r="AJ135">
        <v>45</v>
      </c>
    </row>
    <row r="136" spans="26:36" x14ac:dyDescent="0.25">
      <c r="Z136">
        <v>276</v>
      </c>
      <c r="AA136" t="s">
        <v>565</v>
      </c>
      <c r="AB136" t="s">
        <v>43</v>
      </c>
      <c r="AC136" t="s">
        <v>24</v>
      </c>
      <c r="AD136">
        <v>27</v>
      </c>
      <c r="AF136" s="127">
        <v>33088</v>
      </c>
      <c r="AG136">
        <v>293</v>
      </c>
      <c r="AI136">
        <v>41</v>
      </c>
      <c r="AJ136">
        <v>53</v>
      </c>
    </row>
    <row r="137" spans="26:36" x14ac:dyDescent="0.25">
      <c r="Z137">
        <v>277</v>
      </c>
      <c r="AA137" t="s">
        <v>1164</v>
      </c>
      <c r="AB137" t="s">
        <v>2480</v>
      </c>
      <c r="AC137" t="s">
        <v>24</v>
      </c>
      <c r="AD137">
        <v>61</v>
      </c>
      <c r="AF137" s="127">
        <v>20840</v>
      </c>
      <c r="AG137">
        <v>371</v>
      </c>
      <c r="AI137">
        <v>42</v>
      </c>
      <c r="AJ137">
        <v>0</v>
      </c>
    </row>
    <row r="138" spans="26:36" x14ac:dyDescent="0.25">
      <c r="Z138">
        <v>278</v>
      </c>
      <c r="AA138" t="s">
        <v>623</v>
      </c>
      <c r="AB138" t="s">
        <v>14</v>
      </c>
      <c r="AC138" t="s">
        <v>24</v>
      </c>
      <c r="AD138">
        <v>64</v>
      </c>
      <c r="AF138" s="127">
        <v>19774</v>
      </c>
      <c r="AG138">
        <v>353</v>
      </c>
      <c r="AI138">
        <v>42</v>
      </c>
      <c r="AJ138">
        <v>7</v>
      </c>
    </row>
    <row r="139" spans="26:36" x14ac:dyDescent="0.25">
      <c r="Z139">
        <v>279</v>
      </c>
      <c r="AA139" t="s">
        <v>2235</v>
      </c>
      <c r="AB139" t="s">
        <v>155</v>
      </c>
      <c r="AC139" t="s">
        <v>24</v>
      </c>
      <c r="AD139">
        <v>38</v>
      </c>
      <c r="AF139" s="127">
        <v>29106</v>
      </c>
      <c r="AG139">
        <v>241</v>
      </c>
      <c r="AI139">
        <v>42</v>
      </c>
      <c r="AJ139">
        <v>10</v>
      </c>
    </row>
    <row r="140" spans="26:36" x14ac:dyDescent="0.25">
      <c r="Z140">
        <v>280</v>
      </c>
      <c r="AA140" t="s">
        <v>436</v>
      </c>
      <c r="AB140" t="s">
        <v>14</v>
      </c>
      <c r="AC140" t="s">
        <v>23</v>
      </c>
      <c r="AD140">
        <v>55</v>
      </c>
      <c r="AF140" s="127">
        <v>23058</v>
      </c>
      <c r="AG140">
        <v>177</v>
      </c>
      <c r="AI140">
        <v>42</v>
      </c>
      <c r="AJ140">
        <v>16</v>
      </c>
    </row>
    <row r="141" spans="26:36" x14ac:dyDescent="0.25">
      <c r="Z141">
        <v>281</v>
      </c>
      <c r="AA141" t="s">
        <v>756</v>
      </c>
      <c r="AB141" t="s">
        <v>155</v>
      </c>
      <c r="AC141" t="s">
        <v>23</v>
      </c>
      <c r="AD141">
        <v>48</v>
      </c>
      <c r="AF141" s="127">
        <v>25582</v>
      </c>
      <c r="AG141">
        <v>319</v>
      </c>
      <c r="AI141">
        <v>42</v>
      </c>
      <c r="AJ141">
        <v>18</v>
      </c>
    </row>
    <row r="142" spans="26:36" x14ac:dyDescent="0.25">
      <c r="Z142">
        <v>282</v>
      </c>
      <c r="AA142" t="s">
        <v>1891</v>
      </c>
      <c r="AB142" t="s">
        <v>14</v>
      </c>
      <c r="AC142" t="s">
        <v>24</v>
      </c>
      <c r="AD142">
        <v>52</v>
      </c>
      <c r="AF142" s="127">
        <v>24046</v>
      </c>
      <c r="AG142">
        <v>214</v>
      </c>
      <c r="AI142">
        <v>42</v>
      </c>
      <c r="AJ142">
        <v>23</v>
      </c>
    </row>
    <row r="143" spans="26:36" x14ac:dyDescent="0.25">
      <c r="Z143">
        <v>283</v>
      </c>
      <c r="AA143" t="s">
        <v>1956</v>
      </c>
      <c r="AB143" t="s">
        <v>154</v>
      </c>
      <c r="AC143" t="s">
        <v>23</v>
      </c>
      <c r="AD143">
        <v>41</v>
      </c>
      <c r="AF143" s="127">
        <v>28301</v>
      </c>
      <c r="AG143">
        <v>365</v>
      </c>
      <c r="AI143">
        <v>42</v>
      </c>
      <c r="AJ143">
        <v>24</v>
      </c>
    </row>
    <row r="144" spans="26:36" x14ac:dyDescent="0.25">
      <c r="Z144">
        <v>284</v>
      </c>
      <c r="AA144" t="s">
        <v>1348</v>
      </c>
      <c r="AB144" t="s">
        <v>12</v>
      </c>
      <c r="AC144" t="s">
        <v>24</v>
      </c>
      <c r="AD144">
        <v>75</v>
      </c>
      <c r="AF144" s="127">
        <v>15573</v>
      </c>
      <c r="AG144">
        <v>308</v>
      </c>
      <c r="AI144">
        <v>42</v>
      </c>
      <c r="AJ144">
        <v>27</v>
      </c>
    </row>
    <row r="145" spans="26:36" x14ac:dyDescent="0.25">
      <c r="Z145">
        <v>285</v>
      </c>
      <c r="AA145" t="s">
        <v>525</v>
      </c>
      <c r="AB145" t="s">
        <v>43</v>
      </c>
      <c r="AC145" t="s">
        <v>24</v>
      </c>
      <c r="AD145">
        <v>42</v>
      </c>
      <c r="AF145" s="127">
        <v>27894</v>
      </c>
      <c r="AG145">
        <v>373</v>
      </c>
      <c r="AI145">
        <v>42</v>
      </c>
      <c r="AJ145">
        <v>32</v>
      </c>
    </row>
    <row r="146" spans="26:36" x14ac:dyDescent="0.25">
      <c r="Z146">
        <v>286</v>
      </c>
      <c r="AA146" t="s">
        <v>2138</v>
      </c>
      <c r="AB146" t="s">
        <v>63</v>
      </c>
      <c r="AC146" t="s">
        <v>24</v>
      </c>
      <c r="AD146">
        <v>25</v>
      </c>
      <c r="AF146" s="127">
        <v>34156</v>
      </c>
      <c r="AG146">
        <v>221</v>
      </c>
      <c r="AI146">
        <v>42</v>
      </c>
      <c r="AJ146">
        <v>34</v>
      </c>
    </row>
    <row r="147" spans="26:36" x14ac:dyDescent="0.25">
      <c r="Z147">
        <v>287</v>
      </c>
      <c r="AA147" t="s">
        <v>2147</v>
      </c>
      <c r="AB147" t="s">
        <v>63</v>
      </c>
      <c r="AC147" t="s">
        <v>23</v>
      </c>
      <c r="AD147">
        <v>25</v>
      </c>
      <c r="AF147" s="127">
        <v>34053</v>
      </c>
      <c r="AG147">
        <v>213</v>
      </c>
      <c r="AI147">
        <v>42</v>
      </c>
      <c r="AJ147">
        <v>42</v>
      </c>
    </row>
    <row r="148" spans="26:36" x14ac:dyDescent="0.25">
      <c r="Z148">
        <v>288</v>
      </c>
      <c r="AA148" t="s">
        <v>260</v>
      </c>
      <c r="AB148" t="s">
        <v>12</v>
      </c>
      <c r="AC148" t="s">
        <v>23</v>
      </c>
      <c r="AD148">
        <v>42</v>
      </c>
      <c r="AF148" s="127">
        <v>27954</v>
      </c>
      <c r="AG148">
        <v>418</v>
      </c>
      <c r="AI148">
        <v>42</v>
      </c>
      <c r="AJ148">
        <v>44</v>
      </c>
    </row>
    <row r="149" spans="26:36" x14ac:dyDescent="0.25">
      <c r="Z149">
        <v>289</v>
      </c>
      <c r="AA149" t="s">
        <v>895</v>
      </c>
      <c r="AB149" t="s">
        <v>12</v>
      </c>
      <c r="AC149" t="s">
        <v>24</v>
      </c>
      <c r="AD149">
        <v>49</v>
      </c>
      <c r="AF149" s="127">
        <v>25400</v>
      </c>
      <c r="AG149">
        <v>453</v>
      </c>
      <c r="AI149">
        <v>42</v>
      </c>
      <c r="AJ149">
        <v>46</v>
      </c>
    </row>
    <row r="150" spans="26:36" x14ac:dyDescent="0.25">
      <c r="Z150">
        <v>290</v>
      </c>
      <c r="AA150" t="s">
        <v>2274</v>
      </c>
      <c r="AB150" t="s">
        <v>155</v>
      </c>
      <c r="AC150" t="s">
        <v>23</v>
      </c>
      <c r="AD150">
        <v>38</v>
      </c>
      <c r="AF150" s="127">
        <v>29410</v>
      </c>
      <c r="AG150">
        <v>329</v>
      </c>
      <c r="AI150">
        <v>42</v>
      </c>
      <c r="AJ150">
        <v>47</v>
      </c>
    </row>
    <row r="151" spans="26:36" x14ac:dyDescent="0.25">
      <c r="Z151">
        <v>291</v>
      </c>
      <c r="AA151" t="s">
        <v>229</v>
      </c>
      <c r="AB151" t="s">
        <v>108</v>
      </c>
      <c r="AC151" t="s">
        <v>23</v>
      </c>
      <c r="AD151">
        <v>62</v>
      </c>
      <c r="AF151" s="127">
        <v>20613</v>
      </c>
      <c r="AG151">
        <v>261</v>
      </c>
      <c r="AI151">
        <v>42</v>
      </c>
      <c r="AJ151">
        <v>54</v>
      </c>
    </row>
    <row r="152" spans="26:36" x14ac:dyDescent="0.25">
      <c r="Z152">
        <v>292</v>
      </c>
      <c r="AA152" t="s">
        <v>1455</v>
      </c>
      <c r="AB152" t="s">
        <v>154</v>
      </c>
      <c r="AC152" t="s">
        <v>23</v>
      </c>
      <c r="AD152">
        <v>47</v>
      </c>
      <c r="AF152" s="127">
        <v>25926</v>
      </c>
      <c r="AG152">
        <v>437</v>
      </c>
      <c r="AI152">
        <v>42</v>
      </c>
      <c r="AJ152">
        <v>58</v>
      </c>
    </row>
    <row r="153" spans="26:36" x14ac:dyDescent="0.25">
      <c r="Z153">
        <v>293</v>
      </c>
      <c r="AA153" t="s">
        <v>1344</v>
      </c>
      <c r="AB153" t="s">
        <v>817</v>
      </c>
      <c r="AC153" t="s">
        <v>23</v>
      </c>
      <c r="AD153">
        <v>45</v>
      </c>
      <c r="AF153" s="127">
        <v>26860</v>
      </c>
      <c r="AG153">
        <v>256</v>
      </c>
      <c r="AI153">
        <v>42</v>
      </c>
      <c r="AJ153">
        <v>59</v>
      </c>
    </row>
    <row r="154" spans="26:36" x14ac:dyDescent="0.25">
      <c r="Z154">
        <v>294</v>
      </c>
      <c r="AA154" t="s">
        <v>2212</v>
      </c>
      <c r="AB154" t="s">
        <v>38</v>
      </c>
      <c r="AC154" t="s">
        <v>24</v>
      </c>
      <c r="AD154">
        <v>43</v>
      </c>
      <c r="AF154" s="127">
        <v>27501</v>
      </c>
      <c r="AG154">
        <v>204</v>
      </c>
      <c r="AI154">
        <v>43</v>
      </c>
      <c r="AJ154">
        <v>4</v>
      </c>
    </row>
    <row r="155" spans="26:36" x14ac:dyDescent="0.25">
      <c r="Z155">
        <v>295</v>
      </c>
      <c r="AA155" t="s">
        <v>301</v>
      </c>
      <c r="AB155" t="s">
        <v>154</v>
      </c>
      <c r="AC155" t="s">
        <v>24</v>
      </c>
      <c r="AD155">
        <v>50</v>
      </c>
      <c r="AF155" s="127">
        <v>24979</v>
      </c>
      <c r="AG155">
        <v>316</v>
      </c>
      <c r="AI155">
        <v>43</v>
      </c>
      <c r="AJ155">
        <v>10</v>
      </c>
    </row>
    <row r="156" spans="26:36" x14ac:dyDescent="0.25">
      <c r="Z156">
        <v>296</v>
      </c>
      <c r="AA156" t="s">
        <v>380</v>
      </c>
      <c r="AB156" t="s">
        <v>43</v>
      </c>
      <c r="AC156" t="s">
        <v>23</v>
      </c>
      <c r="AD156">
        <v>43</v>
      </c>
      <c r="AF156" s="127">
        <v>27388</v>
      </c>
      <c r="AG156">
        <v>388</v>
      </c>
      <c r="AI156">
        <v>43</v>
      </c>
      <c r="AJ156">
        <v>13</v>
      </c>
    </row>
    <row r="157" spans="26:36" x14ac:dyDescent="0.25">
      <c r="Z157">
        <v>297</v>
      </c>
      <c r="AA157" t="s">
        <v>2446</v>
      </c>
      <c r="AB157" t="s">
        <v>505</v>
      </c>
      <c r="AC157" t="s">
        <v>24</v>
      </c>
      <c r="AD157">
        <v>37</v>
      </c>
      <c r="AF157" s="127">
        <v>29586</v>
      </c>
      <c r="AG157">
        <v>253</v>
      </c>
      <c r="AI157">
        <v>43</v>
      </c>
      <c r="AJ157">
        <v>20</v>
      </c>
    </row>
    <row r="158" spans="26:36" x14ac:dyDescent="0.25">
      <c r="Z158">
        <v>298</v>
      </c>
      <c r="AA158" t="s">
        <v>204</v>
      </c>
      <c r="AB158" t="s">
        <v>38</v>
      </c>
      <c r="AC158" t="s">
        <v>24</v>
      </c>
      <c r="AD158">
        <v>57</v>
      </c>
      <c r="AF158" s="127">
        <v>22170</v>
      </c>
      <c r="AG158">
        <v>297</v>
      </c>
      <c r="AI158">
        <v>43</v>
      </c>
      <c r="AJ158">
        <v>23</v>
      </c>
    </row>
    <row r="159" spans="26:36" x14ac:dyDescent="0.25">
      <c r="Z159">
        <v>299</v>
      </c>
      <c r="AA159" t="s">
        <v>2124</v>
      </c>
      <c r="AB159" t="s">
        <v>12</v>
      </c>
      <c r="AC159" t="s">
        <v>23</v>
      </c>
      <c r="AD159">
        <v>40</v>
      </c>
      <c r="AF159" s="127">
        <v>28378</v>
      </c>
      <c r="AG159">
        <v>255</v>
      </c>
      <c r="AI159">
        <v>43</v>
      </c>
      <c r="AJ159">
        <v>28</v>
      </c>
    </row>
    <row r="160" spans="26:36" x14ac:dyDescent="0.25">
      <c r="Z160">
        <v>300</v>
      </c>
      <c r="AA160" t="s">
        <v>1513</v>
      </c>
      <c r="AB160" t="s">
        <v>108</v>
      </c>
      <c r="AC160" t="s">
        <v>23</v>
      </c>
      <c r="AD160">
        <v>50</v>
      </c>
      <c r="AF160" s="127">
        <v>24693</v>
      </c>
      <c r="AG160">
        <v>445</v>
      </c>
      <c r="AI160">
        <v>43</v>
      </c>
      <c r="AJ160">
        <v>36</v>
      </c>
    </row>
    <row r="161" spans="26:36" x14ac:dyDescent="0.25">
      <c r="Z161">
        <v>301</v>
      </c>
      <c r="AA161" t="s">
        <v>1005</v>
      </c>
      <c r="AB161" t="s">
        <v>14</v>
      </c>
      <c r="AC161" t="s">
        <v>23</v>
      </c>
      <c r="AD161">
        <v>54</v>
      </c>
      <c r="AF161" s="127">
        <v>23373</v>
      </c>
      <c r="AG161">
        <v>359</v>
      </c>
      <c r="AI161">
        <v>43</v>
      </c>
      <c r="AJ161">
        <v>37</v>
      </c>
    </row>
    <row r="162" spans="26:36" x14ac:dyDescent="0.25">
      <c r="Z162">
        <v>302</v>
      </c>
      <c r="AA162" t="s">
        <v>214</v>
      </c>
      <c r="AB162" t="s">
        <v>38</v>
      </c>
      <c r="AC162" t="s">
        <v>24</v>
      </c>
      <c r="AD162">
        <v>65</v>
      </c>
      <c r="AF162" s="127">
        <v>19455</v>
      </c>
      <c r="AG162">
        <v>278</v>
      </c>
      <c r="AI162">
        <v>43</v>
      </c>
      <c r="AJ162">
        <v>49</v>
      </c>
    </row>
    <row r="163" spans="26:36" x14ac:dyDescent="0.25">
      <c r="Z163">
        <v>303</v>
      </c>
      <c r="AA163" t="s">
        <v>277</v>
      </c>
      <c r="AB163" t="s">
        <v>63</v>
      </c>
      <c r="AC163" t="s">
        <v>24</v>
      </c>
      <c r="AD163">
        <v>38</v>
      </c>
      <c r="AF163" s="127">
        <v>29369</v>
      </c>
      <c r="AG163">
        <v>384</v>
      </c>
      <c r="AI163">
        <v>43</v>
      </c>
      <c r="AJ163">
        <v>56</v>
      </c>
    </row>
    <row r="164" spans="26:36" x14ac:dyDescent="0.25">
      <c r="Z164">
        <v>304</v>
      </c>
      <c r="AA164" t="s">
        <v>2242</v>
      </c>
      <c r="AB164" t="s">
        <v>38</v>
      </c>
      <c r="AC164" t="s">
        <v>23</v>
      </c>
      <c r="AD164">
        <v>54</v>
      </c>
      <c r="AF164" s="127">
        <v>23523</v>
      </c>
      <c r="AG164">
        <v>318</v>
      </c>
      <c r="AI164">
        <v>44</v>
      </c>
      <c r="AJ164">
        <v>3</v>
      </c>
    </row>
    <row r="165" spans="26:36" x14ac:dyDescent="0.25">
      <c r="Z165">
        <v>305</v>
      </c>
      <c r="AA165" t="s">
        <v>1337</v>
      </c>
      <c r="AB165" t="s">
        <v>12</v>
      </c>
      <c r="AC165" t="s">
        <v>24</v>
      </c>
      <c r="AD165">
        <v>42</v>
      </c>
      <c r="AF165" s="127">
        <v>27741</v>
      </c>
      <c r="AG165">
        <v>392</v>
      </c>
      <c r="AI165">
        <v>44</v>
      </c>
      <c r="AJ165">
        <v>7</v>
      </c>
    </row>
    <row r="166" spans="26:36" x14ac:dyDescent="0.25">
      <c r="Z166">
        <v>306</v>
      </c>
      <c r="AA166" t="s">
        <v>893</v>
      </c>
      <c r="AB166" t="s">
        <v>12</v>
      </c>
      <c r="AC166" t="s">
        <v>24</v>
      </c>
      <c r="AD166">
        <v>48</v>
      </c>
      <c r="AF166" s="127">
        <v>25623</v>
      </c>
      <c r="AG166">
        <v>282</v>
      </c>
      <c r="AI166">
        <v>44</v>
      </c>
      <c r="AJ166">
        <v>20</v>
      </c>
    </row>
    <row r="167" spans="26:36" x14ac:dyDescent="0.25">
      <c r="Z167">
        <v>307</v>
      </c>
      <c r="AA167" t="s">
        <v>1468</v>
      </c>
      <c r="AB167" t="s">
        <v>155</v>
      </c>
      <c r="AC167" t="s">
        <v>24</v>
      </c>
      <c r="AD167">
        <v>45</v>
      </c>
      <c r="AF167" s="127">
        <v>26521</v>
      </c>
      <c r="AG167">
        <v>210</v>
      </c>
      <c r="AI167">
        <v>44</v>
      </c>
      <c r="AJ167">
        <v>25</v>
      </c>
    </row>
    <row r="168" spans="26:36" x14ac:dyDescent="0.25">
      <c r="Z168">
        <v>308</v>
      </c>
      <c r="AA168" t="s">
        <v>2447</v>
      </c>
      <c r="AB168" t="s">
        <v>108</v>
      </c>
      <c r="AC168" t="s">
        <v>24</v>
      </c>
      <c r="AD168">
        <v>63</v>
      </c>
      <c r="AF168" s="127">
        <v>20000</v>
      </c>
      <c r="AG168">
        <v>173</v>
      </c>
      <c r="AI168">
        <v>44</v>
      </c>
      <c r="AJ168">
        <v>33</v>
      </c>
    </row>
    <row r="169" spans="26:36" x14ac:dyDescent="0.25">
      <c r="Z169">
        <v>309</v>
      </c>
      <c r="AA169" t="s">
        <v>2291</v>
      </c>
      <c r="AB169" t="s">
        <v>108</v>
      </c>
      <c r="AC169" t="s">
        <v>24</v>
      </c>
      <c r="AD169">
        <v>58</v>
      </c>
      <c r="AF169" s="127">
        <v>21755</v>
      </c>
      <c r="AG169">
        <v>202</v>
      </c>
      <c r="AI169">
        <v>44</v>
      </c>
      <c r="AJ169">
        <v>41</v>
      </c>
    </row>
    <row r="170" spans="26:36" x14ac:dyDescent="0.25">
      <c r="Z170">
        <v>310</v>
      </c>
      <c r="AA170" t="s">
        <v>2448</v>
      </c>
      <c r="AB170" t="s">
        <v>12</v>
      </c>
      <c r="AC170" t="s">
        <v>23</v>
      </c>
      <c r="AD170">
        <v>33</v>
      </c>
      <c r="AF170" s="127">
        <v>30885</v>
      </c>
      <c r="AG170">
        <v>216</v>
      </c>
      <c r="AI170">
        <v>44</v>
      </c>
      <c r="AJ170">
        <v>47</v>
      </c>
    </row>
    <row r="171" spans="26:36" x14ac:dyDescent="0.25">
      <c r="Z171">
        <v>311</v>
      </c>
      <c r="AA171" t="s">
        <v>311</v>
      </c>
      <c r="AB171" t="s">
        <v>154</v>
      </c>
      <c r="AC171" t="s">
        <v>24</v>
      </c>
      <c r="AD171">
        <v>41</v>
      </c>
      <c r="AF171" s="127">
        <v>28283</v>
      </c>
      <c r="AG171">
        <v>363</v>
      </c>
      <c r="AI171">
        <v>44</v>
      </c>
      <c r="AJ171">
        <v>48</v>
      </c>
    </row>
    <row r="172" spans="26:36" x14ac:dyDescent="0.25">
      <c r="Z172">
        <v>312</v>
      </c>
      <c r="AA172" t="s">
        <v>596</v>
      </c>
      <c r="AB172" t="s">
        <v>12</v>
      </c>
      <c r="AC172" t="s">
        <v>24</v>
      </c>
      <c r="AD172">
        <v>38</v>
      </c>
      <c r="AF172" s="127">
        <v>29145</v>
      </c>
      <c r="AG172">
        <v>287</v>
      </c>
      <c r="AI172">
        <v>44</v>
      </c>
      <c r="AJ172">
        <v>50</v>
      </c>
    </row>
    <row r="173" spans="26:36" x14ac:dyDescent="0.25">
      <c r="Z173">
        <v>313</v>
      </c>
      <c r="AA173" t="s">
        <v>1076</v>
      </c>
      <c r="AB173" t="s">
        <v>155</v>
      </c>
      <c r="AC173" t="s">
        <v>23</v>
      </c>
      <c r="AD173">
        <v>55</v>
      </c>
      <c r="AF173" s="127">
        <v>23189</v>
      </c>
      <c r="AG173">
        <v>426</v>
      </c>
      <c r="AI173">
        <v>44</v>
      </c>
      <c r="AJ173">
        <v>57</v>
      </c>
    </row>
    <row r="174" spans="26:36" x14ac:dyDescent="0.25">
      <c r="Z174">
        <v>314</v>
      </c>
      <c r="AA174" t="s">
        <v>1153</v>
      </c>
      <c r="AB174" t="s">
        <v>155</v>
      </c>
      <c r="AC174" t="s">
        <v>24</v>
      </c>
      <c r="AD174">
        <v>58</v>
      </c>
      <c r="AF174" s="127">
        <v>21811</v>
      </c>
      <c r="AG174">
        <v>366</v>
      </c>
      <c r="AI174">
        <v>45</v>
      </c>
      <c r="AJ174">
        <v>1</v>
      </c>
    </row>
    <row r="175" spans="26:36" x14ac:dyDescent="0.25">
      <c r="Z175">
        <v>315</v>
      </c>
      <c r="AA175" t="s">
        <v>1405</v>
      </c>
      <c r="AB175" t="s">
        <v>155</v>
      </c>
      <c r="AC175" t="s">
        <v>23</v>
      </c>
      <c r="AD175">
        <v>55</v>
      </c>
      <c r="AF175" s="127">
        <v>22951</v>
      </c>
      <c r="AG175">
        <v>271</v>
      </c>
      <c r="AI175">
        <v>45</v>
      </c>
      <c r="AJ175">
        <v>13</v>
      </c>
    </row>
    <row r="176" spans="26:36" x14ac:dyDescent="0.25">
      <c r="Z176">
        <v>316</v>
      </c>
      <c r="AA176" t="s">
        <v>1511</v>
      </c>
      <c r="AB176" t="s">
        <v>155</v>
      </c>
      <c r="AC176" t="s">
        <v>23</v>
      </c>
      <c r="AD176">
        <v>45</v>
      </c>
      <c r="AF176" s="127">
        <v>26793</v>
      </c>
      <c r="AG176">
        <v>400</v>
      </c>
      <c r="AI176">
        <v>45</v>
      </c>
      <c r="AJ176">
        <v>17</v>
      </c>
    </row>
    <row r="177" spans="26:36" x14ac:dyDescent="0.25">
      <c r="Z177">
        <v>317</v>
      </c>
      <c r="AA177" t="s">
        <v>1522</v>
      </c>
      <c r="AB177" t="s">
        <v>14</v>
      </c>
      <c r="AC177" t="s">
        <v>24</v>
      </c>
      <c r="AD177">
        <v>49</v>
      </c>
      <c r="AF177" s="127">
        <v>25283</v>
      </c>
      <c r="AG177">
        <v>433</v>
      </c>
      <c r="AI177">
        <v>45</v>
      </c>
      <c r="AJ177">
        <v>22</v>
      </c>
    </row>
    <row r="178" spans="26:36" x14ac:dyDescent="0.25">
      <c r="Z178">
        <v>318</v>
      </c>
      <c r="AA178" t="s">
        <v>2353</v>
      </c>
      <c r="AB178" t="s">
        <v>154</v>
      </c>
      <c r="AC178" t="s">
        <v>23</v>
      </c>
      <c r="AD178">
        <v>47</v>
      </c>
      <c r="AF178" s="127">
        <v>26004</v>
      </c>
      <c r="AG178">
        <v>269</v>
      </c>
      <c r="AI178">
        <v>45</v>
      </c>
      <c r="AJ178">
        <v>26</v>
      </c>
    </row>
    <row r="179" spans="26:36" x14ac:dyDescent="0.25">
      <c r="Z179">
        <v>319</v>
      </c>
      <c r="AA179" t="s">
        <v>2449</v>
      </c>
      <c r="AB179" t="s">
        <v>38</v>
      </c>
      <c r="AC179" t="s">
        <v>24</v>
      </c>
      <c r="AD179">
        <v>55</v>
      </c>
      <c r="AF179" s="127">
        <v>23042</v>
      </c>
      <c r="AG179">
        <v>449</v>
      </c>
      <c r="AI179">
        <v>45</v>
      </c>
      <c r="AJ179">
        <v>27</v>
      </c>
    </row>
    <row r="180" spans="26:36" x14ac:dyDescent="0.25">
      <c r="Z180">
        <v>320</v>
      </c>
      <c r="AA180" t="s">
        <v>182</v>
      </c>
      <c r="AB180" t="s">
        <v>12</v>
      </c>
      <c r="AC180" t="s">
        <v>24</v>
      </c>
      <c r="AD180">
        <v>47</v>
      </c>
      <c r="AF180" s="127">
        <v>26023</v>
      </c>
      <c r="AG180">
        <v>272</v>
      </c>
      <c r="AI180">
        <v>45</v>
      </c>
      <c r="AJ180">
        <v>28</v>
      </c>
    </row>
    <row r="181" spans="26:36" x14ac:dyDescent="0.25">
      <c r="Z181">
        <v>321</v>
      </c>
      <c r="AA181" t="s">
        <v>321</v>
      </c>
      <c r="AB181" t="s">
        <v>43</v>
      </c>
      <c r="AC181" t="s">
        <v>24</v>
      </c>
      <c r="AD181">
        <v>47</v>
      </c>
      <c r="AF181" s="127">
        <v>25935</v>
      </c>
      <c r="AG181">
        <v>405</v>
      </c>
      <c r="AI181">
        <v>45</v>
      </c>
      <c r="AJ181">
        <v>29</v>
      </c>
    </row>
    <row r="182" spans="26:36" x14ac:dyDescent="0.25">
      <c r="Z182">
        <v>322</v>
      </c>
      <c r="AA182" t="s">
        <v>2450</v>
      </c>
      <c r="AB182" t="s">
        <v>12</v>
      </c>
      <c r="AC182" t="s">
        <v>24</v>
      </c>
      <c r="AD182">
        <v>55</v>
      </c>
      <c r="AF182" s="127">
        <v>23108</v>
      </c>
      <c r="AG182">
        <v>200</v>
      </c>
      <c r="AI182">
        <v>45</v>
      </c>
      <c r="AJ182">
        <v>41</v>
      </c>
    </row>
    <row r="183" spans="26:36" x14ac:dyDescent="0.25">
      <c r="Z183">
        <v>323</v>
      </c>
      <c r="AA183" t="s">
        <v>1681</v>
      </c>
      <c r="AB183" t="s">
        <v>12</v>
      </c>
      <c r="AC183" t="s">
        <v>23</v>
      </c>
      <c r="AD183">
        <v>40</v>
      </c>
      <c r="AF183" s="127">
        <v>28632</v>
      </c>
      <c r="AG183">
        <v>232</v>
      </c>
      <c r="AI183">
        <v>45</v>
      </c>
      <c r="AJ183">
        <v>45</v>
      </c>
    </row>
    <row r="184" spans="26:36" x14ac:dyDescent="0.25">
      <c r="Z184">
        <v>324</v>
      </c>
      <c r="AA184" t="s">
        <v>870</v>
      </c>
      <c r="AB184" t="s">
        <v>155</v>
      </c>
      <c r="AC184" t="s">
        <v>23</v>
      </c>
      <c r="AD184">
        <v>53</v>
      </c>
      <c r="AF184" s="127">
        <v>23655</v>
      </c>
      <c r="AG184">
        <v>192</v>
      </c>
      <c r="AI184">
        <v>45</v>
      </c>
      <c r="AJ184">
        <v>50</v>
      </c>
    </row>
    <row r="185" spans="26:36" x14ac:dyDescent="0.25">
      <c r="Z185">
        <v>325</v>
      </c>
      <c r="AA185" t="s">
        <v>1404</v>
      </c>
      <c r="AB185" t="s">
        <v>155</v>
      </c>
      <c r="AC185" t="s">
        <v>24</v>
      </c>
      <c r="AD185">
        <v>21</v>
      </c>
      <c r="AF185" s="127">
        <v>35501</v>
      </c>
      <c r="AG185">
        <v>296</v>
      </c>
      <c r="AI185">
        <v>45</v>
      </c>
      <c r="AJ185">
        <v>51</v>
      </c>
    </row>
    <row r="186" spans="26:36" x14ac:dyDescent="0.25">
      <c r="Z186">
        <v>326</v>
      </c>
      <c r="AA186" t="s">
        <v>2366</v>
      </c>
      <c r="AB186" t="s">
        <v>155</v>
      </c>
      <c r="AC186" t="s">
        <v>23</v>
      </c>
      <c r="AD186">
        <v>48</v>
      </c>
      <c r="AF186" s="127">
        <v>25506</v>
      </c>
      <c r="AG186">
        <v>148</v>
      </c>
      <c r="AI186">
        <v>45</v>
      </c>
      <c r="AJ186">
        <v>51</v>
      </c>
    </row>
    <row r="187" spans="26:36" x14ac:dyDescent="0.25">
      <c r="Z187">
        <v>327</v>
      </c>
      <c r="AA187" t="s">
        <v>2451</v>
      </c>
      <c r="AB187" t="s">
        <v>155</v>
      </c>
      <c r="AC187" t="s">
        <v>23</v>
      </c>
      <c r="AD187">
        <v>49</v>
      </c>
      <c r="AF187" s="127">
        <v>25393</v>
      </c>
      <c r="AG187">
        <v>370</v>
      </c>
      <c r="AI187">
        <v>46</v>
      </c>
      <c r="AJ187">
        <v>22</v>
      </c>
    </row>
    <row r="188" spans="26:36" x14ac:dyDescent="0.25">
      <c r="Z188">
        <v>328</v>
      </c>
      <c r="AA188" t="s">
        <v>2205</v>
      </c>
      <c r="AB188" t="s">
        <v>38</v>
      </c>
      <c r="AC188" t="s">
        <v>24</v>
      </c>
      <c r="AD188">
        <v>44</v>
      </c>
      <c r="AF188" s="127">
        <v>27066</v>
      </c>
      <c r="AG188">
        <v>307</v>
      </c>
      <c r="AI188">
        <v>46</v>
      </c>
      <c r="AJ188">
        <v>35</v>
      </c>
    </row>
    <row r="189" spans="26:36" x14ac:dyDescent="0.25">
      <c r="Z189">
        <v>329</v>
      </c>
      <c r="AA189" t="s">
        <v>233</v>
      </c>
      <c r="AB189" t="s">
        <v>38</v>
      </c>
      <c r="AC189" t="s">
        <v>24</v>
      </c>
      <c r="AD189">
        <v>58</v>
      </c>
      <c r="AF189" s="127">
        <v>21911</v>
      </c>
      <c r="AG189">
        <v>443</v>
      </c>
      <c r="AI189">
        <v>46</v>
      </c>
      <c r="AJ189">
        <v>39</v>
      </c>
    </row>
    <row r="190" spans="26:36" x14ac:dyDescent="0.25">
      <c r="Z190">
        <v>330</v>
      </c>
      <c r="AA190" t="s">
        <v>1808</v>
      </c>
      <c r="AB190" t="s">
        <v>108</v>
      </c>
      <c r="AC190" t="s">
        <v>24</v>
      </c>
      <c r="AD190">
        <v>35</v>
      </c>
      <c r="AF190" s="127">
        <v>30444</v>
      </c>
      <c r="AG190">
        <v>164</v>
      </c>
      <c r="AI190">
        <v>46</v>
      </c>
      <c r="AJ190">
        <v>39</v>
      </c>
    </row>
    <row r="191" spans="26:36" x14ac:dyDescent="0.25">
      <c r="Z191">
        <v>331</v>
      </c>
      <c r="AA191" t="s">
        <v>180</v>
      </c>
      <c r="AB191" t="s">
        <v>12</v>
      </c>
      <c r="AC191" t="s">
        <v>24</v>
      </c>
      <c r="AD191">
        <v>49</v>
      </c>
      <c r="AF191" s="127">
        <v>25069</v>
      </c>
      <c r="AG191">
        <v>323</v>
      </c>
      <c r="AI191">
        <v>46</v>
      </c>
      <c r="AJ191">
        <v>39</v>
      </c>
    </row>
    <row r="192" spans="26:36" x14ac:dyDescent="0.25">
      <c r="Z192">
        <v>332</v>
      </c>
      <c r="AA192" t="s">
        <v>2237</v>
      </c>
      <c r="AB192" t="s">
        <v>12</v>
      </c>
      <c r="AC192" t="s">
        <v>23</v>
      </c>
      <c r="AD192">
        <v>44</v>
      </c>
      <c r="AF192" s="127">
        <v>26974</v>
      </c>
      <c r="AG192">
        <v>446</v>
      </c>
      <c r="AI192">
        <v>46</v>
      </c>
      <c r="AJ192">
        <v>42</v>
      </c>
    </row>
    <row r="193" spans="26:36" x14ac:dyDescent="0.25">
      <c r="Z193">
        <v>333</v>
      </c>
      <c r="AA193" t="s">
        <v>2243</v>
      </c>
      <c r="AB193" t="s">
        <v>43</v>
      </c>
      <c r="AC193" t="s">
        <v>24</v>
      </c>
      <c r="AD193">
        <v>64</v>
      </c>
      <c r="AF193" s="127">
        <v>19813</v>
      </c>
      <c r="AG193">
        <v>393</v>
      </c>
      <c r="AI193">
        <v>46</v>
      </c>
      <c r="AJ193">
        <v>47</v>
      </c>
    </row>
    <row r="194" spans="26:36" x14ac:dyDescent="0.25">
      <c r="Z194">
        <v>334</v>
      </c>
      <c r="AA194" t="s">
        <v>1796</v>
      </c>
      <c r="AB194" t="s">
        <v>155</v>
      </c>
      <c r="AC194" t="s">
        <v>23</v>
      </c>
      <c r="AD194">
        <v>39</v>
      </c>
      <c r="AF194" s="127">
        <v>29038</v>
      </c>
      <c r="AG194">
        <v>199</v>
      </c>
      <c r="AI194">
        <v>46</v>
      </c>
      <c r="AJ194">
        <v>57</v>
      </c>
    </row>
    <row r="195" spans="26:36" x14ac:dyDescent="0.25">
      <c r="Z195">
        <v>335</v>
      </c>
      <c r="AA195" t="s">
        <v>193</v>
      </c>
      <c r="AB195" t="s">
        <v>43</v>
      </c>
      <c r="AC195" t="s">
        <v>23</v>
      </c>
      <c r="AD195">
        <v>48</v>
      </c>
      <c r="AF195" s="127">
        <v>25547</v>
      </c>
      <c r="AG195">
        <v>416</v>
      </c>
      <c r="AI195">
        <v>46</v>
      </c>
      <c r="AJ195">
        <v>59</v>
      </c>
    </row>
    <row r="196" spans="26:36" x14ac:dyDescent="0.25">
      <c r="Z196">
        <v>336</v>
      </c>
      <c r="AA196" t="s">
        <v>2273</v>
      </c>
      <c r="AB196" t="s">
        <v>43</v>
      </c>
      <c r="AC196" t="s">
        <v>24</v>
      </c>
      <c r="AD196">
        <v>82</v>
      </c>
      <c r="AF196" s="127">
        <v>13009</v>
      </c>
      <c r="AG196">
        <v>452</v>
      </c>
      <c r="AI196">
        <v>47</v>
      </c>
      <c r="AJ196">
        <v>2</v>
      </c>
    </row>
    <row r="197" spans="26:36" x14ac:dyDescent="0.25">
      <c r="Z197">
        <v>337</v>
      </c>
      <c r="AA197" t="s">
        <v>2275</v>
      </c>
      <c r="AB197" t="s">
        <v>43</v>
      </c>
      <c r="AC197" t="s">
        <v>24</v>
      </c>
      <c r="AD197">
        <v>16</v>
      </c>
      <c r="AF197" s="127">
        <v>37219</v>
      </c>
      <c r="AG197">
        <v>290</v>
      </c>
      <c r="AI197">
        <v>47</v>
      </c>
      <c r="AJ197">
        <v>3</v>
      </c>
    </row>
    <row r="198" spans="26:36" x14ac:dyDescent="0.25">
      <c r="Z198">
        <v>338</v>
      </c>
      <c r="AA198" t="s">
        <v>337</v>
      </c>
      <c r="AB198" t="s">
        <v>108</v>
      </c>
      <c r="AC198" t="s">
        <v>24</v>
      </c>
      <c r="AD198">
        <v>50</v>
      </c>
      <c r="AF198" s="127">
        <v>24774</v>
      </c>
      <c r="AG198">
        <v>432</v>
      </c>
      <c r="AI198">
        <v>47</v>
      </c>
      <c r="AJ198">
        <v>13</v>
      </c>
    </row>
    <row r="199" spans="26:36" x14ac:dyDescent="0.25">
      <c r="Z199">
        <v>339</v>
      </c>
      <c r="AA199" t="s">
        <v>2204</v>
      </c>
      <c r="AB199" t="s">
        <v>12</v>
      </c>
      <c r="AC199" t="s">
        <v>24</v>
      </c>
      <c r="AD199">
        <v>34</v>
      </c>
      <c r="AF199" s="127">
        <v>30543</v>
      </c>
      <c r="AG199">
        <v>413</v>
      </c>
      <c r="AI199">
        <v>47</v>
      </c>
      <c r="AJ199">
        <v>17</v>
      </c>
    </row>
    <row r="200" spans="26:36" x14ac:dyDescent="0.25">
      <c r="Z200">
        <v>340</v>
      </c>
      <c r="AA200" t="s">
        <v>1323</v>
      </c>
      <c r="AB200" t="s">
        <v>12</v>
      </c>
      <c r="AC200" t="s">
        <v>23</v>
      </c>
      <c r="AD200">
        <v>29</v>
      </c>
      <c r="AF200" s="127">
        <v>32661</v>
      </c>
      <c r="AG200">
        <v>167</v>
      </c>
      <c r="AI200">
        <v>47</v>
      </c>
      <c r="AJ200">
        <v>20</v>
      </c>
    </row>
    <row r="201" spans="26:36" x14ac:dyDescent="0.25">
      <c r="Z201">
        <v>341</v>
      </c>
      <c r="AA201" t="s">
        <v>2452</v>
      </c>
      <c r="AB201" t="s">
        <v>12</v>
      </c>
      <c r="AC201" t="s">
        <v>24</v>
      </c>
      <c r="AD201">
        <v>42</v>
      </c>
      <c r="AF201" s="127">
        <v>27744</v>
      </c>
      <c r="AG201">
        <v>344</v>
      </c>
      <c r="AI201">
        <v>47</v>
      </c>
      <c r="AJ201">
        <v>23</v>
      </c>
    </row>
    <row r="202" spans="26:36" x14ac:dyDescent="0.25">
      <c r="Z202">
        <v>342</v>
      </c>
      <c r="AA202" t="s">
        <v>2201</v>
      </c>
      <c r="AB202" t="s">
        <v>12</v>
      </c>
      <c r="AC202" t="s">
        <v>24</v>
      </c>
      <c r="AD202">
        <v>28</v>
      </c>
      <c r="AF202" s="127">
        <v>32870</v>
      </c>
      <c r="AG202">
        <v>234</v>
      </c>
      <c r="AI202">
        <v>47</v>
      </c>
      <c r="AJ202">
        <v>39</v>
      </c>
    </row>
    <row r="203" spans="26:36" x14ac:dyDescent="0.25">
      <c r="Z203">
        <v>343</v>
      </c>
      <c r="AA203" t="s">
        <v>385</v>
      </c>
      <c r="AB203" t="s">
        <v>2253</v>
      </c>
      <c r="AC203" t="s">
        <v>23</v>
      </c>
      <c r="AD203">
        <v>54</v>
      </c>
      <c r="AF203" s="127">
        <v>23285</v>
      </c>
      <c r="AG203">
        <v>249</v>
      </c>
      <c r="AI203">
        <v>47</v>
      </c>
      <c r="AJ203">
        <v>40</v>
      </c>
    </row>
    <row r="204" spans="26:36" x14ac:dyDescent="0.25">
      <c r="Z204">
        <v>344</v>
      </c>
      <c r="AA204" t="s">
        <v>1403</v>
      </c>
      <c r="AB204" t="s">
        <v>63</v>
      </c>
      <c r="AC204" t="s">
        <v>24</v>
      </c>
      <c r="AD204">
        <v>40</v>
      </c>
      <c r="AF204" s="127">
        <v>28328</v>
      </c>
      <c r="AG204">
        <v>292</v>
      </c>
      <c r="AI204">
        <v>47</v>
      </c>
      <c r="AJ204">
        <v>49</v>
      </c>
    </row>
    <row r="205" spans="26:36" x14ac:dyDescent="0.25">
      <c r="Z205">
        <v>345</v>
      </c>
      <c r="AA205" t="s">
        <v>2395</v>
      </c>
      <c r="AB205" t="s">
        <v>155</v>
      </c>
      <c r="AC205" t="s">
        <v>23</v>
      </c>
      <c r="AD205">
        <v>50</v>
      </c>
      <c r="AF205" s="127">
        <v>24789</v>
      </c>
      <c r="AG205">
        <v>165</v>
      </c>
      <c r="AI205">
        <v>47</v>
      </c>
      <c r="AJ205">
        <v>50</v>
      </c>
    </row>
    <row r="206" spans="26:36" x14ac:dyDescent="0.25">
      <c r="Z206">
        <v>346</v>
      </c>
      <c r="AA206" t="s">
        <v>253</v>
      </c>
      <c r="AB206" t="s">
        <v>63</v>
      </c>
      <c r="AC206" t="s">
        <v>23</v>
      </c>
      <c r="AD206">
        <v>43</v>
      </c>
      <c r="AF206" s="127">
        <v>27562</v>
      </c>
      <c r="AG206">
        <v>364</v>
      </c>
      <c r="AI206">
        <v>48</v>
      </c>
      <c r="AJ206">
        <v>0</v>
      </c>
    </row>
    <row r="207" spans="26:36" x14ac:dyDescent="0.25">
      <c r="Z207">
        <v>347</v>
      </c>
      <c r="AA207" t="s">
        <v>531</v>
      </c>
      <c r="AB207" t="s">
        <v>12</v>
      </c>
      <c r="AC207" t="s">
        <v>24</v>
      </c>
      <c r="AD207">
        <v>39</v>
      </c>
      <c r="AF207" s="127">
        <v>28956</v>
      </c>
      <c r="AG207">
        <v>391</v>
      </c>
      <c r="AI207">
        <v>48</v>
      </c>
      <c r="AJ207">
        <v>4</v>
      </c>
    </row>
    <row r="208" spans="26:36" x14ac:dyDescent="0.25">
      <c r="Z208">
        <v>348</v>
      </c>
      <c r="AA208" t="s">
        <v>1929</v>
      </c>
      <c r="AB208" t="s">
        <v>63</v>
      </c>
      <c r="AC208" t="s">
        <v>23</v>
      </c>
      <c r="AD208">
        <v>62</v>
      </c>
      <c r="AF208" s="127">
        <v>20353</v>
      </c>
      <c r="AG208">
        <v>188</v>
      </c>
      <c r="AI208">
        <v>48</v>
      </c>
      <c r="AJ208">
        <v>20</v>
      </c>
    </row>
    <row r="209" spans="26:36" x14ac:dyDescent="0.25">
      <c r="Z209">
        <v>349</v>
      </c>
      <c r="AA209" t="s">
        <v>2316</v>
      </c>
      <c r="AB209" t="s">
        <v>12</v>
      </c>
      <c r="AC209" t="s">
        <v>24</v>
      </c>
      <c r="AD209">
        <v>38</v>
      </c>
      <c r="AF209" s="127">
        <v>29252</v>
      </c>
      <c r="AG209">
        <v>238</v>
      </c>
      <c r="AI209">
        <v>48</v>
      </c>
      <c r="AJ209">
        <v>25</v>
      </c>
    </row>
    <row r="210" spans="26:36" x14ac:dyDescent="0.25">
      <c r="Z210">
        <v>350</v>
      </c>
      <c r="AA210" t="s">
        <v>2343</v>
      </c>
      <c r="AB210" t="s">
        <v>12</v>
      </c>
      <c r="AC210" t="s">
        <v>23</v>
      </c>
      <c r="AD210">
        <v>42</v>
      </c>
      <c r="AF210" s="127">
        <v>27648</v>
      </c>
      <c r="AG210">
        <v>170</v>
      </c>
      <c r="AI210">
        <v>48</v>
      </c>
      <c r="AJ210">
        <v>27</v>
      </c>
    </row>
    <row r="211" spans="26:36" x14ac:dyDescent="0.25">
      <c r="Z211">
        <v>351</v>
      </c>
      <c r="AA211" t="s">
        <v>794</v>
      </c>
      <c r="AB211" t="s">
        <v>108</v>
      </c>
      <c r="AC211" t="s">
        <v>23</v>
      </c>
      <c r="AD211">
        <v>26</v>
      </c>
      <c r="AF211" s="127">
        <v>33585</v>
      </c>
      <c r="AG211">
        <v>279</v>
      </c>
      <c r="AI211">
        <v>48</v>
      </c>
      <c r="AJ211">
        <v>30</v>
      </c>
    </row>
    <row r="212" spans="26:36" x14ac:dyDescent="0.25">
      <c r="Z212">
        <v>352</v>
      </c>
      <c r="AA212" t="s">
        <v>2453</v>
      </c>
      <c r="AB212" t="s">
        <v>505</v>
      </c>
      <c r="AC212" t="s">
        <v>24</v>
      </c>
      <c r="AD212">
        <v>34</v>
      </c>
      <c r="AF212" s="127">
        <v>30755</v>
      </c>
      <c r="AG212">
        <v>166</v>
      </c>
      <c r="AI212">
        <v>48</v>
      </c>
      <c r="AJ212">
        <v>35</v>
      </c>
    </row>
    <row r="213" spans="26:36" x14ac:dyDescent="0.25">
      <c r="Z213">
        <v>353</v>
      </c>
      <c r="AA213" t="s">
        <v>190</v>
      </c>
      <c r="AB213" t="s">
        <v>43</v>
      </c>
      <c r="AC213" t="s">
        <v>24</v>
      </c>
      <c r="AD213">
        <v>32</v>
      </c>
      <c r="AF213" s="127">
        <v>31300</v>
      </c>
      <c r="AG213">
        <v>209</v>
      </c>
      <c r="AI213">
        <v>48</v>
      </c>
      <c r="AJ213">
        <v>42</v>
      </c>
    </row>
    <row r="214" spans="26:36" x14ac:dyDescent="0.25">
      <c r="Z214">
        <v>354</v>
      </c>
      <c r="AA214" t="s">
        <v>530</v>
      </c>
      <c r="AB214" t="s">
        <v>505</v>
      </c>
      <c r="AC214" t="s">
        <v>24</v>
      </c>
      <c r="AD214">
        <v>62</v>
      </c>
      <c r="AF214" s="127">
        <v>20339</v>
      </c>
      <c r="AG214">
        <v>355</v>
      </c>
      <c r="AI214">
        <v>48</v>
      </c>
      <c r="AJ214">
        <v>47</v>
      </c>
    </row>
    <row r="215" spans="26:36" x14ac:dyDescent="0.25">
      <c r="Z215">
        <v>355</v>
      </c>
      <c r="AA215" t="s">
        <v>1884</v>
      </c>
      <c r="AB215" t="s">
        <v>12</v>
      </c>
      <c r="AC215" t="s">
        <v>23</v>
      </c>
      <c r="AD215">
        <v>43</v>
      </c>
      <c r="AF215" s="127">
        <v>27328</v>
      </c>
      <c r="AG215">
        <v>248</v>
      </c>
      <c r="AI215">
        <v>48</v>
      </c>
      <c r="AJ215">
        <v>48</v>
      </c>
    </row>
    <row r="216" spans="26:36" x14ac:dyDescent="0.25">
      <c r="Z216">
        <v>356</v>
      </c>
      <c r="AA216" t="s">
        <v>239</v>
      </c>
      <c r="AB216" t="s">
        <v>43</v>
      </c>
      <c r="AC216" t="s">
        <v>24</v>
      </c>
      <c r="AD216">
        <v>48</v>
      </c>
      <c r="AF216" s="127">
        <v>25721</v>
      </c>
      <c r="AG216">
        <v>332</v>
      </c>
      <c r="AI216">
        <v>48</v>
      </c>
      <c r="AJ216">
        <v>58</v>
      </c>
    </row>
    <row r="217" spans="26:36" x14ac:dyDescent="0.25">
      <c r="Z217">
        <v>357</v>
      </c>
      <c r="AA217" t="s">
        <v>2324</v>
      </c>
      <c r="AB217" t="s">
        <v>108</v>
      </c>
      <c r="AC217" t="s">
        <v>24</v>
      </c>
      <c r="AD217">
        <v>25</v>
      </c>
      <c r="AF217" s="127">
        <v>34141</v>
      </c>
      <c r="AG217">
        <v>207</v>
      </c>
      <c r="AI217">
        <v>49</v>
      </c>
      <c r="AJ217">
        <v>9</v>
      </c>
    </row>
    <row r="218" spans="26:36" x14ac:dyDescent="0.25">
      <c r="Z218">
        <v>358</v>
      </c>
      <c r="AA218" t="s">
        <v>1352</v>
      </c>
      <c r="AB218" t="s">
        <v>12</v>
      </c>
      <c r="AC218" t="s">
        <v>24</v>
      </c>
      <c r="AD218">
        <v>41</v>
      </c>
      <c r="AF218" s="127">
        <v>28000</v>
      </c>
      <c r="AG218">
        <v>343</v>
      </c>
      <c r="AI218">
        <v>49</v>
      </c>
      <c r="AJ218">
        <v>17</v>
      </c>
    </row>
    <row r="219" spans="26:36" x14ac:dyDescent="0.25">
      <c r="Z219">
        <v>359</v>
      </c>
      <c r="AA219" t="s">
        <v>2454</v>
      </c>
      <c r="AB219" t="s">
        <v>12</v>
      </c>
      <c r="AC219" t="s">
        <v>24</v>
      </c>
      <c r="AD219">
        <v>42</v>
      </c>
      <c r="AF219" s="127">
        <v>27618</v>
      </c>
      <c r="AG219">
        <v>369</v>
      </c>
      <c r="AI219">
        <v>49</v>
      </c>
      <c r="AJ219">
        <v>40</v>
      </c>
    </row>
    <row r="220" spans="26:36" x14ac:dyDescent="0.25">
      <c r="Z220">
        <v>360</v>
      </c>
      <c r="AA220" t="s">
        <v>2455</v>
      </c>
      <c r="AB220" t="s">
        <v>505</v>
      </c>
      <c r="AC220" t="s">
        <v>24</v>
      </c>
      <c r="AD220">
        <v>59</v>
      </c>
      <c r="AF220" s="127">
        <v>21642</v>
      </c>
      <c r="AG220">
        <v>439</v>
      </c>
      <c r="AI220">
        <v>49</v>
      </c>
      <c r="AJ220">
        <v>43</v>
      </c>
    </row>
    <row r="221" spans="26:36" x14ac:dyDescent="0.25">
      <c r="Z221">
        <v>361</v>
      </c>
      <c r="AA221" t="s">
        <v>1745</v>
      </c>
      <c r="AB221" t="s">
        <v>12</v>
      </c>
      <c r="AC221" t="s">
        <v>24</v>
      </c>
      <c r="AD221">
        <v>36</v>
      </c>
      <c r="AF221" s="127">
        <v>29910</v>
      </c>
      <c r="AG221">
        <v>193</v>
      </c>
      <c r="AI221">
        <v>49</v>
      </c>
      <c r="AJ221">
        <v>45</v>
      </c>
    </row>
    <row r="222" spans="26:36" x14ac:dyDescent="0.25">
      <c r="Z222">
        <v>362</v>
      </c>
      <c r="AA222" t="s">
        <v>1575</v>
      </c>
      <c r="AB222" t="s">
        <v>12</v>
      </c>
      <c r="AC222" t="s">
        <v>24</v>
      </c>
      <c r="AD222">
        <v>56</v>
      </c>
      <c r="AF222" s="127">
        <v>22797</v>
      </c>
      <c r="AG222">
        <v>314</v>
      </c>
      <c r="AI222">
        <v>49</v>
      </c>
      <c r="AJ222">
        <v>53</v>
      </c>
    </row>
    <row r="223" spans="26:36" x14ac:dyDescent="0.25">
      <c r="Z223">
        <v>363</v>
      </c>
      <c r="AA223" t="s">
        <v>2456</v>
      </c>
      <c r="AB223" t="s">
        <v>12</v>
      </c>
      <c r="AC223" t="s">
        <v>24</v>
      </c>
      <c r="AD223">
        <v>22</v>
      </c>
      <c r="AF223" s="127">
        <v>35095</v>
      </c>
      <c r="AG223">
        <v>244</v>
      </c>
      <c r="AI223">
        <v>49</v>
      </c>
      <c r="AJ223">
        <v>55</v>
      </c>
    </row>
    <row r="224" spans="26:36" x14ac:dyDescent="0.25">
      <c r="Z224">
        <v>364</v>
      </c>
      <c r="AA224" t="s">
        <v>2236</v>
      </c>
      <c r="AB224" t="s">
        <v>1805</v>
      </c>
      <c r="AC224" t="s">
        <v>23</v>
      </c>
      <c r="AD224">
        <v>38</v>
      </c>
      <c r="AF224" s="127">
        <v>29236</v>
      </c>
      <c r="AG224">
        <v>161</v>
      </c>
      <c r="AI224">
        <v>50</v>
      </c>
      <c r="AJ224">
        <v>2</v>
      </c>
    </row>
    <row r="225" spans="26:36" x14ac:dyDescent="0.25">
      <c r="Z225">
        <v>365</v>
      </c>
      <c r="AA225" t="s">
        <v>2217</v>
      </c>
      <c r="AB225" t="s">
        <v>1805</v>
      </c>
      <c r="AC225" t="s">
        <v>24</v>
      </c>
      <c r="AD225">
        <v>41</v>
      </c>
      <c r="AF225" s="127">
        <v>28084</v>
      </c>
      <c r="AG225">
        <v>153</v>
      </c>
      <c r="AI225">
        <v>50</v>
      </c>
      <c r="AJ225">
        <v>6</v>
      </c>
    </row>
    <row r="226" spans="26:36" x14ac:dyDescent="0.25">
      <c r="Z226">
        <v>366</v>
      </c>
      <c r="AA226" t="s">
        <v>281</v>
      </c>
      <c r="AB226" t="s">
        <v>155</v>
      </c>
      <c r="AC226" t="s">
        <v>23</v>
      </c>
      <c r="AD226">
        <v>42</v>
      </c>
      <c r="AF226" s="127">
        <v>27723</v>
      </c>
      <c r="AG226">
        <v>231</v>
      </c>
      <c r="AI226">
        <v>50</v>
      </c>
      <c r="AJ226">
        <v>10</v>
      </c>
    </row>
    <row r="227" spans="26:36" x14ac:dyDescent="0.25">
      <c r="Z227">
        <v>367</v>
      </c>
      <c r="AA227" t="s">
        <v>1408</v>
      </c>
      <c r="AB227" t="s">
        <v>63</v>
      </c>
      <c r="AC227" t="s">
        <v>24</v>
      </c>
      <c r="AD227">
        <v>31</v>
      </c>
      <c r="AF227" s="127">
        <v>31758</v>
      </c>
      <c r="AG227">
        <v>174</v>
      </c>
      <c r="AI227">
        <v>50</v>
      </c>
      <c r="AJ227">
        <v>19</v>
      </c>
    </row>
    <row r="228" spans="26:36" x14ac:dyDescent="0.25">
      <c r="Z228">
        <v>368</v>
      </c>
      <c r="AA228" t="s">
        <v>1326</v>
      </c>
      <c r="AB228" t="s">
        <v>12</v>
      </c>
      <c r="AC228" t="s">
        <v>23</v>
      </c>
      <c r="AD228">
        <v>29</v>
      </c>
      <c r="AF228" s="127">
        <v>32688</v>
      </c>
      <c r="AG228">
        <v>320</v>
      </c>
      <c r="AI228">
        <v>50</v>
      </c>
      <c r="AJ228">
        <v>25</v>
      </c>
    </row>
    <row r="229" spans="26:36" x14ac:dyDescent="0.25">
      <c r="Z229">
        <v>369</v>
      </c>
      <c r="AA229" t="s">
        <v>544</v>
      </c>
      <c r="AB229" t="s">
        <v>54</v>
      </c>
      <c r="AC229" t="s">
        <v>24</v>
      </c>
      <c r="AD229">
        <v>61</v>
      </c>
      <c r="AF229" s="127">
        <v>20693</v>
      </c>
      <c r="AG229">
        <v>354</v>
      </c>
      <c r="AI229">
        <v>50</v>
      </c>
      <c r="AJ229">
        <v>32</v>
      </c>
    </row>
    <row r="230" spans="26:36" x14ac:dyDescent="0.25">
      <c r="Z230">
        <v>370</v>
      </c>
      <c r="AA230" t="s">
        <v>232</v>
      </c>
      <c r="AB230" t="s">
        <v>38</v>
      </c>
      <c r="AC230" t="s">
        <v>24</v>
      </c>
      <c r="AD230">
        <v>43</v>
      </c>
      <c r="AF230" s="127">
        <v>27243</v>
      </c>
      <c r="AG230">
        <v>430</v>
      </c>
      <c r="AI230">
        <v>50</v>
      </c>
      <c r="AJ230">
        <v>35</v>
      </c>
    </row>
    <row r="231" spans="26:36" x14ac:dyDescent="0.25">
      <c r="Z231">
        <v>371</v>
      </c>
      <c r="AA231" t="s">
        <v>907</v>
      </c>
      <c r="AB231" t="s">
        <v>12</v>
      </c>
      <c r="AC231" t="s">
        <v>24</v>
      </c>
      <c r="AD231">
        <v>39</v>
      </c>
      <c r="AF231" s="127">
        <v>28696</v>
      </c>
      <c r="AG231">
        <v>346</v>
      </c>
      <c r="AI231">
        <v>50</v>
      </c>
      <c r="AJ231">
        <v>37</v>
      </c>
    </row>
    <row r="232" spans="26:36" x14ac:dyDescent="0.25">
      <c r="Z232">
        <v>372</v>
      </c>
      <c r="AA232" t="s">
        <v>176</v>
      </c>
      <c r="AB232" t="s">
        <v>12</v>
      </c>
      <c r="AC232" t="s">
        <v>24</v>
      </c>
      <c r="AD232">
        <v>27</v>
      </c>
      <c r="AF232" s="127">
        <v>33276</v>
      </c>
      <c r="AG232">
        <v>401</v>
      </c>
      <c r="AI232">
        <v>50</v>
      </c>
      <c r="AJ232">
        <v>49</v>
      </c>
    </row>
    <row r="233" spans="26:36" x14ac:dyDescent="0.25">
      <c r="Z233">
        <v>373</v>
      </c>
      <c r="AA233" t="s">
        <v>2218</v>
      </c>
      <c r="AB233" t="s">
        <v>1805</v>
      </c>
      <c r="AC233" t="s">
        <v>23</v>
      </c>
      <c r="AD233">
        <v>41</v>
      </c>
      <c r="AF233" s="127">
        <v>28149</v>
      </c>
      <c r="AG233">
        <v>309</v>
      </c>
      <c r="AI233">
        <v>50</v>
      </c>
      <c r="AJ233">
        <v>54</v>
      </c>
    </row>
    <row r="234" spans="26:36" x14ac:dyDescent="0.25">
      <c r="Z234">
        <v>374</v>
      </c>
      <c r="AA234" t="s">
        <v>2300</v>
      </c>
      <c r="AB234" t="s">
        <v>1805</v>
      </c>
      <c r="AC234" t="s">
        <v>24</v>
      </c>
      <c r="AD234">
        <v>39</v>
      </c>
      <c r="AF234" s="127">
        <v>28756</v>
      </c>
      <c r="AG234">
        <v>390</v>
      </c>
      <c r="AI234">
        <v>50</v>
      </c>
      <c r="AJ234">
        <v>59</v>
      </c>
    </row>
    <row r="235" spans="26:36" x14ac:dyDescent="0.25">
      <c r="Z235">
        <v>375</v>
      </c>
      <c r="AA235" t="s">
        <v>2339</v>
      </c>
      <c r="AB235" t="s">
        <v>108</v>
      </c>
      <c r="AC235" t="s">
        <v>24</v>
      </c>
      <c r="AD235">
        <v>26</v>
      </c>
      <c r="AF235" s="127">
        <v>33652</v>
      </c>
      <c r="AG235">
        <v>236</v>
      </c>
      <c r="AI235">
        <v>51</v>
      </c>
      <c r="AJ235">
        <v>0</v>
      </c>
    </row>
    <row r="236" spans="26:36" x14ac:dyDescent="0.25">
      <c r="Z236">
        <v>376</v>
      </c>
      <c r="AA236" t="s">
        <v>1410</v>
      </c>
      <c r="AB236" t="s">
        <v>63</v>
      </c>
      <c r="AC236" t="s">
        <v>24</v>
      </c>
      <c r="AD236">
        <v>56</v>
      </c>
      <c r="AF236" s="127">
        <v>22720</v>
      </c>
      <c r="AG236">
        <v>377</v>
      </c>
      <c r="AI236">
        <v>51</v>
      </c>
      <c r="AJ236">
        <v>47</v>
      </c>
    </row>
    <row r="237" spans="26:36" x14ac:dyDescent="0.25">
      <c r="Z237">
        <v>377</v>
      </c>
      <c r="AA237" t="s">
        <v>916</v>
      </c>
      <c r="AB237" t="s">
        <v>108</v>
      </c>
      <c r="AC237" t="s">
        <v>23</v>
      </c>
      <c r="AD237">
        <v>54</v>
      </c>
      <c r="AF237" s="127">
        <v>23481</v>
      </c>
      <c r="AG237">
        <v>284</v>
      </c>
      <c r="AI237">
        <v>51</v>
      </c>
      <c r="AJ237">
        <v>58</v>
      </c>
    </row>
    <row r="238" spans="26:36" x14ac:dyDescent="0.25">
      <c r="Z238">
        <v>378</v>
      </c>
      <c r="AA238" t="s">
        <v>2307</v>
      </c>
      <c r="AB238" t="s">
        <v>63</v>
      </c>
      <c r="AC238" t="s">
        <v>24</v>
      </c>
      <c r="AD238">
        <v>49</v>
      </c>
      <c r="AF238" s="127">
        <v>25135</v>
      </c>
      <c r="AG238">
        <v>156</v>
      </c>
      <c r="AI238">
        <v>52</v>
      </c>
      <c r="AJ238">
        <v>11</v>
      </c>
    </row>
    <row r="239" spans="26:36" x14ac:dyDescent="0.25">
      <c r="Z239">
        <v>379</v>
      </c>
      <c r="AA239" t="s">
        <v>575</v>
      </c>
      <c r="AB239" t="s">
        <v>14</v>
      </c>
      <c r="AC239" t="s">
        <v>23</v>
      </c>
      <c r="AD239">
        <v>54</v>
      </c>
      <c r="AF239" s="127">
        <v>23432</v>
      </c>
      <c r="AG239">
        <v>302</v>
      </c>
      <c r="AI239">
        <v>52</v>
      </c>
      <c r="AJ239">
        <v>15</v>
      </c>
    </row>
    <row r="240" spans="26:36" x14ac:dyDescent="0.25">
      <c r="Z240">
        <v>380</v>
      </c>
      <c r="AA240" t="s">
        <v>1928</v>
      </c>
      <c r="AB240" t="s">
        <v>154</v>
      </c>
      <c r="AC240" t="s">
        <v>23</v>
      </c>
      <c r="AD240">
        <v>64</v>
      </c>
      <c r="AF240" s="127">
        <v>19713</v>
      </c>
      <c r="AG240">
        <v>300</v>
      </c>
      <c r="AI240">
        <v>52</v>
      </c>
      <c r="AJ240">
        <v>39</v>
      </c>
    </row>
    <row r="241" spans="26:36" x14ac:dyDescent="0.25">
      <c r="Z241">
        <v>381</v>
      </c>
      <c r="AA241" t="s">
        <v>1031</v>
      </c>
      <c r="AB241" t="s">
        <v>108</v>
      </c>
      <c r="AC241" t="s">
        <v>24</v>
      </c>
      <c r="AD241">
        <v>62</v>
      </c>
      <c r="AF241" s="127">
        <v>20600</v>
      </c>
      <c r="AG241">
        <v>205</v>
      </c>
      <c r="AI241">
        <v>52</v>
      </c>
      <c r="AJ241">
        <v>44</v>
      </c>
    </row>
    <row r="242" spans="26:36" x14ac:dyDescent="0.25">
      <c r="Z242">
        <v>382</v>
      </c>
      <c r="AA242" t="s">
        <v>2322</v>
      </c>
      <c r="AB242" t="s">
        <v>38</v>
      </c>
      <c r="AC242" t="s">
        <v>24</v>
      </c>
      <c r="AD242">
        <v>36</v>
      </c>
      <c r="AF242" s="127">
        <v>30136</v>
      </c>
      <c r="AG242">
        <v>334</v>
      </c>
      <c r="AI242">
        <v>53</v>
      </c>
      <c r="AJ242">
        <v>2</v>
      </c>
    </row>
    <row r="243" spans="26:36" x14ac:dyDescent="0.25">
      <c r="Z243">
        <v>383</v>
      </c>
      <c r="AA243" t="s">
        <v>275</v>
      </c>
      <c r="AB243" t="s">
        <v>63</v>
      </c>
      <c r="AC243" t="s">
        <v>24</v>
      </c>
      <c r="AD243">
        <v>25</v>
      </c>
      <c r="AF243" s="127">
        <v>34074</v>
      </c>
      <c r="AG243">
        <v>387</v>
      </c>
      <c r="AI243">
        <v>53</v>
      </c>
      <c r="AJ243">
        <v>57</v>
      </c>
    </row>
    <row r="244" spans="26:36" x14ac:dyDescent="0.25">
      <c r="Z244">
        <v>384</v>
      </c>
      <c r="AA244" t="s">
        <v>251</v>
      </c>
      <c r="AB244" t="s">
        <v>63</v>
      </c>
      <c r="AC244" t="s">
        <v>23</v>
      </c>
      <c r="AD244">
        <v>44</v>
      </c>
      <c r="AF244" s="127">
        <v>27202</v>
      </c>
      <c r="AG244">
        <v>194</v>
      </c>
      <c r="AI244">
        <v>53</v>
      </c>
      <c r="AJ244">
        <v>57</v>
      </c>
    </row>
    <row r="245" spans="26:36" x14ac:dyDescent="0.25">
      <c r="Z245">
        <v>385</v>
      </c>
      <c r="AA245" t="s">
        <v>2304</v>
      </c>
      <c r="AB245" t="s">
        <v>63</v>
      </c>
      <c r="AC245" t="s">
        <v>24</v>
      </c>
      <c r="AD245">
        <v>31</v>
      </c>
      <c r="AF245" s="127">
        <v>31965</v>
      </c>
      <c r="AG245">
        <v>333</v>
      </c>
      <c r="AI245">
        <v>54</v>
      </c>
      <c r="AJ245">
        <v>4</v>
      </c>
    </row>
    <row r="246" spans="26:36" x14ac:dyDescent="0.25">
      <c r="Z246">
        <v>386</v>
      </c>
      <c r="AA246" t="s">
        <v>2457</v>
      </c>
      <c r="AB246" t="s">
        <v>505</v>
      </c>
      <c r="AC246" t="s">
        <v>24</v>
      </c>
      <c r="AD246">
        <v>33</v>
      </c>
      <c r="AF246" s="127">
        <v>30987</v>
      </c>
      <c r="AG246">
        <v>304</v>
      </c>
      <c r="AI246">
        <v>54</v>
      </c>
      <c r="AJ246">
        <v>32</v>
      </c>
    </row>
    <row r="247" spans="26:36" x14ac:dyDescent="0.25">
      <c r="Z247">
        <v>387</v>
      </c>
      <c r="AA247" t="s">
        <v>2458</v>
      </c>
      <c r="AB247" t="s">
        <v>38</v>
      </c>
      <c r="AC247" t="s">
        <v>24</v>
      </c>
      <c r="AD247">
        <v>68</v>
      </c>
      <c r="AF247" s="127">
        <v>18248</v>
      </c>
      <c r="AG247">
        <v>402</v>
      </c>
      <c r="AI247">
        <v>54</v>
      </c>
      <c r="AJ247">
        <v>32</v>
      </c>
    </row>
    <row r="248" spans="26:36" x14ac:dyDescent="0.25">
      <c r="Z248">
        <v>388</v>
      </c>
      <c r="AA248" t="s">
        <v>2459</v>
      </c>
      <c r="AB248" t="s">
        <v>63</v>
      </c>
      <c r="AC248" t="s">
        <v>24</v>
      </c>
      <c r="AD248">
        <v>43</v>
      </c>
      <c r="AF248" s="127">
        <v>27543</v>
      </c>
      <c r="AG248">
        <v>154</v>
      </c>
      <c r="AI248">
        <v>54</v>
      </c>
      <c r="AJ248">
        <v>38</v>
      </c>
    </row>
    <row r="249" spans="26:36" x14ac:dyDescent="0.25">
      <c r="Z249">
        <v>389</v>
      </c>
      <c r="AA249" t="s">
        <v>999</v>
      </c>
      <c r="AB249" t="s">
        <v>12</v>
      </c>
      <c r="AC249" t="s">
        <v>24</v>
      </c>
      <c r="AD249">
        <v>63</v>
      </c>
      <c r="AF249" s="127">
        <v>20228</v>
      </c>
      <c r="AG249">
        <v>222</v>
      </c>
      <c r="AI249">
        <v>54</v>
      </c>
      <c r="AJ249">
        <v>49</v>
      </c>
    </row>
    <row r="250" spans="26:36" x14ac:dyDescent="0.25">
      <c r="Z250">
        <v>390</v>
      </c>
      <c r="AA250" t="s">
        <v>2460</v>
      </c>
      <c r="AB250" t="s">
        <v>155</v>
      </c>
      <c r="AC250" t="s">
        <v>24</v>
      </c>
      <c r="AD250">
        <v>34</v>
      </c>
      <c r="AF250" s="127">
        <v>30772</v>
      </c>
      <c r="AG250">
        <v>285</v>
      </c>
      <c r="AI250">
        <v>55</v>
      </c>
      <c r="AJ250">
        <v>5</v>
      </c>
    </row>
    <row r="251" spans="26:36" x14ac:dyDescent="0.25">
      <c r="Z251">
        <v>391</v>
      </c>
      <c r="AA251" t="s">
        <v>280</v>
      </c>
      <c r="AB251" t="s">
        <v>155</v>
      </c>
      <c r="AC251" t="s">
        <v>23</v>
      </c>
      <c r="AD251">
        <v>44</v>
      </c>
      <c r="AF251" s="127">
        <v>26975</v>
      </c>
      <c r="AG251">
        <v>160</v>
      </c>
      <c r="AI251">
        <v>55</v>
      </c>
      <c r="AJ251">
        <v>18</v>
      </c>
    </row>
    <row r="252" spans="26:36" x14ac:dyDescent="0.25">
      <c r="Z252">
        <v>392</v>
      </c>
      <c r="AA252" t="s">
        <v>2461</v>
      </c>
      <c r="AB252" t="s">
        <v>12</v>
      </c>
      <c r="AC252" t="s">
        <v>24</v>
      </c>
      <c r="AD252">
        <v>53</v>
      </c>
      <c r="AF252" s="127">
        <v>23766</v>
      </c>
      <c r="AG252">
        <v>429</v>
      </c>
      <c r="AI252">
        <v>56</v>
      </c>
      <c r="AJ252">
        <v>3</v>
      </c>
    </row>
    <row r="253" spans="26:36" x14ac:dyDescent="0.25">
      <c r="Z253">
        <v>393</v>
      </c>
      <c r="AA253" t="s">
        <v>919</v>
      </c>
      <c r="AB253" t="s">
        <v>108</v>
      </c>
      <c r="AC253" t="s">
        <v>23</v>
      </c>
      <c r="AD253">
        <v>31</v>
      </c>
      <c r="AF253" s="127">
        <v>31857</v>
      </c>
      <c r="AG253">
        <v>190</v>
      </c>
      <c r="AI253">
        <v>56</v>
      </c>
      <c r="AJ253">
        <v>54</v>
      </c>
    </row>
    <row r="254" spans="26:36" x14ac:dyDescent="0.25">
      <c r="Z254">
        <v>394</v>
      </c>
      <c r="AA254" t="s">
        <v>1553</v>
      </c>
      <c r="AB254" t="s">
        <v>14</v>
      </c>
      <c r="AC254" t="s">
        <v>24</v>
      </c>
      <c r="AD254">
        <v>47</v>
      </c>
      <c r="AF254" s="127">
        <v>25829</v>
      </c>
      <c r="AG254">
        <v>367</v>
      </c>
      <c r="AI254">
        <v>56</v>
      </c>
      <c r="AJ254">
        <v>56</v>
      </c>
    </row>
    <row r="255" spans="26:36" x14ac:dyDescent="0.25">
      <c r="Z255">
        <v>395</v>
      </c>
      <c r="AA255" t="s">
        <v>2462</v>
      </c>
      <c r="AB255" t="s">
        <v>12</v>
      </c>
      <c r="AC255" t="s">
        <v>23</v>
      </c>
      <c r="AD255">
        <v>36</v>
      </c>
      <c r="AF255" s="127">
        <v>29917</v>
      </c>
      <c r="AG255">
        <v>217</v>
      </c>
      <c r="AI255">
        <v>57</v>
      </c>
      <c r="AJ255">
        <v>50</v>
      </c>
    </row>
    <row r="256" spans="26:36" x14ac:dyDescent="0.25">
      <c r="Z256">
        <v>396</v>
      </c>
      <c r="AA256" t="s">
        <v>2211</v>
      </c>
      <c r="AB256" t="s">
        <v>63</v>
      </c>
      <c r="AC256" t="s">
        <v>23</v>
      </c>
      <c r="AD256">
        <v>26</v>
      </c>
      <c r="AF256" s="127">
        <v>33776</v>
      </c>
      <c r="AG256">
        <v>410</v>
      </c>
      <c r="AI256">
        <v>57</v>
      </c>
      <c r="AJ256">
        <v>52</v>
      </c>
    </row>
    <row r="257" spans="26:36" x14ac:dyDescent="0.25">
      <c r="Z257">
        <v>397</v>
      </c>
      <c r="AA257" t="s">
        <v>1550</v>
      </c>
      <c r="AB257" t="s">
        <v>12</v>
      </c>
      <c r="AC257" t="s">
        <v>24</v>
      </c>
      <c r="AD257">
        <v>49</v>
      </c>
      <c r="AF257" s="127">
        <v>25100</v>
      </c>
      <c r="AG257">
        <v>201</v>
      </c>
      <c r="AI257">
        <v>58</v>
      </c>
      <c r="AJ257">
        <v>16</v>
      </c>
    </row>
    <row r="258" spans="26:36" x14ac:dyDescent="0.25">
      <c r="Z258">
        <v>398</v>
      </c>
      <c r="AA258" t="s">
        <v>935</v>
      </c>
      <c r="AB258" t="s">
        <v>14</v>
      </c>
      <c r="AC258" t="s">
        <v>24</v>
      </c>
      <c r="AD258">
        <v>37</v>
      </c>
      <c r="AF258" s="127">
        <v>29719</v>
      </c>
      <c r="AG258">
        <v>427</v>
      </c>
      <c r="AI258">
        <v>58</v>
      </c>
      <c r="AJ258">
        <v>44</v>
      </c>
    </row>
    <row r="259" spans="26:36" x14ac:dyDescent="0.25">
      <c r="Z259">
        <v>399</v>
      </c>
      <c r="AA259" t="s">
        <v>408</v>
      </c>
      <c r="AB259" t="s">
        <v>63</v>
      </c>
      <c r="AC259" t="s">
        <v>24</v>
      </c>
      <c r="AD259">
        <v>35</v>
      </c>
      <c r="AF259" s="127">
        <v>30421</v>
      </c>
      <c r="AG259">
        <v>315</v>
      </c>
      <c r="AI259">
        <v>58</v>
      </c>
      <c r="AJ259">
        <v>44</v>
      </c>
    </row>
    <row r="260" spans="26:36" x14ac:dyDescent="0.25">
      <c r="Z260">
        <v>400</v>
      </c>
      <c r="AA260" t="s">
        <v>2463</v>
      </c>
      <c r="AB260" t="s">
        <v>43</v>
      </c>
      <c r="AC260" t="s">
        <v>24</v>
      </c>
      <c r="AD260">
        <v>68</v>
      </c>
      <c r="AF260" s="127">
        <v>18325</v>
      </c>
      <c r="AG260">
        <v>254</v>
      </c>
      <c r="AI260">
        <v>59</v>
      </c>
      <c r="AJ260">
        <v>3</v>
      </c>
    </row>
    <row r="261" spans="26:36" x14ac:dyDescent="0.25">
      <c r="Z261">
        <v>401</v>
      </c>
      <c r="AA261" t="s">
        <v>327</v>
      </c>
      <c r="AB261" t="s">
        <v>43</v>
      </c>
      <c r="AC261" t="s">
        <v>24</v>
      </c>
      <c r="AD261">
        <v>42</v>
      </c>
      <c r="AF261" s="127">
        <v>27918</v>
      </c>
      <c r="AG261">
        <v>162</v>
      </c>
      <c r="AI261">
        <v>59</v>
      </c>
      <c r="AJ261">
        <v>32</v>
      </c>
    </row>
    <row r="262" spans="26:36" x14ac:dyDescent="0.25">
      <c r="Z262">
        <v>402</v>
      </c>
      <c r="AA262" t="s">
        <v>2244</v>
      </c>
      <c r="AB262" t="s">
        <v>38</v>
      </c>
      <c r="AC262" t="s">
        <v>23</v>
      </c>
      <c r="AD262">
        <v>54</v>
      </c>
      <c r="AF262" s="127">
        <v>23478</v>
      </c>
      <c r="AG262">
        <v>176</v>
      </c>
      <c r="AH262">
        <v>1</v>
      </c>
      <c r="AI262">
        <v>0</v>
      </c>
      <c r="AJ262">
        <v>11</v>
      </c>
    </row>
    <row r="263" spans="26:36" x14ac:dyDescent="0.25">
      <c r="Z263">
        <v>403</v>
      </c>
      <c r="AA263" t="s">
        <v>1357</v>
      </c>
      <c r="AB263" t="s">
        <v>12</v>
      </c>
      <c r="AC263" t="s">
        <v>24</v>
      </c>
      <c r="AD263">
        <v>33</v>
      </c>
      <c r="AF263" s="127">
        <v>31097</v>
      </c>
      <c r="AG263">
        <v>345</v>
      </c>
      <c r="AH263">
        <v>1</v>
      </c>
      <c r="AI263">
        <v>0</v>
      </c>
      <c r="AJ263">
        <v>12</v>
      </c>
    </row>
    <row r="264" spans="26:36" x14ac:dyDescent="0.25">
      <c r="Z264">
        <v>404</v>
      </c>
      <c r="AA264" t="s">
        <v>1589</v>
      </c>
      <c r="AB264" t="s">
        <v>12</v>
      </c>
      <c r="AC264" t="s">
        <v>23</v>
      </c>
      <c r="AD264">
        <v>28</v>
      </c>
      <c r="AF264" s="127">
        <v>32941</v>
      </c>
      <c r="AG264">
        <v>435</v>
      </c>
      <c r="AH264">
        <v>1</v>
      </c>
      <c r="AI264">
        <v>1</v>
      </c>
      <c r="AJ264">
        <v>5</v>
      </c>
    </row>
    <row r="265" spans="26:36" x14ac:dyDescent="0.25">
      <c r="Z265">
        <v>405</v>
      </c>
      <c r="AA265" t="s">
        <v>276</v>
      </c>
      <c r="AB265" t="s">
        <v>63</v>
      </c>
      <c r="AC265" t="s">
        <v>23</v>
      </c>
      <c r="AD265">
        <v>44</v>
      </c>
      <c r="AF265" s="127">
        <v>26899</v>
      </c>
      <c r="AG265">
        <v>436</v>
      </c>
      <c r="AH265">
        <v>1</v>
      </c>
      <c r="AI265">
        <v>1</v>
      </c>
      <c r="AJ265">
        <v>10</v>
      </c>
    </row>
    <row r="266" spans="26:36" x14ac:dyDescent="0.25">
      <c r="Z266">
        <v>406</v>
      </c>
      <c r="AA266" t="s">
        <v>2464</v>
      </c>
      <c r="AB266" t="s">
        <v>38</v>
      </c>
      <c r="AC266" t="s">
        <v>23</v>
      </c>
      <c r="AD266">
        <v>71</v>
      </c>
      <c r="AF266" s="127">
        <v>17012</v>
      </c>
      <c r="AG266">
        <v>406</v>
      </c>
      <c r="AH266">
        <v>1</v>
      </c>
      <c r="AI266">
        <v>1</v>
      </c>
      <c r="AJ266">
        <v>24</v>
      </c>
    </row>
    <row r="267" spans="26:36" x14ac:dyDescent="0.25">
      <c r="Z267">
        <v>407</v>
      </c>
      <c r="AA267" t="s">
        <v>2465</v>
      </c>
      <c r="AB267" t="s">
        <v>63</v>
      </c>
      <c r="AC267" t="s">
        <v>24</v>
      </c>
      <c r="AD267">
        <v>45</v>
      </c>
      <c r="AF267" s="127">
        <v>26591</v>
      </c>
      <c r="AG267">
        <v>159</v>
      </c>
      <c r="AH267">
        <v>1</v>
      </c>
      <c r="AI267">
        <v>3</v>
      </c>
      <c r="AJ267">
        <v>14</v>
      </c>
    </row>
    <row r="268" spans="26:36" x14ac:dyDescent="0.25">
      <c r="Z268">
        <v>408</v>
      </c>
      <c r="AA268" t="s">
        <v>2466</v>
      </c>
      <c r="AB268" t="s">
        <v>38</v>
      </c>
      <c r="AC268" t="s">
        <v>24</v>
      </c>
      <c r="AD268">
        <v>75</v>
      </c>
      <c r="AF268" s="127">
        <v>15750</v>
      </c>
      <c r="AG268">
        <v>237</v>
      </c>
      <c r="AH268">
        <v>1</v>
      </c>
      <c r="AI268">
        <v>3</v>
      </c>
      <c r="AJ268">
        <v>53</v>
      </c>
    </row>
    <row r="269" spans="26:36" x14ac:dyDescent="0.25">
      <c r="Z269">
        <v>409</v>
      </c>
      <c r="AA269" t="s">
        <v>1751</v>
      </c>
      <c r="AB269" t="s">
        <v>63</v>
      </c>
      <c r="AC269" t="s">
        <v>24</v>
      </c>
      <c r="AD269">
        <v>49</v>
      </c>
      <c r="AF269" s="127">
        <v>25385</v>
      </c>
      <c r="AG269">
        <v>175</v>
      </c>
      <c r="AH269">
        <v>1</v>
      </c>
      <c r="AI269">
        <v>3</v>
      </c>
      <c r="AJ269">
        <v>53</v>
      </c>
    </row>
    <row r="270" spans="26:36" x14ac:dyDescent="0.25">
      <c r="Z270">
        <v>410</v>
      </c>
      <c r="AA270" t="s">
        <v>2467</v>
      </c>
      <c r="AB270" t="s">
        <v>505</v>
      </c>
      <c r="AC270" t="s">
        <v>24</v>
      </c>
      <c r="AD270">
        <v>44</v>
      </c>
      <c r="AG270">
        <v>324</v>
      </c>
      <c r="AH270">
        <v>1</v>
      </c>
      <c r="AI270">
        <v>4</v>
      </c>
      <c r="AJ270">
        <v>32</v>
      </c>
    </row>
    <row r="271" spans="26:36" x14ac:dyDescent="0.25">
      <c r="Z271">
        <v>411</v>
      </c>
      <c r="AA271" t="s">
        <v>2468</v>
      </c>
      <c r="AB271" t="s">
        <v>505</v>
      </c>
      <c r="AC271" t="s">
        <v>24</v>
      </c>
      <c r="AD271">
        <v>55</v>
      </c>
      <c r="AG271">
        <v>182</v>
      </c>
      <c r="AH271">
        <v>1</v>
      </c>
      <c r="AI271">
        <v>4</v>
      </c>
      <c r="AJ271">
        <v>32</v>
      </c>
    </row>
    <row r="272" spans="26:36" x14ac:dyDescent="0.25">
      <c r="Z272">
        <v>412</v>
      </c>
      <c r="AA272" t="s">
        <v>302</v>
      </c>
      <c r="AB272" t="s">
        <v>108</v>
      </c>
      <c r="AC272" t="s">
        <v>24</v>
      </c>
      <c r="AD272">
        <v>52</v>
      </c>
      <c r="AG272">
        <v>408</v>
      </c>
      <c r="AH272">
        <v>1</v>
      </c>
      <c r="AI272">
        <v>6</v>
      </c>
      <c r="AJ272">
        <v>44</v>
      </c>
    </row>
    <row r="273" spans="26:30" x14ac:dyDescent="0.25">
      <c r="Z273">
        <v>413</v>
      </c>
      <c r="AA273" t="s">
        <v>1637</v>
      </c>
      <c r="AB273" t="s">
        <v>63</v>
      </c>
      <c r="AC273" t="s">
        <v>23</v>
      </c>
      <c r="AD273">
        <v>44</v>
      </c>
    </row>
    <row r="274" spans="26:30" x14ac:dyDescent="0.25">
      <c r="Z274">
        <v>414</v>
      </c>
      <c r="AA274" t="s">
        <v>1819</v>
      </c>
      <c r="AB274" t="s">
        <v>38</v>
      </c>
      <c r="AC274" t="s">
        <v>24</v>
      </c>
      <c r="AD274">
        <v>37</v>
      </c>
    </row>
    <row r="275" spans="26:30" x14ac:dyDescent="0.25">
      <c r="Z275">
        <v>415</v>
      </c>
      <c r="AA275" t="s">
        <v>336</v>
      </c>
      <c r="AB275" t="s">
        <v>108</v>
      </c>
      <c r="AC275" t="s">
        <v>24</v>
      </c>
      <c r="AD275">
        <v>35</v>
      </c>
    </row>
    <row r="276" spans="26:30" x14ac:dyDescent="0.25">
      <c r="Z276">
        <v>416</v>
      </c>
      <c r="AA276" t="s">
        <v>1420</v>
      </c>
      <c r="AB276" t="s">
        <v>155</v>
      </c>
      <c r="AC276" t="s">
        <v>24</v>
      </c>
      <c r="AD276">
        <v>24</v>
      </c>
    </row>
    <row r="277" spans="26:30" x14ac:dyDescent="0.25">
      <c r="Z277">
        <v>417</v>
      </c>
      <c r="AA277" t="s">
        <v>1406</v>
      </c>
      <c r="AB277" t="s">
        <v>155</v>
      </c>
      <c r="AC277" t="s">
        <v>24</v>
      </c>
      <c r="AD277">
        <v>25</v>
      </c>
    </row>
    <row r="278" spans="26:30" x14ac:dyDescent="0.25">
      <c r="Z278">
        <v>418</v>
      </c>
      <c r="AA278" t="s">
        <v>539</v>
      </c>
      <c r="AB278" t="s">
        <v>38</v>
      </c>
      <c r="AC278" t="s">
        <v>24</v>
      </c>
      <c r="AD278">
        <v>57</v>
      </c>
    </row>
    <row r="279" spans="26:30" x14ac:dyDescent="0.25">
      <c r="Z279">
        <v>419</v>
      </c>
      <c r="AA279" t="s">
        <v>1905</v>
      </c>
      <c r="AB279" t="s">
        <v>14</v>
      </c>
      <c r="AC279" t="s">
        <v>24</v>
      </c>
      <c r="AD279">
        <v>38</v>
      </c>
    </row>
    <row r="280" spans="26:30" x14ac:dyDescent="0.25">
      <c r="Z280">
        <v>420</v>
      </c>
      <c r="AA280" t="s">
        <v>2469</v>
      </c>
      <c r="AB280" t="s">
        <v>14</v>
      </c>
      <c r="AC280" t="s">
        <v>24</v>
      </c>
      <c r="AD280">
        <v>43</v>
      </c>
    </row>
    <row r="281" spans="26:30" x14ac:dyDescent="0.25">
      <c r="Z281">
        <v>421</v>
      </c>
      <c r="AA281" t="s">
        <v>2344</v>
      </c>
      <c r="AB281" t="s">
        <v>505</v>
      </c>
      <c r="AC281" t="s">
        <v>24</v>
      </c>
      <c r="AD281">
        <v>60</v>
      </c>
    </row>
    <row r="282" spans="26:30" x14ac:dyDescent="0.25">
      <c r="Z282">
        <v>422</v>
      </c>
      <c r="AA282" t="s">
        <v>611</v>
      </c>
      <c r="AB282" t="s">
        <v>14</v>
      </c>
      <c r="AC282" t="s">
        <v>24</v>
      </c>
      <c r="AD282">
        <v>58</v>
      </c>
    </row>
    <row r="283" spans="26:30" x14ac:dyDescent="0.25">
      <c r="Z283">
        <v>423</v>
      </c>
      <c r="AA283" t="s">
        <v>553</v>
      </c>
      <c r="AB283" t="s">
        <v>12</v>
      </c>
      <c r="AC283" t="s">
        <v>24</v>
      </c>
      <c r="AD283">
        <v>57</v>
      </c>
    </row>
    <row r="284" spans="26:30" x14ac:dyDescent="0.25">
      <c r="Z284">
        <v>424</v>
      </c>
      <c r="AA284" t="s">
        <v>2470</v>
      </c>
      <c r="AB284" t="s">
        <v>108</v>
      </c>
      <c r="AC284" t="s">
        <v>24</v>
      </c>
      <c r="AD284">
        <v>53</v>
      </c>
    </row>
    <row r="285" spans="26:30" x14ac:dyDescent="0.25">
      <c r="Z285">
        <v>425</v>
      </c>
      <c r="AA285" t="s">
        <v>2471</v>
      </c>
      <c r="AB285" t="s">
        <v>14</v>
      </c>
      <c r="AC285" t="s">
        <v>24</v>
      </c>
      <c r="AD285">
        <v>33</v>
      </c>
    </row>
    <row r="286" spans="26:30" x14ac:dyDescent="0.25">
      <c r="Z286">
        <v>426</v>
      </c>
      <c r="AA286" t="s">
        <v>1002</v>
      </c>
      <c r="AB286" t="s">
        <v>14</v>
      </c>
      <c r="AC286" t="s">
        <v>24</v>
      </c>
      <c r="AD286">
        <v>60</v>
      </c>
    </row>
    <row r="287" spans="26:30" x14ac:dyDescent="0.25">
      <c r="Z287">
        <v>427</v>
      </c>
      <c r="AA287" t="s">
        <v>1623</v>
      </c>
      <c r="AB287" t="s">
        <v>155</v>
      </c>
      <c r="AC287" t="s">
        <v>23</v>
      </c>
      <c r="AD287">
        <v>67</v>
      </c>
    </row>
    <row r="288" spans="26:30" x14ac:dyDescent="0.25">
      <c r="Z288">
        <v>428</v>
      </c>
      <c r="AA288" t="s">
        <v>2210</v>
      </c>
      <c r="AB288" t="s">
        <v>505</v>
      </c>
      <c r="AC288" t="s">
        <v>24</v>
      </c>
      <c r="AD288">
        <v>54</v>
      </c>
    </row>
    <row r="289" spans="26:30" x14ac:dyDescent="0.25">
      <c r="Z289">
        <v>429</v>
      </c>
      <c r="AA289" t="s">
        <v>1936</v>
      </c>
      <c r="AB289" t="s">
        <v>12</v>
      </c>
      <c r="AC289" t="s">
        <v>24</v>
      </c>
      <c r="AD289">
        <v>53</v>
      </c>
    </row>
    <row r="290" spans="26:30" x14ac:dyDescent="0.25">
      <c r="Z290">
        <v>430</v>
      </c>
      <c r="AA290" t="s">
        <v>857</v>
      </c>
      <c r="AB290" t="s">
        <v>43</v>
      </c>
      <c r="AC290" t="s">
        <v>24</v>
      </c>
      <c r="AD290">
        <v>63</v>
      </c>
    </row>
    <row r="291" spans="26:30" x14ac:dyDescent="0.25">
      <c r="Z291">
        <v>431</v>
      </c>
      <c r="AA291" t="s">
        <v>2320</v>
      </c>
      <c r="AB291" t="s">
        <v>63</v>
      </c>
      <c r="AC291" t="s">
        <v>24</v>
      </c>
      <c r="AD291">
        <v>33</v>
      </c>
    </row>
    <row r="292" spans="26:30" x14ac:dyDescent="0.25">
      <c r="Z292">
        <v>432</v>
      </c>
      <c r="AA292" t="s">
        <v>1861</v>
      </c>
      <c r="AB292" t="s">
        <v>12</v>
      </c>
      <c r="AC292" t="s">
        <v>23</v>
      </c>
      <c r="AD292">
        <v>30</v>
      </c>
    </row>
    <row r="293" spans="26:30" x14ac:dyDescent="0.25">
      <c r="Z293">
        <v>433</v>
      </c>
      <c r="AA293" t="s">
        <v>2472</v>
      </c>
      <c r="AB293" t="s">
        <v>505</v>
      </c>
      <c r="AC293" t="s">
        <v>24</v>
      </c>
      <c r="AD293">
        <v>28</v>
      </c>
    </row>
    <row r="294" spans="26:30" x14ac:dyDescent="0.25">
      <c r="Z294">
        <v>434</v>
      </c>
      <c r="AA294" t="s">
        <v>328</v>
      </c>
      <c r="AB294" t="s">
        <v>128</v>
      </c>
      <c r="AC294" t="s">
        <v>24</v>
      </c>
      <c r="AD294">
        <v>56</v>
      </c>
    </row>
    <row r="295" spans="26:30" x14ac:dyDescent="0.25">
      <c r="Z295">
        <v>435</v>
      </c>
      <c r="AA295" t="s">
        <v>189</v>
      </c>
      <c r="AB295" t="s">
        <v>43</v>
      </c>
      <c r="AC295" t="s">
        <v>23</v>
      </c>
      <c r="AD295">
        <v>53</v>
      </c>
    </row>
    <row r="296" spans="26:30" x14ac:dyDescent="0.25">
      <c r="Z296">
        <v>436</v>
      </c>
      <c r="AA296" t="s">
        <v>2406</v>
      </c>
      <c r="AB296" t="s">
        <v>43</v>
      </c>
      <c r="AC296" t="s">
        <v>24</v>
      </c>
      <c r="AD296">
        <v>55</v>
      </c>
    </row>
    <row r="297" spans="26:30" x14ac:dyDescent="0.25">
      <c r="Z297">
        <v>437</v>
      </c>
      <c r="AA297" t="s">
        <v>1360</v>
      </c>
      <c r="AB297" t="s">
        <v>38</v>
      </c>
      <c r="AC297" t="s">
        <v>24</v>
      </c>
      <c r="AD297">
        <v>62</v>
      </c>
    </row>
    <row r="298" spans="26:30" x14ac:dyDescent="0.25">
      <c r="Z298">
        <v>438</v>
      </c>
      <c r="AA298" t="s">
        <v>1903</v>
      </c>
      <c r="AB298" t="s">
        <v>154</v>
      </c>
      <c r="AC298" t="s">
        <v>24</v>
      </c>
      <c r="AD298">
        <v>38</v>
      </c>
    </row>
    <row r="299" spans="26:30" x14ac:dyDescent="0.25">
      <c r="Z299">
        <v>439</v>
      </c>
      <c r="AA299" t="s">
        <v>1749</v>
      </c>
      <c r="AB299" t="s">
        <v>108</v>
      </c>
      <c r="AC299" t="s">
        <v>23</v>
      </c>
      <c r="AD299">
        <v>55</v>
      </c>
    </row>
    <row r="300" spans="26:30" x14ac:dyDescent="0.25">
      <c r="Z300">
        <v>440</v>
      </c>
      <c r="AA300" t="s">
        <v>370</v>
      </c>
      <c r="AB300" t="s">
        <v>63</v>
      </c>
      <c r="AC300" t="s">
        <v>24</v>
      </c>
      <c r="AD300">
        <v>36</v>
      </c>
    </row>
    <row r="301" spans="26:30" x14ac:dyDescent="0.25">
      <c r="Z301">
        <v>441</v>
      </c>
      <c r="AA301" t="s">
        <v>1825</v>
      </c>
      <c r="AB301" t="s">
        <v>505</v>
      </c>
      <c r="AC301" t="s">
        <v>24</v>
      </c>
      <c r="AD301">
        <v>36</v>
      </c>
    </row>
    <row r="302" spans="26:30" x14ac:dyDescent="0.25">
      <c r="Z302">
        <v>442</v>
      </c>
      <c r="AA302" t="s">
        <v>2195</v>
      </c>
      <c r="AB302" t="s">
        <v>12</v>
      </c>
      <c r="AC302" t="s">
        <v>24</v>
      </c>
      <c r="AD302">
        <v>27</v>
      </c>
    </row>
    <row r="303" spans="26:30" x14ac:dyDescent="0.25">
      <c r="Z303">
        <v>443</v>
      </c>
      <c r="AA303" t="s">
        <v>2473</v>
      </c>
      <c r="AB303" t="s">
        <v>12</v>
      </c>
      <c r="AC303" t="s">
        <v>23</v>
      </c>
      <c r="AD303">
        <v>41</v>
      </c>
    </row>
    <row r="304" spans="26:30" x14ac:dyDescent="0.25">
      <c r="Z304">
        <v>444</v>
      </c>
      <c r="AA304" t="s">
        <v>2474</v>
      </c>
      <c r="AB304" t="s">
        <v>505</v>
      </c>
      <c r="AC304" t="s">
        <v>24</v>
      </c>
      <c r="AD304">
        <v>45</v>
      </c>
    </row>
    <row r="305" spans="26:30" x14ac:dyDescent="0.25">
      <c r="Z305">
        <v>445</v>
      </c>
      <c r="AA305" t="s">
        <v>2475</v>
      </c>
      <c r="AB305" t="s">
        <v>14</v>
      </c>
      <c r="AC305" t="s">
        <v>24</v>
      </c>
      <c r="AD305">
        <v>27</v>
      </c>
    </row>
    <row r="306" spans="26:30" x14ac:dyDescent="0.25">
      <c r="Z306">
        <v>446</v>
      </c>
      <c r="AA306" t="s">
        <v>2476</v>
      </c>
      <c r="AB306" t="s">
        <v>505</v>
      </c>
      <c r="AC306" t="s">
        <v>23</v>
      </c>
      <c r="AD306">
        <v>25</v>
      </c>
    </row>
    <row r="307" spans="26:30" x14ac:dyDescent="0.25">
      <c r="Z307">
        <v>447</v>
      </c>
      <c r="AA307" t="s">
        <v>1122</v>
      </c>
      <c r="AB307" t="s">
        <v>43</v>
      </c>
      <c r="AC307" t="s">
        <v>24</v>
      </c>
      <c r="AD307">
        <v>46</v>
      </c>
    </row>
    <row r="308" spans="26:30" x14ac:dyDescent="0.25">
      <c r="Z308">
        <v>448</v>
      </c>
      <c r="AA308" t="s">
        <v>2477</v>
      </c>
      <c r="AB308" t="s">
        <v>14</v>
      </c>
      <c r="AC308" t="s">
        <v>24</v>
      </c>
      <c r="AD308">
        <v>57</v>
      </c>
    </row>
    <row r="309" spans="26:30" x14ac:dyDescent="0.25">
      <c r="Z309">
        <v>449</v>
      </c>
      <c r="AA309" t="s">
        <v>1017</v>
      </c>
      <c r="AB309" t="s">
        <v>43</v>
      </c>
      <c r="AC309" t="s">
        <v>24</v>
      </c>
      <c r="AD309">
        <v>66</v>
      </c>
    </row>
    <row r="310" spans="26:30" x14ac:dyDescent="0.25">
      <c r="Z310">
        <v>450</v>
      </c>
      <c r="AA310" t="s">
        <v>563</v>
      </c>
      <c r="AB310" t="s">
        <v>505</v>
      </c>
      <c r="AC310" t="s">
        <v>24</v>
      </c>
      <c r="AD310">
        <v>58</v>
      </c>
    </row>
    <row r="311" spans="26:30" x14ac:dyDescent="0.25">
      <c r="Z311">
        <v>451</v>
      </c>
      <c r="AA311" t="s">
        <v>255</v>
      </c>
      <c r="AB311" t="s">
        <v>12</v>
      </c>
      <c r="AC311" t="s">
        <v>24</v>
      </c>
      <c r="AD311">
        <v>57</v>
      </c>
    </row>
    <row r="312" spans="26:30" x14ac:dyDescent="0.25">
      <c r="Z312">
        <v>452</v>
      </c>
      <c r="AA312" t="s">
        <v>1743</v>
      </c>
      <c r="AB312" t="s">
        <v>154</v>
      </c>
      <c r="AC312" t="s">
        <v>23</v>
      </c>
      <c r="AD312">
        <v>45</v>
      </c>
    </row>
    <row r="313" spans="26:30" x14ac:dyDescent="0.25">
      <c r="Z313">
        <v>453</v>
      </c>
      <c r="AA313" t="s">
        <v>2478</v>
      </c>
      <c r="AB313" t="s">
        <v>505</v>
      </c>
      <c r="AC313" t="s">
        <v>23</v>
      </c>
      <c r="AD313">
        <v>32</v>
      </c>
    </row>
    <row r="314" spans="26:30" x14ac:dyDescent="0.25">
      <c r="Z314">
        <v>454</v>
      </c>
      <c r="AA314" t="s">
        <v>1941</v>
      </c>
      <c r="AB314" t="s">
        <v>12</v>
      </c>
      <c r="AC314" t="s">
        <v>24</v>
      </c>
      <c r="AD314">
        <v>34</v>
      </c>
    </row>
    <row r="315" spans="26:30" x14ac:dyDescent="0.25">
      <c r="Z315">
        <v>455</v>
      </c>
      <c r="AA315" t="s">
        <v>1152</v>
      </c>
      <c r="AB315" t="s">
        <v>43</v>
      </c>
      <c r="AC315" t="s">
        <v>24</v>
      </c>
      <c r="AD315">
        <v>45</v>
      </c>
    </row>
    <row r="316" spans="26:30" x14ac:dyDescent="0.25">
      <c r="Z316">
        <v>456</v>
      </c>
      <c r="AA316" t="s">
        <v>2479</v>
      </c>
      <c r="AB316" t="s">
        <v>14</v>
      </c>
      <c r="AC316" t="s">
        <v>24</v>
      </c>
      <c r="AD316">
        <v>40</v>
      </c>
    </row>
  </sheetData>
  <sheetProtection password="CC06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F4"/>
  <sheetViews>
    <sheetView workbookViewId="0"/>
  </sheetViews>
  <sheetFormatPr defaultRowHeight="15.75" x14ac:dyDescent="0.25"/>
  <cols>
    <col min="1" max="1" width="20.625" customWidth="1"/>
    <col min="2" max="4" width="3.625" customWidth="1"/>
    <col min="5" max="5" width="20.625" customWidth="1"/>
    <col min="6" max="7" width="3.625" customWidth="1"/>
    <col min="8" max="8" width="20.625" customWidth="1"/>
    <col min="9" max="10" width="3.625" customWidth="1"/>
    <col min="11" max="11" width="20.625" customWidth="1"/>
    <col min="12" max="13" width="3.625" customWidth="1"/>
    <col min="14" max="14" width="20.625" customWidth="1"/>
    <col min="15" max="16" width="3.625" customWidth="1"/>
    <col min="17" max="17" width="20.625" customWidth="1"/>
    <col min="18" max="19" width="3.625" customWidth="1"/>
    <col min="20" max="20" width="20.625" customWidth="1"/>
    <col min="21" max="22" width="3.625" customWidth="1"/>
    <col min="24" max="31" width="9" customWidth="1"/>
    <col min="32" max="32" width="9" style="127" customWidth="1"/>
    <col min="33" max="36" width="9" customWidth="1"/>
  </cols>
  <sheetData>
    <row r="1" spans="1:32" x14ac:dyDescent="0.25">
      <c r="A1" s="125" t="s">
        <v>1320</v>
      </c>
      <c r="B1" s="125"/>
      <c r="C1" s="125"/>
      <c r="D1" s="125"/>
    </row>
    <row r="2" spans="1:32" s="2" customFormat="1" x14ac:dyDescent="0.25">
      <c r="A2" s="125" t="s">
        <v>2187</v>
      </c>
      <c r="B2" s="125"/>
      <c r="C2" s="125"/>
      <c r="D2" s="125"/>
      <c r="AF2" s="173"/>
    </row>
    <row r="3" spans="1:32" s="2" customFormat="1" x14ac:dyDescent="0.25">
      <c r="A3" s="125" t="s">
        <v>153</v>
      </c>
      <c r="B3" s="125" t="s">
        <v>0</v>
      </c>
      <c r="C3" s="125" t="s">
        <v>1205</v>
      </c>
      <c r="D3" s="125" t="s">
        <v>1206</v>
      </c>
      <c r="E3" s="125" t="s">
        <v>148</v>
      </c>
      <c r="F3" s="125" t="s">
        <v>587</v>
      </c>
      <c r="G3" s="125" t="s">
        <v>0</v>
      </c>
      <c r="H3" s="125" t="s">
        <v>1207</v>
      </c>
      <c r="I3" s="125" t="s">
        <v>587</v>
      </c>
      <c r="J3" s="125" t="s">
        <v>0</v>
      </c>
      <c r="K3" s="125" t="s">
        <v>150</v>
      </c>
      <c r="L3" s="125" t="s">
        <v>587</v>
      </c>
      <c r="M3" s="125" t="s">
        <v>0</v>
      </c>
      <c r="N3" s="125" t="s">
        <v>151</v>
      </c>
      <c r="O3" s="125" t="s">
        <v>587</v>
      </c>
      <c r="P3" s="125" t="s">
        <v>0</v>
      </c>
      <c r="Q3" s="125" t="s">
        <v>1208</v>
      </c>
      <c r="R3" s="125" t="s">
        <v>587</v>
      </c>
      <c r="S3" s="125" t="s">
        <v>0</v>
      </c>
      <c r="T3" s="125" t="s">
        <v>1209</v>
      </c>
      <c r="U3" s="125" t="s">
        <v>587</v>
      </c>
      <c r="V3" s="125" t="s">
        <v>0</v>
      </c>
      <c r="AF3" s="173"/>
    </row>
    <row r="4" spans="1:32" x14ac:dyDescent="0.25">
      <c r="Y4" s="48"/>
    </row>
  </sheetData>
  <sheetProtection password="CC06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F4"/>
  <sheetViews>
    <sheetView topLeftCell="A286" workbookViewId="0">
      <selection activeCell="AA7" sqref="AA7"/>
    </sheetView>
  </sheetViews>
  <sheetFormatPr defaultRowHeight="15.75" x14ac:dyDescent="0.25"/>
  <cols>
    <col min="1" max="1" width="20.625" customWidth="1"/>
    <col min="2" max="4" width="3.625" customWidth="1"/>
    <col min="5" max="5" width="20.625" customWidth="1"/>
    <col min="6" max="7" width="3.625" customWidth="1"/>
    <col min="8" max="8" width="20.625" customWidth="1"/>
    <col min="9" max="10" width="3.625" customWidth="1"/>
    <col min="11" max="11" width="20.625" customWidth="1"/>
    <col min="12" max="13" width="3.625" customWidth="1"/>
    <col min="14" max="14" width="20.625" customWidth="1"/>
    <col min="15" max="16" width="3.625" customWidth="1"/>
    <col min="17" max="17" width="20.625" customWidth="1"/>
    <col min="18" max="19" width="3.625" customWidth="1"/>
    <col min="20" max="20" width="20.625" customWidth="1"/>
    <col min="21" max="22" width="3.625" customWidth="1"/>
    <col min="25" max="31" width="9" customWidth="1"/>
    <col min="32" max="32" width="13.5" style="176" customWidth="1"/>
    <col min="33" max="35" width="9" customWidth="1"/>
  </cols>
  <sheetData>
    <row r="1" spans="1:32" x14ac:dyDescent="0.25">
      <c r="A1" s="125" t="s">
        <v>1321</v>
      </c>
      <c r="B1" s="125"/>
      <c r="C1" s="125"/>
      <c r="D1" s="125"/>
    </row>
    <row r="2" spans="1:32" s="2" customFormat="1" x14ac:dyDescent="0.25">
      <c r="A2" s="125" t="s">
        <v>2188</v>
      </c>
      <c r="B2" s="125"/>
      <c r="C2" s="125"/>
      <c r="D2" s="125"/>
      <c r="AF2" s="177"/>
    </row>
    <row r="3" spans="1:32" s="2" customFormat="1" x14ac:dyDescent="0.25">
      <c r="A3" s="125" t="s">
        <v>153</v>
      </c>
      <c r="B3" s="125" t="s">
        <v>0</v>
      </c>
      <c r="C3" s="125" t="s">
        <v>1205</v>
      </c>
      <c r="D3" s="125" t="s">
        <v>1206</v>
      </c>
      <c r="E3" s="125" t="s">
        <v>148</v>
      </c>
      <c r="F3" s="125" t="s">
        <v>587</v>
      </c>
      <c r="G3" s="125" t="s">
        <v>0</v>
      </c>
      <c r="H3" s="125" t="s">
        <v>1207</v>
      </c>
      <c r="I3" s="125" t="s">
        <v>587</v>
      </c>
      <c r="J3" s="125" t="s">
        <v>0</v>
      </c>
      <c r="K3" s="125" t="s">
        <v>150</v>
      </c>
      <c r="L3" s="125" t="s">
        <v>587</v>
      </c>
      <c r="M3" s="125" t="s">
        <v>0</v>
      </c>
      <c r="N3" s="125" t="s">
        <v>151</v>
      </c>
      <c r="O3" s="125" t="s">
        <v>587</v>
      </c>
      <c r="P3" s="125" t="s">
        <v>0</v>
      </c>
      <c r="Q3" s="125" t="s">
        <v>1208</v>
      </c>
      <c r="R3" s="125" t="s">
        <v>587</v>
      </c>
      <c r="S3" s="125" t="s">
        <v>0</v>
      </c>
      <c r="T3" s="125" t="s">
        <v>1209</v>
      </c>
      <c r="U3" s="125" t="s">
        <v>587</v>
      </c>
      <c r="V3" s="125" t="s">
        <v>0</v>
      </c>
      <c r="AF3" s="177"/>
    </row>
    <row r="4" spans="1:32" x14ac:dyDescent="0.25">
      <c r="Y4" s="48"/>
      <c r="AE4" s="2"/>
    </row>
  </sheetData>
  <sheetProtection password="CC06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F5"/>
  <sheetViews>
    <sheetView workbookViewId="0">
      <selection sqref="A1:XFD3"/>
    </sheetView>
  </sheetViews>
  <sheetFormatPr defaultRowHeight="15.75" x14ac:dyDescent="0.25"/>
  <cols>
    <col min="1" max="1" width="20.625" customWidth="1"/>
    <col min="2" max="4" width="3.625" customWidth="1"/>
    <col min="5" max="5" width="20.625" customWidth="1"/>
    <col min="6" max="7" width="3.625" customWidth="1"/>
    <col min="8" max="8" width="20.625" customWidth="1"/>
    <col min="9" max="10" width="3.625" customWidth="1"/>
    <col min="11" max="11" width="20.625" customWidth="1"/>
    <col min="12" max="13" width="3.625" customWidth="1"/>
    <col min="14" max="14" width="20.625" customWidth="1"/>
    <col min="15" max="16" width="3.625" customWidth="1"/>
    <col min="17" max="17" width="20.625" customWidth="1"/>
    <col min="18" max="19" width="3.625" customWidth="1"/>
    <col min="20" max="20" width="20.625" customWidth="1"/>
    <col min="21" max="22" width="3.625" customWidth="1"/>
    <col min="25" max="31" width="9" customWidth="1"/>
    <col min="32" max="32" width="9" style="127" customWidth="1"/>
    <col min="33" max="35" width="9" customWidth="1"/>
  </cols>
  <sheetData>
    <row r="1" spans="1:32" x14ac:dyDescent="0.25">
      <c r="A1" s="125" t="s">
        <v>1316</v>
      </c>
      <c r="B1" s="125"/>
      <c r="C1" s="125"/>
      <c r="D1" s="125"/>
    </row>
    <row r="2" spans="1:32" s="2" customFormat="1" x14ac:dyDescent="0.25">
      <c r="A2" s="125" t="s">
        <v>2189</v>
      </c>
      <c r="B2" s="125"/>
      <c r="C2" s="125"/>
      <c r="D2" s="125"/>
      <c r="AF2" s="173"/>
    </row>
    <row r="3" spans="1:32" s="2" customFormat="1" x14ac:dyDescent="0.25">
      <c r="A3" s="125" t="s">
        <v>153</v>
      </c>
      <c r="B3" s="125" t="s">
        <v>0</v>
      </c>
      <c r="C3" s="125" t="s">
        <v>1205</v>
      </c>
      <c r="D3" s="125" t="s">
        <v>1206</v>
      </c>
      <c r="E3" s="125" t="s">
        <v>148</v>
      </c>
      <c r="F3" s="125" t="s">
        <v>587</v>
      </c>
      <c r="G3" s="125" t="s">
        <v>0</v>
      </c>
      <c r="H3" s="125" t="s">
        <v>1207</v>
      </c>
      <c r="I3" s="125" t="s">
        <v>587</v>
      </c>
      <c r="J3" s="125" t="s">
        <v>0</v>
      </c>
      <c r="K3" s="125" t="s">
        <v>150</v>
      </c>
      <c r="L3" s="125" t="s">
        <v>587</v>
      </c>
      <c r="M3" s="125" t="s">
        <v>0</v>
      </c>
      <c r="N3" s="125" t="s">
        <v>151</v>
      </c>
      <c r="O3" s="125" t="s">
        <v>587</v>
      </c>
      <c r="P3" s="125" t="s">
        <v>0</v>
      </c>
      <c r="Q3" s="125" t="s">
        <v>1208</v>
      </c>
      <c r="R3" s="125" t="s">
        <v>587</v>
      </c>
      <c r="S3" s="125" t="s">
        <v>0</v>
      </c>
      <c r="T3" s="125" t="s">
        <v>1209</v>
      </c>
      <c r="U3" s="125" t="s">
        <v>587</v>
      </c>
      <c r="V3" s="125" t="s">
        <v>0</v>
      </c>
      <c r="AF3" s="173"/>
    </row>
    <row r="4" spans="1:32" x14ac:dyDescent="0.25">
      <c r="Y4" s="48"/>
      <c r="AE4" s="2"/>
    </row>
    <row r="5" spans="1:32" x14ac:dyDescent="0.25">
      <c r="B5" s="48"/>
      <c r="C5" s="48"/>
      <c r="D5" s="48"/>
    </row>
  </sheetData>
  <sheetProtection password="CC06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AF3"/>
  <sheetViews>
    <sheetView workbookViewId="0">
      <selection activeCell="G2" sqref="G2"/>
    </sheetView>
  </sheetViews>
  <sheetFormatPr defaultRowHeight="15.75" x14ac:dyDescent="0.25"/>
  <sheetData>
    <row r="1" spans="1:32" x14ac:dyDescent="0.25">
      <c r="A1" s="125" t="s">
        <v>2178</v>
      </c>
      <c r="B1" s="125"/>
      <c r="C1" s="125"/>
      <c r="D1" s="125"/>
      <c r="AF1" s="127"/>
    </row>
    <row r="2" spans="1:32" s="2" customFormat="1" x14ac:dyDescent="0.25">
      <c r="A2" s="125" t="s">
        <v>2190</v>
      </c>
      <c r="B2" s="125"/>
      <c r="C2" s="125"/>
      <c r="D2" s="125"/>
      <c r="AF2" s="173"/>
    </row>
    <row r="3" spans="1:32" s="2" customFormat="1" x14ac:dyDescent="0.25">
      <c r="A3" s="125" t="s">
        <v>153</v>
      </c>
      <c r="B3" s="125" t="s">
        <v>0</v>
      </c>
      <c r="C3" s="125" t="s">
        <v>1205</v>
      </c>
      <c r="D3" s="125" t="s">
        <v>1206</v>
      </c>
      <c r="E3" s="125" t="s">
        <v>148</v>
      </c>
      <c r="F3" s="125" t="s">
        <v>587</v>
      </c>
      <c r="G3" s="125" t="s">
        <v>0</v>
      </c>
      <c r="H3" s="125" t="s">
        <v>1207</v>
      </c>
      <c r="I3" s="125" t="s">
        <v>587</v>
      </c>
      <c r="J3" s="125" t="s">
        <v>0</v>
      </c>
      <c r="K3" s="125" t="s">
        <v>150</v>
      </c>
      <c r="L3" s="125" t="s">
        <v>587</v>
      </c>
      <c r="M3" s="125" t="s">
        <v>0</v>
      </c>
      <c r="N3" s="125" t="s">
        <v>151</v>
      </c>
      <c r="O3" s="125" t="s">
        <v>587</v>
      </c>
      <c r="P3" s="125" t="s">
        <v>0</v>
      </c>
      <c r="Q3" s="125" t="s">
        <v>1208</v>
      </c>
      <c r="R3" s="125" t="s">
        <v>587</v>
      </c>
      <c r="S3" s="125" t="s">
        <v>0</v>
      </c>
      <c r="T3" s="125" t="s">
        <v>1209</v>
      </c>
      <c r="U3" s="125" t="s">
        <v>587</v>
      </c>
      <c r="V3" s="125" t="s">
        <v>0</v>
      </c>
      <c r="AF3" s="173"/>
    </row>
  </sheetData>
  <sheetProtection password="CC06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BZ192"/>
  <sheetViews>
    <sheetView workbookViewId="0">
      <selection activeCell="C1" sqref="C1"/>
    </sheetView>
  </sheetViews>
  <sheetFormatPr defaultRowHeight="15.75" x14ac:dyDescent="0.25"/>
  <cols>
    <col min="1" max="1" width="3.75" customWidth="1"/>
    <col min="2" max="3" width="4.875" customWidth="1"/>
    <col min="4" max="4" width="22.875" customWidth="1"/>
    <col min="5" max="5" width="5.5" customWidth="1"/>
    <col min="6" max="6" width="5.625" customWidth="1"/>
    <col min="7" max="7" width="3.875" customWidth="1"/>
    <col min="8" max="8" width="5.625" customWidth="1"/>
    <col min="9" max="9" width="4.5" customWidth="1"/>
    <col min="10" max="10" width="5.5" customWidth="1"/>
    <col min="11" max="11" width="3.625" customWidth="1"/>
    <col min="12" max="12" width="5.5" customWidth="1"/>
    <col min="13" max="13" width="4.375" customWidth="1"/>
    <col min="14" max="14" width="5.625" customWidth="1"/>
    <col min="15" max="15" width="3.625" customWidth="1"/>
    <col min="16" max="16" width="5.75" customWidth="1"/>
    <col min="17" max="17" width="3.25" customWidth="1"/>
    <col min="18" max="18" width="5.375" customWidth="1"/>
    <col min="19" max="19" width="4.25" customWidth="1"/>
    <col min="20" max="20" width="5.625" customWidth="1"/>
    <col min="21" max="21" width="5.5" customWidth="1"/>
    <col min="22" max="22" width="5.875" customWidth="1"/>
    <col min="24" max="24" width="22.375" customWidth="1"/>
    <col min="25" max="25" width="4.75" customWidth="1"/>
    <col min="26" max="26" width="4.625" customWidth="1"/>
    <col min="27" max="27" width="5" customWidth="1"/>
    <col min="28" max="28" width="14.625" customWidth="1"/>
    <col min="29" max="29" width="3.75" customWidth="1"/>
    <col min="30" max="30" width="4.25" customWidth="1"/>
    <col min="31" max="31" width="18.5" customWidth="1"/>
    <col min="32" max="33" width="4.125" customWidth="1"/>
    <col min="34" max="34" width="15.625" customWidth="1"/>
    <col min="35" max="35" width="3.375" customWidth="1"/>
    <col min="36" max="36" width="3.75" customWidth="1"/>
    <col min="37" max="37" width="17.75" customWidth="1"/>
    <col min="38" max="38" width="4.375" customWidth="1"/>
    <col min="39" max="39" width="4.625" customWidth="1"/>
    <col min="40" max="40" width="13.875" customWidth="1"/>
    <col min="41" max="41" width="3.125" customWidth="1"/>
    <col min="42" max="42" width="4.125" customWidth="1"/>
    <col min="43" max="43" width="14.5" customWidth="1"/>
    <col min="44" max="44" width="4" customWidth="1"/>
    <col min="45" max="45" width="3.625" customWidth="1"/>
    <col min="48" max="48" width="23.875" customWidth="1"/>
    <col min="50" max="50" width="18.125" customWidth="1"/>
    <col min="51" max="51" width="11.125" customWidth="1"/>
    <col min="68" max="68" width="12.625" customWidth="1"/>
    <col min="69" max="70" width="11.625" customWidth="1"/>
    <col min="71" max="71" width="11.375" customWidth="1"/>
    <col min="72" max="72" width="12.5" customWidth="1"/>
    <col min="73" max="73" width="13.5" customWidth="1"/>
    <col min="74" max="74" width="11.625" customWidth="1"/>
    <col min="75" max="75" width="14" customWidth="1"/>
    <col min="77" max="77" width="6.5" customWidth="1"/>
    <col min="78" max="78" width="7.75" customWidth="1"/>
  </cols>
  <sheetData>
    <row r="1" spans="1:78" x14ac:dyDescent="0.25">
      <c r="A1" s="153"/>
      <c r="B1" s="153"/>
      <c r="C1" s="114" t="s">
        <v>1282</v>
      </c>
      <c r="D1" s="114"/>
      <c r="E1" s="154"/>
      <c r="F1" s="154"/>
      <c r="G1" s="154"/>
      <c r="H1" s="154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14" t="s">
        <v>1283</v>
      </c>
      <c r="Y1" s="114"/>
      <c r="Z1" s="114"/>
      <c r="AU1" s="153" t="s">
        <v>1267</v>
      </c>
      <c r="AV1" s="47" t="s">
        <v>1268</v>
      </c>
      <c r="AW1" s="153" t="s">
        <v>1284</v>
      </c>
      <c r="AX1" s="153" t="s">
        <v>1285</v>
      </c>
      <c r="AY1" s="164" t="s">
        <v>1286</v>
      </c>
      <c r="AZ1" s="165" t="s">
        <v>1287</v>
      </c>
      <c r="BA1" s="165" t="s">
        <v>1288</v>
      </c>
      <c r="BB1" s="165" t="s">
        <v>1289</v>
      </c>
      <c r="BC1" s="165" t="s">
        <v>1290</v>
      </c>
      <c r="BD1" s="165" t="s">
        <v>1291</v>
      </c>
      <c r="BE1" s="165" t="s">
        <v>1292</v>
      </c>
      <c r="BF1" s="165" t="s">
        <v>1293</v>
      </c>
      <c r="BG1" s="165" t="s">
        <v>2181</v>
      </c>
      <c r="BH1" s="153" t="s">
        <v>1294</v>
      </c>
      <c r="BI1" s="153" t="s">
        <v>1295</v>
      </c>
      <c r="BJ1" s="153" t="s">
        <v>1296</v>
      </c>
      <c r="BK1" s="153" t="s">
        <v>1297</v>
      </c>
      <c r="BL1" s="153" t="s">
        <v>1298</v>
      </c>
      <c r="BM1" s="153" t="s">
        <v>1299</v>
      </c>
      <c r="BN1" s="153" t="s">
        <v>1300</v>
      </c>
      <c r="BO1" s="153" t="s">
        <v>2182</v>
      </c>
      <c r="BP1" s="153" t="s">
        <v>1301</v>
      </c>
      <c r="BQ1" s="153" t="s">
        <v>1302</v>
      </c>
      <c r="BR1" s="153" t="s">
        <v>1303</v>
      </c>
      <c r="BS1" s="153" t="s">
        <v>1304</v>
      </c>
      <c r="BT1" s="153" t="s">
        <v>1305</v>
      </c>
      <c r="BU1" s="153" t="s">
        <v>1306</v>
      </c>
      <c r="BV1" s="153" t="s">
        <v>1307</v>
      </c>
      <c r="BW1" s="153" t="s">
        <v>2183</v>
      </c>
      <c r="BX1" s="47" t="s">
        <v>1275</v>
      </c>
      <c r="BY1" s="153" t="s">
        <v>1267</v>
      </c>
      <c r="BZ1" s="160" t="s">
        <v>1276</v>
      </c>
    </row>
    <row r="2" spans="1:78" x14ac:dyDescent="0.25">
      <c r="A2" s="166"/>
      <c r="B2" s="166"/>
      <c r="C2" s="114"/>
      <c r="D2" s="114"/>
      <c r="E2" s="114" t="s">
        <v>152</v>
      </c>
      <c r="F2" s="114"/>
      <c r="G2" s="114" t="s">
        <v>1308</v>
      </c>
      <c r="H2" s="114"/>
      <c r="I2" s="114" t="s">
        <v>1309</v>
      </c>
      <c r="J2" s="114"/>
      <c r="K2" s="114" t="s">
        <v>1310</v>
      </c>
      <c r="L2" s="114"/>
      <c r="M2" s="114" t="s">
        <v>1311</v>
      </c>
      <c r="N2" s="114"/>
      <c r="O2" s="114" t="s">
        <v>1312</v>
      </c>
      <c r="P2" s="114"/>
      <c r="Q2" s="114" t="s">
        <v>172</v>
      </c>
      <c r="R2" s="114"/>
      <c r="S2" s="114" t="s">
        <v>173</v>
      </c>
      <c r="T2" s="114"/>
      <c r="U2" s="114" t="s">
        <v>2169</v>
      </c>
      <c r="V2" s="114"/>
      <c r="W2" s="166"/>
      <c r="X2" s="114" t="s">
        <v>2191</v>
      </c>
      <c r="Y2" s="114"/>
      <c r="Z2" s="114"/>
      <c r="AA2" s="114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66"/>
      <c r="AS2" s="115"/>
      <c r="AT2" s="115"/>
      <c r="AU2" s="115"/>
      <c r="AV2" s="115" t="s">
        <v>1277</v>
      </c>
      <c r="AW2" s="115" t="s">
        <v>2180</v>
      </c>
      <c r="AX2" s="115" t="s">
        <v>2180</v>
      </c>
      <c r="AY2" s="115" t="s">
        <v>2180</v>
      </c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66"/>
      <c r="BM2" s="166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</row>
    <row r="3" spans="1:78" x14ac:dyDescent="0.25">
      <c r="A3" s="153"/>
      <c r="B3" s="153"/>
      <c r="C3" s="114" t="s">
        <v>0</v>
      </c>
      <c r="D3" s="114" t="s">
        <v>153</v>
      </c>
      <c r="E3" s="114" t="s">
        <v>0</v>
      </c>
      <c r="F3" s="114" t="s">
        <v>1313</v>
      </c>
      <c r="G3" s="114" t="s">
        <v>0</v>
      </c>
      <c r="H3" s="114" t="s">
        <v>1313</v>
      </c>
      <c r="I3" s="114" t="s">
        <v>0</v>
      </c>
      <c r="J3" s="114" t="s">
        <v>1313</v>
      </c>
      <c r="K3" s="114" t="s">
        <v>1314</v>
      </c>
      <c r="L3" s="114" t="s">
        <v>1313</v>
      </c>
      <c r="M3" s="114" t="s">
        <v>0</v>
      </c>
      <c r="N3" s="114" t="s">
        <v>1313</v>
      </c>
      <c r="O3" s="114" t="s">
        <v>0</v>
      </c>
      <c r="P3" s="114" t="s">
        <v>1313</v>
      </c>
      <c r="Q3" s="114" t="s">
        <v>1314</v>
      </c>
      <c r="R3" s="114" t="s">
        <v>1313</v>
      </c>
      <c r="S3" s="114" t="s">
        <v>0</v>
      </c>
      <c r="T3" s="114" t="s">
        <v>1313</v>
      </c>
      <c r="U3" s="114" t="s">
        <v>0</v>
      </c>
      <c r="V3" s="114" t="s">
        <v>1313</v>
      </c>
      <c r="W3" s="160" t="s">
        <v>1233</v>
      </c>
      <c r="X3" s="114" t="s">
        <v>153</v>
      </c>
      <c r="Y3" s="114" t="s">
        <v>0</v>
      </c>
      <c r="Z3" s="114" t="s">
        <v>1205</v>
      </c>
      <c r="AA3" s="114" t="s">
        <v>1206</v>
      </c>
      <c r="AB3" s="114" t="s">
        <v>148</v>
      </c>
      <c r="AC3" s="114" t="s">
        <v>587</v>
      </c>
      <c r="AD3" s="114" t="s">
        <v>0</v>
      </c>
      <c r="AE3" s="114" t="s">
        <v>1207</v>
      </c>
      <c r="AF3" s="114" t="s">
        <v>587</v>
      </c>
      <c r="AG3" s="114" t="s">
        <v>0</v>
      </c>
      <c r="AH3" s="114" t="s">
        <v>150</v>
      </c>
      <c r="AI3" s="114" t="s">
        <v>587</v>
      </c>
      <c r="AJ3" s="114" t="s">
        <v>0</v>
      </c>
      <c r="AK3" s="114" t="s">
        <v>151</v>
      </c>
      <c r="AL3" s="114" t="s">
        <v>587</v>
      </c>
      <c r="AM3" s="114" t="s">
        <v>0</v>
      </c>
      <c r="AN3" s="114" t="s">
        <v>1208</v>
      </c>
      <c r="AO3" s="114" t="s">
        <v>587</v>
      </c>
      <c r="AP3" s="114" t="s">
        <v>0</v>
      </c>
      <c r="AQ3" s="114" t="s">
        <v>1209</v>
      </c>
      <c r="AR3" s="114" t="s">
        <v>587</v>
      </c>
      <c r="AS3" s="114" t="s">
        <v>0</v>
      </c>
      <c r="AU3" s="154" t="str">
        <f>CONCATENATE("M",BZ3)</f>
        <v>M3</v>
      </c>
      <c r="AV3" s="162" t="s">
        <v>43</v>
      </c>
      <c r="AW3" s="154">
        <f>IF(ISNUMBER(SUM(SMALL(AZ3:BG3,{1,2,3,4,5,6}))),SUM(SMALL(AZ3:BG3,{1,2,3,4,5,6})),SUM(AZ3:BG3))</f>
        <v>19</v>
      </c>
      <c r="AX3" s="154">
        <f>IF(ISNUMBER(SUM(SMALL(BP3:BW3,{1,2,3,4,5,6}))),SUM(SMALL(BP3:BW3,{1,2,3,4,5,6})),SUM(BP3:BW3))</f>
        <v>19.000001212000001</v>
      </c>
      <c r="AY3" s="167">
        <f>SUM((AX3-AW3)*1000000000)</f>
        <v>1212.0000008053466</v>
      </c>
      <c r="AZ3" s="168">
        <f>IF(ISNA(VLOOKUP($AV3,'Race 1'!$A$6:$D$14,2,FALSE)),"",VLOOKUP($AV3,'Race 1'!$A$6:$D$14,2,FALSE))</f>
        <v>5</v>
      </c>
      <c r="BA3" s="168">
        <f>IF(ISNA(VLOOKUP($AV3,'Race 2'!$A$6:$D$14,2,FALSE)),"",VLOOKUP($AV3,'Race 2'!$A$6:$D$14,2,FALSE))</f>
        <v>3</v>
      </c>
      <c r="BB3" s="168">
        <f>IF(ISNA(VLOOKUP($AV3,'Race 3'!$A$6:$D$14,2,FALSE)),"",VLOOKUP($AV3,'Race 3'!$A$6:$D$14,2,FALSE))</f>
        <v>6</v>
      </c>
      <c r="BC3" s="168">
        <f>IF(ISNA(VLOOKUP($AV3,'Race 4'!$A$6:$D$14,2,FALSE)),"",VLOOKUP($AV3,'Race 4'!$A$6:$D$14,2,FALSE))</f>
        <v>5</v>
      </c>
      <c r="BD3" s="168" t="str">
        <f>IF(ISNA(VLOOKUP($AV3,'Race 5'!$A$6:$D$14,2,FALSE)),"",VLOOKUP($AV3,'Race 5'!$A$6:$D$14,2,FALSE))</f>
        <v/>
      </c>
      <c r="BE3" s="168" t="str">
        <f>IF(ISNA(VLOOKUP($AV3,'Race 6'!$A$6:$D$14,2,FALSE)),"",VLOOKUP($AV3,'Race 6'!$A$6:$D$14,2,FALSE))</f>
        <v/>
      </c>
      <c r="BF3" s="168" t="str">
        <f>IF(ISNA(VLOOKUP($AV3,'Race 7'!$A$6:$D$14,2,FALSE)),"",VLOOKUP($AV3,'Race 7'!$A$6:$D$14,2,FALSE))</f>
        <v/>
      </c>
      <c r="BG3" s="168" t="str">
        <f>IF(ISNA(VLOOKUP($AV3,'Race 8'!$A$6:$D$14,2,FALSE)),"",VLOOKUP($AV3,'Race 8'!$A$6:$D$14,2,FALSE))</f>
        <v/>
      </c>
      <c r="BH3" s="168">
        <f>IF(ISNA(VLOOKUP($AV3,'Race 1'!$A$6:$D$14,4,FALSE)),"",VLOOKUP($AV3,'Race 1'!$A$6:$D$14,4,FALSE))</f>
        <v>330</v>
      </c>
      <c r="BI3" s="168">
        <f>IF(ISNA(VLOOKUP($AV3,'Race 2'!$A$6:$D$14,4,FALSE)),"",VLOOKUP($AV3,'Race 2'!$A$6:$D$14,4,FALSE))</f>
        <v>198</v>
      </c>
      <c r="BJ3" s="168">
        <f>IF(ISNA(VLOOKUP($AV3,'Race 3'!$A$6:$D$14,4,FALSE)),"",VLOOKUP($AV3,'Race 3'!$A$6:$D$14,4,FALSE))</f>
        <v>379</v>
      </c>
      <c r="BK3" s="168">
        <f>IF(ISNA(VLOOKUP($AV3,'Race 4'!$A$6:$D$14,4,FALSE)),"",VLOOKUP($AV3,'Race 4'!$A$6:$D$14,4,FALSE))</f>
        <v>305</v>
      </c>
      <c r="BL3" s="168" t="str">
        <f>IF(ISNA(VLOOKUP($AV3,'Race 5'!$A$6:$D$14,4,FALSE)),"",VLOOKUP($AV3,'Race 5'!$A$6:$D$14,4,FALSE))</f>
        <v/>
      </c>
      <c r="BM3" s="168" t="str">
        <f>IF(ISNA(VLOOKUP($AV3,'Race 6'!$A$6:$D$14,4,FALSE)),"",VLOOKUP($AV3,'Race 6'!$A$6:$D$14,4,FALSE))</f>
        <v/>
      </c>
      <c r="BN3" s="168" t="str">
        <f>IF(ISNA(VLOOKUP($AV3,'Race 7'!$A$6:$D$14,4,FALSE)),"",VLOOKUP($AV3,'Race 7'!$A$6:$D$14,4,FALSE))</f>
        <v/>
      </c>
      <c r="BO3" s="168" t="str">
        <f>IF(ISNA(VLOOKUP($AV3,'Race 8'!$A$6:$D$14,4,FALSE)),"",VLOOKUP($AV3,'Race 8'!$A$6:$D$14,4,FALSE))</f>
        <v/>
      </c>
      <c r="BP3" s="169">
        <f t="shared" ref="BP3:BP11" si="0">IF(ISERROR(SUM(AZ3,BH3* 0.000000001)),"",SUM(AZ3,BH3* 0.000000001))</f>
        <v>5.0000003299999998</v>
      </c>
      <c r="BQ3" s="169">
        <f t="shared" ref="BQ3:BQ11" si="1">IF(ISERROR(SUM(BA3,BI3* 0.000000001)),"",SUM(BA3,BI3* 0.000000001))</f>
        <v>3.000000198</v>
      </c>
      <c r="BR3" s="169">
        <f t="shared" ref="BR3:BR11" si="2">IF(ISERROR(SUM(BB3,BJ3* 0.000000001)),"",SUM(BB3,BJ3* 0.000000001))</f>
        <v>6.0000003790000003</v>
      </c>
      <c r="BS3" s="169">
        <f t="shared" ref="BS3:BS11" si="3">IF(ISERROR(SUM(BC3,BK3* 0.000000001)),"",SUM(BC3,BK3* 0.000000001))</f>
        <v>5.0000003050000004</v>
      </c>
      <c r="BT3" s="169" t="str">
        <f t="shared" ref="BT3:BT11" si="4">IF(ISERROR(SUM(BD3,BL3* 0.000000001)),"",SUM(BD3,BL3* 0.000000001))</f>
        <v/>
      </c>
      <c r="BU3" s="169" t="str">
        <f t="shared" ref="BU3:BU11" si="5">IF(ISERROR(SUM(BE3,BM3* 0.000000001)),"",SUM(BE3,BM3* 0.000000001))</f>
        <v/>
      </c>
      <c r="BV3" s="169" t="str">
        <f t="shared" ref="BV3:BW11" si="6">IF(ISERROR(SUM(BF3,BN3* 0.000000001)),"",SUM(BF3,BN3* 0.000000001))</f>
        <v/>
      </c>
      <c r="BW3" s="169" t="str">
        <f t="shared" si="6"/>
        <v/>
      </c>
      <c r="BX3" s="154">
        <f>VALUE(CONCATENATE(RANK(AW3,$AW$3:$AW$11,0),AY3))</f>
        <v>71212.000000805303</v>
      </c>
      <c r="BY3" s="160">
        <f>(RANK(AX3,$AX$3:$AX$11,1))</f>
        <v>3</v>
      </c>
      <c r="BZ3" s="154">
        <f>(COUNTIF($BY3:BY$11,BY3)+-1)*0.1+BY3</f>
        <v>3</v>
      </c>
    </row>
    <row r="4" spans="1:78" x14ac:dyDescent="0.2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60" t="s">
        <v>1233</v>
      </c>
      <c r="AU4" s="154" t="str">
        <f t="shared" ref="AU4:AU11" si="7">CONCATENATE("M",BZ4)</f>
        <v>M9</v>
      </c>
      <c r="AV4" s="162" t="s">
        <v>155</v>
      </c>
      <c r="AW4" s="154">
        <f>IF(ISNUMBER(SUM(SMALL(AZ4:BG4,{1,2,3,4,5,6}))),SUM(SMALL(AZ4:BG4,{1,2,3,4,5,6})),SUM(AZ4:BG4))</f>
        <v>32</v>
      </c>
      <c r="AX4" s="154">
        <f>IF(ISNUMBER(SUM(SMALL(BP4:BW4,{1,2,3,4,5,6}))),SUM(SMALL(BP4:BW4,{1,2,3,4,5,6})),SUM(BP4:BW4))</f>
        <v>32.000001834000003</v>
      </c>
      <c r="AY4" s="167">
        <f>SUM((AX4-AW4)*1000000000)</f>
        <v>1834.0000025318659</v>
      </c>
      <c r="AZ4" s="168">
        <f>IF(ISNA(VLOOKUP($AV4,'Race 1'!$A$6:$D$14,2,FALSE)),"",VLOOKUP($AV4,'Race 1'!$A$6:$D$14,2,FALSE))</f>
        <v>8</v>
      </c>
      <c r="BA4" s="168">
        <f>IF(ISNA(VLOOKUP($AV4,'Race 2'!$A$6:$D$14,2,FALSE)),"",VLOOKUP($AV4,'Race 2'!$A$6:$D$14,2,FALSE))</f>
        <v>8</v>
      </c>
      <c r="BB4" s="168">
        <f>IF(ISNA(VLOOKUP($AV4,'Race 3'!$A$6:$D$14,2,FALSE)),"",VLOOKUP($AV4,'Race 3'!$A$6:$D$14,2,FALSE))</f>
        <v>8</v>
      </c>
      <c r="BC4" s="168">
        <f>IF(ISNA(VLOOKUP($AV4,'Race 4'!$A$6:$D$14,2,FALSE)),"",VLOOKUP($AV4,'Race 4'!$A$6:$D$14,2,FALSE))</f>
        <v>8</v>
      </c>
      <c r="BD4" s="168" t="str">
        <f>IF(ISNA(VLOOKUP($AV4,'Race 5'!$A$6:$D$14,2,FALSE)),"",VLOOKUP($AV4,'Race 5'!$A$6:$D$14,2,FALSE))</f>
        <v/>
      </c>
      <c r="BE4" s="168" t="str">
        <f>IF(ISNA(VLOOKUP($AV4,'Race 6'!$A$6:$D$14,2,FALSE)),"",VLOOKUP($AV4,'Race 6'!$A$6:$D$14,2,FALSE))</f>
        <v/>
      </c>
      <c r="BF4" s="168" t="str">
        <f>IF(ISNA(VLOOKUP($AV4,'Race 7'!$A$6:$D$14,2,FALSE)),"",VLOOKUP($AV4,'Race 7'!$A$6:$D$14,2,FALSE))</f>
        <v/>
      </c>
      <c r="BG4" s="168" t="str">
        <f>IF(ISNA(VLOOKUP($AV4,'Race 8'!$A$6:$D$14,2,FALSE)),"",VLOOKUP($AV4,'Race 8'!$A$6:$D$14,2,FALSE))</f>
        <v/>
      </c>
      <c r="BH4" s="168">
        <f>IF(ISNA(VLOOKUP($AV4,'Race 1'!$A$6:$D$14,4,FALSE)),"",VLOOKUP($AV4,'Race 1'!$A$6:$D$14,4,FALSE))</f>
        <v>438</v>
      </c>
      <c r="BI4" s="168">
        <f>IF(ISNA(VLOOKUP($AV4,'Race 2'!$A$6:$D$14,4,FALSE)),"",VLOOKUP($AV4,'Race 2'!$A$6:$D$14,4,FALSE))</f>
        <v>429</v>
      </c>
      <c r="BJ4" s="168">
        <f>IF(ISNA(VLOOKUP($AV4,'Race 3'!$A$6:$D$14,4,FALSE)),"",VLOOKUP($AV4,'Race 3'!$A$6:$D$14,4,FALSE))</f>
        <v>440</v>
      </c>
      <c r="BK4" s="168">
        <f>IF(ISNA(VLOOKUP($AV4,'Race 4'!$A$6:$D$14,4,FALSE)),"",VLOOKUP($AV4,'Race 4'!$A$6:$D$14,4,FALSE))</f>
        <v>527</v>
      </c>
      <c r="BL4" s="168" t="str">
        <f>IF(ISNA(VLOOKUP($AV4,'Race 5'!$A$6:$D$14,4,FALSE)),"",VLOOKUP($AV4,'Race 5'!$A$6:$D$14,4,FALSE))</f>
        <v/>
      </c>
      <c r="BM4" s="168" t="str">
        <f>IF(ISNA(VLOOKUP($AV4,'Race 6'!$A$6:$D$14,4,FALSE)),"",VLOOKUP($AV4,'Race 6'!$A$6:$D$14,4,FALSE))</f>
        <v/>
      </c>
      <c r="BN4" s="168" t="str">
        <f>IF(ISNA(VLOOKUP($AV4,'Race 7'!$A$6:$D$14,4,FALSE)),"",VLOOKUP($AV4,'Race 7'!$A$6:$D$14,4,FALSE))</f>
        <v/>
      </c>
      <c r="BO4" s="168" t="str">
        <f>IF(ISNA(VLOOKUP($AV4,'Race 8'!$A$6:$D$14,4,FALSE)),"",VLOOKUP($AV4,'Race 8'!$A$6:$D$14,4,FALSE))</f>
        <v/>
      </c>
      <c r="BP4" s="169">
        <f t="shared" si="0"/>
        <v>8.0000004380000007</v>
      </c>
      <c r="BQ4" s="169">
        <f t="shared" si="1"/>
        <v>8.000000429</v>
      </c>
      <c r="BR4" s="169">
        <f t="shared" si="2"/>
        <v>8.0000004400000009</v>
      </c>
      <c r="BS4" s="169">
        <f t="shared" si="3"/>
        <v>8.0000005269999992</v>
      </c>
      <c r="BT4" s="169" t="str">
        <f t="shared" si="4"/>
        <v/>
      </c>
      <c r="BU4" s="169" t="str">
        <f t="shared" si="5"/>
        <v/>
      </c>
      <c r="BV4" s="169" t="str">
        <f t="shared" si="6"/>
        <v/>
      </c>
      <c r="BW4" s="169" t="str">
        <f t="shared" si="6"/>
        <v/>
      </c>
      <c r="BX4" s="154">
        <f t="shared" ref="BX4:BX11" si="8">VALUE(CONCATENATE(RANK(AW4,$AW$3:$AW$11,0),AY4))</f>
        <v>11834.0000025318</v>
      </c>
      <c r="BY4" s="160">
        <f t="shared" ref="BY4:BY11" si="9">(RANK(AX4,$AX$3:$AX$11,1))</f>
        <v>9</v>
      </c>
      <c r="BZ4" s="154">
        <f>(COUNTIF($BY4:BY$11,BY4)+-1)*0.1+BY4</f>
        <v>9</v>
      </c>
    </row>
    <row r="5" spans="1:78" x14ac:dyDescent="0.25">
      <c r="A5" s="160"/>
      <c r="B5" s="160"/>
      <c r="C5" s="160"/>
      <c r="D5" s="153" t="s">
        <v>1277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60" t="s">
        <v>1233</v>
      </c>
      <c r="X5" t="s">
        <v>1277</v>
      </c>
      <c r="AU5" s="154" t="str">
        <f t="shared" si="7"/>
        <v>M4</v>
      </c>
      <c r="AV5" s="163" t="s">
        <v>63</v>
      </c>
      <c r="AW5" s="154">
        <f>IF(ISNUMBER(SUM(SMALL(AZ5:BG5,{1,2,3,4,5,6}))),SUM(SMALL(AZ5:BG5,{1,2,3,4,5,6})),SUM(AZ5:BG5))</f>
        <v>20</v>
      </c>
      <c r="AX5" s="154">
        <f>IF(ISNUMBER(SUM(SMALL(BP5:BW5,{1,2,3,4,5,6}))),SUM(SMALL(BP5:BW5,{1,2,3,4,5,6})),SUM(BP5:BW5))</f>
        <v>20.000001195000003</v>
      </c>
      <c r="AY5" s="167">
        <f t="shared" ref="AY5:AY10" si="10">SUM((AX5-AW5)*1000000000)</f>
        <v>1195.000002951474</v>
      </c>
      <c r="AZ5" s="168">
        <f>IF(ISNA(VLOOKUP($AV5,'Race 1'!$A$6:$D$14,2,FALSE)),"",VLOOKUP($AV5,'Race 1'!$A$6:$D$14,2,FALSE))</f>
        <v>3</v>
      </c>
      <c r="BA5" s="168">
        <f>IF(ISNA(VLOOKUP($AV5,'Race 2'!$A$6:$D$14,2,FALSE)),"",VLOOKUP($AV5,'Race 2'!$A$6:$D$14,2,FALSE))</f>
        <v>9</v>
      </c>
      <c r="BB5" s="168">
        <f>IF(ISNA(VLOOKUP($AV5,'Race 3'!$A$6:$D$14,2,FALSE)),"",VLOOKUP($AV5,'Race 3'!$A$6:$D$14,2,FALSE))</f>
        <v>4</v>
      </c>
      <c r="BC5" s="168">
        <f>IF(ISNA(VLOOKUP($AV5,'Race 4'!$A$6:$D$14,2,FALSE)),"",VLOOKUP($AV5,'Race 4'!$A$6:$D$14,2,FALSE))</f>
        <v>4</v>
      </c>
      <c r="BD5" s="168" t="str">
        <f>IF(ISNA(VLOOKUP($AV5,'Race 5'!$A$6:$D$14,2,FALSE)),"",VLOOKUP($AV5,'Race 5'!$A$6:$D$14,2,FALSE))</f>
        <v/>
      </c>
      <c r="BE5" s="168" t="str">
        <f>IF(ISNA(VLOOKUP($AV5,'Race 6'!$A$6:$D$14,2,FALSE)),"",VLOOKUP($AV5,'Race 6'!$A$6:$D$14,2,FALSE))</f>
        <v/>
      </c>
      <c r="BF5" s="168" t="str">
        <f>IF(ISNA(VLOOKUP($AV5,'Race 7'!$A$6:$D$14,2,FALSE)),"",VLOOKUP($AV5,'Race 7'!$A$6:$D$14,2,FALSE))</f>
        <v/>
      </c>
      <c r="BG5" s="168" t="str">
        <f>IF(ISNA(VLOOKUP($AV5,'Race 8'!$A$6:$D$14,2,FALSE)),"",VLOOKUP($AV5,'Race 8'!$A$6:$D$14,2,FALSE))</f>
        <v/>
      </c>
      <c r="BH5" s="168">
        <f>IF(ISNA(VLOOKUP($AV5,'Race 1'!$A$6:$D$14,4,FALSE)),"",VLOOKUP($AV5,'Race 1'!$A$6:$D$14,4,FALSE))</f>
        <v>315</v>
      </c>
      <c r="BI5" s="168">
        <f>IF(ISNA(VLOOKUP($AV5,'Race 2'!$A$6:$D$14,4,FALSE)),"",VLOOKUP($AV5,'Race 2'!$A$6:$D$14,4,FALSE))</f>
        <v>457</v>
      </c>
      <c r="BJ5" s="168">
        <f>IF(ISNA(VLOOKUP($AV5,'Race 3'!$A$6:$D$14,4,FALSE)),"",VLOOKUP($AV5,'Race 3'!$A$6:$D$14,4,FALSE))</f>
        <v>188</v>
      </c>
      <c r="BK5" s="168">
        <f>IF(ISNA(VLOOKUP($AV5,'Race 4'!$A$6:$D$14,4,FALSE)),"",VLOOKUP($AV5,'Race 4'!$A$6:$D$14,4,FALSE))</f>
        <v>235</v>
      </c>
      <c r="BL5" s="168" t="str">
        <f>IF(ISNA(VLOOKUP($AV5,'Race 5'!$A$6:$D$14,4,FALSE)),"",VLOOKUP($AV5,'Race 5'!$A$6:$D$14,4,FALSE))</f>
        <v/>
      </c>
      <c r="BM5" s="168" t="str">
        <f>IF(ISNA(VLOOKUP($AV5,'Race 6'!$A$6:$D$14,4,FALSE)),"",VLOOKUP($AV5,'Race 6'!$A$6:$D$14,4,FALSE))</f>
        <v/>
      </c>
      <c r="BN5" s="168" t="str">
        <f>IF(ISNA(VLOOKUP($AV5,'Race 7'!$A$6:$D$14,4,FALSE)),"",VLOOKUP($AV5,'Race 7'!$A$6:$D$14,4,FALSE))</f>
        <v/>
      </c>
      <c r="BO5" s="168" t="str">
        <f>IF(ISNA(VLOOKUP($AV5,'Race 8'!$A$6:$D$14,4,FALSE)),"",VLOOKUP($AV5,'Race 8'!$A$6:$D$14,4,FALSE))</f>
        <v/>
      </c>
      <c r="BP5" s="169">
        <f t="shared" si="0"/>
        <v>3.0000003149999999</v>
      </c>
      <c r="BQ5" s="169">
        <f t="shared" si="1"/>
        <v>9.0000004570000005</v>
      </c>
      <c r="BR5" s="169">
        <f t="shared" si="2"/>
        <v>4.0000001879999996</v>
      </c>
      <c r="BS5" s="169">
        <f t="shared" si="3"/>
        <v>4.0000002349999999</v>
      </c>
      <c r="BT5" s="169" t="str">
        <f t="shared" si="4"/>
        <v/>
      </c>
      <c r="BU5" s="169" t="str">
        <f t="shared" si="5"/>
        <v/>
      </c>
      <c r="BV5" s="169" t="str">
        <f t="shared" si="6"/>
        <v/>
      </c>
      <c r="BW5" s="169" t="str">
        <f t="shared" si="6"/>
        <v/>
      </c>
      <c r="BX5" s="154">
        <f t="shared" si="8"/>
        <v>61195.000002951398</v>
      </c>
      <c r="BY5" s="160">
        <f t="shared" si="9"/>
        <v>4</v>
      </c>
      <c r="BZ5" s="154">
        <f>(COUNTIF($BY5:BY$11,BY5)+-1)*0.1+BY5</f>
        <v>4</v>
      </c>
    </row>
    <row r="6" spans="1:78" x14ac:dyDescent="0.25">
      <c r="A6" s="160">
        <v>1</v>
      </c>
      <c r="B6" s="160">
        <f>SMALL($BZ$3:$BZ$11,A6)</f>
        <v>1</v>
      </c>
      <c r="C6" s="160">
        <f t="shared" ref="C6:C14" si="11">VLOOKUP(CONCATENATE("M",$B6),Team_Overall,31,FALSE)</f>
        <v>1</v>
      </c>
      <c r="D6" s="154" t="str">
        <f t="shared" ref="D6:D14" si="12">VLOOKUP(CONCATENATE("M",$B6),Team_Overall,2,FALSE)</f>
        <v>East London Runners</v>
      </c>
      <c r="E6" s="154" t="str">
        <f>TEXT(VLOOKUP(CONCATENATE("M",$B6),Team_Overall,3,FALSE),"0")</f>
        <v>5</v>
      </c>
      <c r="F6" s="154" t="str">
        <f>TEXT(VLOOKUP(CONCATENATE("M",$B6),Team_Overall,5,FALSE),"0")</f>
        <v>213</v>
      </c>
      <c r="G6" s="154" t="str">
        <f t="shared" ref="G6:G14" si="13">TEXT(VLOOKUP(CONCATENATE("M",$B6),Team_Overall,6,FALSE),"0")</f>
        <v>1</v>
      </c>
      <c r="H6" s="154" t="str">
        <f t="shared" ref="H6:H14" si="14">TEXT(VLOOKUP(CONCATENATE("M",$B6),Team_Overall,14,FALSE),"0")</f>
        <v>34</v>
      </c>
      <c r="I6" s="154" t="str">
        <f t="shared" ref="I6:I14" si="15">TEXT(VLOOKUP(CONCATENATE("M",$B6),Team_Overall,7,FALSE),"0")</f>
        <v>1</v>
      </c>
      <c r="J6" s="154" t="str">
        <f t="shared" ref="J6:J14" si="16">TEXT(VLOOKUP(CONCATENATE("M",$B6),Team_Overall,15,FALSE),"0")</f>
        <v>46</v>
      </c>
      <c r="K6" s="154" t="str">
        <f t="shared" ref="K6:K14" si="17">TEXT(VLOOKUP(CONCATENATE("M",$B6),Team_Overall,8,FALSE),"0")</f>
        <v>1</v>
      </c>
      <c r="L6" s="154" t="str">
        <f t="shared" ref="L6:L14" si="18">TEXT(VLOOKUP(CONCATENATE("M",$B6),Team_Overall,16,FALSE),"0")</f>
        <v>70</v>
      </c>
      <c r="M6" s="154" t="str">
        <f t="shared" ref="M6:M14" si="19">TEXT(VLOOKUP(CONCATENATE("M",$B6),Team_Overall,9,FALSE),"0")</f>
        <v>2</v>
      </c>
      <c r="N6" s="154" t="str">
        <f t="shared" ref="N6:N14" si="20">TEXT(VLOOKUP(CONCATENATE("M",$B6),Team_Overall,17,FALSE),"0")</f>
        <v>63</v>
      </c>
      <c r="O6" s="154" t="str">
        <f t="shared" ref="O6:O14" si="21">TEXT(VLOOKUP(CONCATENATE("M",$B6),Team_Overall,10,FALSE),"0")</f>
        <v/>
      </c>
      <c r="P6" s="154" t="str">
        <f t="shared" ref="P6:P14" si="22">TEXT(VLOOKUP(CONCATENATE("M",$B6),Team_Overall,18,FALSE),"0")</f>
        <v/>
      </c>
      <c r="Q6" s="154" t="str">
        <f t="shared" ref="Q6:Q14" si="23">TEXT(VLOOKUP(CONCATENATE("M",$B6),Team_Overall,11,FALSE),"0")</f>
        <v/>
      </c>
      <c r="R6" s="154" t="str">
        <f t="shared" ref="R6:R14" si="24">TEXT(VLOOKUP(CONCATENATE("M",$B6),Team_Overall,19,FALSE),"0")</f>
        <v/>
      </c>
      <c r="S6" s="154" t="str">
        <f t="shared" ref="S6:S14" si="25">TEXT(VLOOKUP(CONCATENATE("M",$B6),Team_Overall,12,FALSE),"0")</f>
        <v/>
      </c>
      <c r="T6" s="154" t="str">
        <f t="shared" ref="T6:T14" si="26">TEXT(VLOOKUP(CONCATENATE("M",$B6),Team_Overall,20,FALSE),"0")</f>
        <v/>
      </c>
      <c r="U6" s="154" t="str">
        <f t="shared" ref="U6:U14" si="27">TEXT(VLOOKUP(CONCATENATE("M",$B6),Team_Overall,13,FALSE),"0")</f>
        <v/>
      </c>
      <c r="V6" s="154" t="str">
        <f t="shared" ref="V6:V14" si="28">TEXT(VLOOKUP(CONCATENATE("M",$B6),Team_Overall,21,FALSE),"0")</f>
        <v/>
      </c>
      <c r="W6" s="160" t="s">
        <v>1233</v>
      </c>
      <c r="X6" t="s">
        <v>12</v>
      </c>
      <c r="Y6">
        <v>1</v>
      </c>
      <c r="Z6">
        <v>6</v>
      </c>
      <c r="AA6">
        <v>34</v>
      </c>
      <c r="AB6" t="s">
        <v>335</v>
      </c>
      <c r="AC6" t="s">
        <v>1813</v>
      </c>
      <c r="AD6">
        <v>1</v>
      </c>
      <c r="AE6" t="s">
        <v>364</v>
      </c>
      <c r="AF6" t="s">
        <v>1813</v>
      </c>
      <c r="AG6">
        <v>2</v>
      </c>
      <c r="AH6" t="s">
        <v>1357</v>
      </c>
      <c r="AI6" t="s">
        <v>1813</v>
      </c>
      <c r="AJ6">
        <v>5</v>
      </c>
      <c r="AK6" t="s">
        <v>1345</v>
      </c>
      <c r="AL6" t="s">
        <v>1814</v>
      </c>
      <c r="AM6">
        <v>7</v>
      </c>
      <c r="AN6" t="s">
        <v>363</v>
      </c>
      <c r="AO6" t="s">
        <v>1814</v>
      </c>
      <c r="AP6">
        <v>9</v>
      </c>
      <c r="AQ6" t="s">
        <v>895</v>
      </c>
      <c r="AR6" t="s">
        <v>1814</v>
      </c>
      <c r="AS6">
        <v>10</v>
      </c>
      <c r="AU6" s="154" t="str">
        <f t="shared" si="7"/>
        <v>M1</v>
      </c>
      <c r="AV6" s="163" t="s">
        <v>12</v>
      </c>
      <c r="AW6" s="154">
        <f>IF(ISNUMBER(SUM(SMALL(AZ6:BG6,{1,2,3,4,5,6}))),SUM(SMALL(AZ6:BG6,{1,2,3,4,5,6})),SUM(AZ6:BG6))</f>
        <v>5</v>
      </c>
      <c r="AX6" s="154">
        <f>IF(ISNUMBER(SUM(SMALL(BP6:BW6,{1,2,3,4,5,6}))),SUM(SMALL(BP6:BW6,{1,2,3,4,5,6})),SUM(BP6:BW6))</f>
        <v>5.0000002129999999</v>
      </c>
      <c r="AY6" s="167">
        <f t="shared" si="10"/>
        <v>212.99999986013063</v>
      </c>
      <c r="AZ6" s="168">
        <f>IF(ISNA(VLOOKUP($AV6,'Race 1'!$A$6:$D$14,2,FALSE)),"",VLOOKUP($AV6,'Race 1'!$A$6:$D$14,2,FALSE))</f>
        <v>1</v>
      </c>
      <c r="BA6" s="168">
        <f>IF(ISNA(VLOOKUP($AV6,'Race 2'!$A$6:$D$14,2,FALSE)),"",VLOOKUP($AV6,'Race 2'!$A$6:$D$14,2,FALSE))</f>
        <v>1</v>
      </c>
      <c r="BB6" s="168">
        <f>IF(ISNA(VLOOKUP($AV6,'Race 3'!$A$6:$D$14,2,FALSE)),"",VLOOKUP($AV6,'Race 3'!$A$6:$D$14,2,FALSE))</f>
        <v>1</v>
      </c>
      <c r="BC6" s="168">
        <f>IF(ISNA(VLOOKUP($AV6,'Race 4'!$A$6:$D$14,2,FALSE)),"",VLOOKUP($AV6,'Race 4'!$A$6:$D$14,2,FALSE))</f>
        <v>2</v>
      </c>
      <c r="BD6" s="168" t="str">
        <f>IF(ISNA(VLOOKUP($AV6,'Race 5'!$A$6:$D$14,2,FALSE)),"",VLOOKUP($AV6,'Race 5'!$A$6:$D$14,2,FALSE))</f>
        <v/>
      </c>
      <c r="BE6" s="168" t="str">
        <f>IF(ISNA(VLOOKUP($AV6,'Race 6'!$A$6:$D$14,2,FALSE)),"",VLOOKUP($AV6,'Race 6'!$A$6:$D$14,2,FALSE))</f>
        <v/>
      </c>
      <c r="BF6" s="168" t="str">
        <f>IF(ISNA(VLOOKUP($AV6,'Race 7'!$A$6:$D$14,2,FALSE)),"",VLOOKUP($AV6,'Race 7'!$A$6:$D$14,2,FALSE))</f>
        <v/>
      </c>
      <c r="BG6" s="168" t="str">
        <f>IF(ISNA(VLOOKUP($AV6,'Race 8'!$A$6:$D$14,2,FALSE)),"",VLOOKUP($AV6,'Race 8'!$A$6:$D$14,2,FALSE))</f>
        <v/>
      </c>
      <c r="BH6" s="168">
        <f>IF(ISNA(VLOOKUP($AV6,'Race 1'!$A$6:$D$14,4,FALSE)),"",VLOOKUP($AV6,'Race 1'!$A$6:$D$14,4,FALSE))</f>
        <v>34</v>
      </c>
      <c r="BI6" s="168">
        <f>IF(ISNA(VLOOKUP($AV6,'Race 2'!$A$6:$D$14,4,FALSE)),"",VLOOKUP($AV6,'Race 2'!$A$6:$D$14,4,FALSE))</f>
        <v>46</v>
      </c>
      <c r="BJ6" s="168">
        <f>IF(ISNA(VLOOKUP($AV6,'Race 3'!$A$6:$D$14,4,FALSE)),"",VLOOKUP($AV6,'Race 3'!$A$6:$D$14,4,FALSE))</f>
        <v>70</v>
      </c>
      <c r="BK6" s="168">
        <f>IF(ISNA(VLOOKUP($AV6,'Race 4'!$A$6:$D$14,4,FALSE)),"",VLOOKUP($AV6,'Race 4'!$A$6:$D$14,4,FALSE))</f>
        <v>63</v>
      </c>
      <c r="BL6" s="168" t="str">
        <f>IF(ISNA(VLOOKUP($AV6,'Race 5'!$A$6:$D$14,4,FALSE)),"",VLOOKUP($AV6,'Race 5'!$A$6:$D$14,4,FALSE))</f>
        <v/>
      </c>
      <c r="BM6" s="168" t="str">
        <f>IF(ISNA(VLOOKUP($AV6,'Race 6'!$A$6:$D$14,4,FALSE)),"",VLOOKUP($AV6,'Race 6'!$A$6:$D$14,4,FALSE))</f>
        <v/>
      </c>
      <c r="BN6" s="168" t="str">
        <f>IF(ISNA(VLOOKUP($AV6,'Race 7'!$A$6:$D$14,4,FALSE)),"",VLOOKUP($AV6,'Race 7'!$A$6:$D$14,4,FALSE))</f>
        <v/>
      </c>
      <c r="BO6" s="168" t="str">
        <f>IF(ISNA(VLOOKUP($AV6,'Race 8'!$A$6:$D$14,4,FALSE)),"",VLOOKUP($AV6,'Race 8'!$A$6:$D$14,4,FALSE))</f>
        <v/>
      </c>
      <c r="BP6" s="169">
        <f t="shared" si="0"/>
        <v>1.0000000339999999</v>
      </c>
      <c r="BQ6" s="169">
        <f t="shared" si="1"/>
        <v>1.000000046</v>
      </c>
      <c r="BR6" s="169">
        <f t="shared" si="2"/>
        <v>1.00000007</v>
      </c>
      <c r="BS6" s="169">
        <f t="shared" si="3"/>
        <v>2.0000000629999999</v>
      </c>
      <c r="BT6" s="169" t="str">
        <f t="shared" si="4"/>
        <v/>
      </c>
      <c r="BU6" s="169" t="str">
        <f t="shared" si="5"/>
        <v/>
      </c>
      <c r="BV6" s="169" t="str">
        <f t="shared" si="6"/>
        <v/>
      </c>
      <c r="BW6" s="169" t="str">
        <f t="shared" si="6"/>
        <v/>
      </c>
      <c r="BX6" s="154">
        <f t="shared" si="8"/>
        <v>9212.9999998601306</v>
      </c>
      <c r="BY6" s="160">
        <f t="shared" si="9"/>
        <v>1</v>
      </c>
      <c r="BZ6" s="154">
        <f>(COUNTIF($BY6:BY$11,BY6)+-1)*0.1+BY6</f>
        <v>1</v>
      </c>
    </row>
    <row r="7" spans="1:78" x14ac:dyDescent="0.25">
      <c r="A7" s="160">
        <v>2</v>
      </c>
      <c r="B7" s="160">
        <f t="shared" ref="B7:B14" si="29">SMALL($BZ$3:$BZ$11,A7)</f>
        <v>2</v>
      </c>
      <c r="C7" s="160">
        <f t="shared" si="11"/>
        <v>2</v>
      </c>
      <c r="D7" s="154" t="str">
        <f t="shared" si="12"/>
        <v>Ilford AC</v>
      </c>
      <c r="E7" s="154" t="str">
        <f t="shared" ref="E7:E14" si="30">TEXT(VLOOKUP(CONCATENATE("M",$B7),Team_Overall,3,FALSE),"0")</f>
        <v>7</v>
      </c>
      <c r="F7" s="154" t="str">
        <f t="shared" ref="F7:F14" si="31">TEXT(VLOOKUP(CONCATENATE("M",$B7),Team_Overall,5,FALSE),"0")</f>
        <v>419</v>
      </c>
      <c r="G7" s="154" t="str">
        <f t="shared" si="13"/>
        <v>2</v>
      </c>
      <c r="H7" s="154" t="str">
        <f t="shared" si="14"/>
        <v>98</v>
      </c>
      <c r="I7" s="154" t="str">
        <f t="shared" si="15"/>
        <v>2</v>
      </c>
      <c r="J7" s="154" t="str">
        <f t="shared" si="16"/>
        <v>113</v>
      </c>
      <c r="K7" s="154" t="str">
        <f t="shared" si="17"/>
        <v>2</v>
      </c>
      <c r="L7" s="154" t="str">
        <f t="shared" si="18"/>
        <v>149</v>
      </c>
      <c r="M7" s="154" t="str">
        <f t="shared" si="19"/>
        <v>1</v>
      </c>
      <c r="N7" s="154" t="str">
        <f t="shared" si="20"/>
        <v>59</v>
      </c>
      <c r="O7" s="154" t="str">
        <f t="shared" si="21"/>
        <v/>
      </c>
      <c r="P7" s="154" t="str">
        <f t="shared" si="22"/>
        <v/>
      </c>
      <c r="Q7" s="154" t="str">
        <f t="shared" si="23"/>
        <v/>
      </c>
      <c r="R7" s="154" t="str">
        <f t="shared" si="24"/>
        <v/>
      </c>
      <c r="S7" s="154" t="str">
        <f t="shared" si="25"/>
        <v/>
      </c>
      <c r="T7" s="154" t="str">
        <f t="shared" si="26"/>
        <v/>
      </c>
      <c r="U7" s="154" t="str">
        <f t="shared" si="27"/>
        <v/>
      </c>
      <c r="V7" s="154" t="str">
        <f t="shared" si="28"/>
        <v/>
      </c>
      <c r="W7" s="160" t="s">
        <v>1233</v>
      </c>
      <c r="X7" t="s">
        <v>108</v>
      </c>
      <c r="Y7">
        <v>2</v>
      </c>
      <c r="Z7">
        <v>6</v>
      </c>
      <c r="AA7">
        <v>98</v>
      </c>
      <c r="AB7" t="s">
        <v>302</v>
      </c>
      <c r="AC7" t="s">
        <v>1814</v>
      </c>
      <c r="AD7">
        <v>6</v>
      </c>
      <c r="AE7" t="s">
        <v>1682</v>
      </c>
      <c r="AF7" t="s">
        <v>1813</v>
      </c>
      <c r="AG7">
        <v>13</v>
      </c>
      <c r="AH7" t="s">
        <v>1808</v>
      </c>
      <c r="AI7" t="s">
        <v>1813</v>
      </c>
      <c r="AJ7">
        <v>15</v>
      </c>
      <c r="AK7" t="s">
        <v>187</v>
      </c>
      <c r="AL7" t="s">
        <v>1814</v>
      </c>
      <c r="AM7">
        <v>20</v>
      </c>
      <c r="AN7" t="s">
        <v>2196</v>
      </c>
      <c r="AO7" t="s">
        <v>1814</v>
      </c>
      <c r="AP7">
        <v>21</v>
      </c>
      <c r="AQ7" t="s">
        <v>1874</v>
      </c>
      <c r="AR7" t="s">
        <v>1814</v>
      </c>
      <c r="AS7">
        <v>23</v>
      </c>
      <c r="AU7" s="154" t="str">
        <f t="shared" si="7"/>
        <v>M8</v>
      </c>
      <c r="AV7" s="162" t="s">
        <v>154</v>
      </c>
      <c r="AW7" s="154">
        <f>IF(ISNUMBER(SUM(SMALL(AZ7:BG7,{1,2,3,4,5,6}))),SUM(SMALL(AZ7:BG7,{1,2,3,4,5,6})),SUM(AZ7:BG7))</f>
        <v>28</v>
      </c>
      <c r="AX7" s="154">
        <f>IF(ISNUMBER(SUM(SMALL(BP7:BW7,{1,2,3,4,5,6}))),SUM(SMALL(BP7:BW7,{1,2,3,4,5,6})),SUM(BP7:BW7))</f>
        <v>28.000001500000003</v>
      </c>
      <c r="AY7" s="167">
        <f t="shared" si="10"/>
        <v>1500.0000033182914</v>
      </c>
      <c r="AZ7" s="168">
        <f>IF(ISNA(VLOOKUP($AV7,'Race 1'!$A$6:$D$14,2,FALSE)),"",VLOOKUP($AV7,'Race 1'!$A$6:$D$14,2,FALSE))</f>
        <v>9</v>
      </c>
      <c r="BA7" s="168">
        <f>IF(ISNA(VLOOKUP($AV7,'Race 2'!$A$6:$D$14,2,FALSE)),"",VLOOKUP($AV7,'Race 2'!$A$6:$D$14,2,FALSE))</f>
        <v>7</v>
      </c>
      <c r="BB7" s="168">
        <f>IF(ISNA(VLOOKUP($AV7,'Race 3'!$A$6:$D$14,2,FALSE)),"",VLOOKUP($AV7,'Race 3'!$A$6:$D$14,2,FALSE))</f>
        <v>3</v>
      </c>
      <c r="BC7" s="168">
        <f>IF(ISNA(VLOOKUP($AV7,'Race 4'!$A$6:$D$14,2,FALSE)),"",VLOOKUP($AV7,'Race 4'!$A$6:$D$14,2,FALSE))</f>
        <v>9</v>
      </c>
      <c r="BD7" s="168" t="str">
        <f>IF(ISNA(VLOOKUP($AV7,'Race 5'!$A$6:$D$14,2,FALSE)),"",VLOOKUP($AV7,'Race 5'!$A$6:$D$14,2,FALSE))</f>
        <v/>
      </c>
      <c r="BE7" s="168" t="str">
        <f>IF(ISNA(VLOOKUP($AV7,'Race 6'!$A$6:$D$14,2,FALSE)),"",VLOOKUP($AV7,'Race 6'!$A$6:$D$14,2,FALSE))</f>
        <v/>
      </c>
      <c r="BF7" s="168" t="str">
        <f>IF(ISNA(VLOOKUP($AV7,'Race 7'!$A$6:$D$14,2,FALSE)),"",VLOOKUP($AV7,'Race 7'!$A$6:$D$14,2,FALSE))</f>
        <v/>
      </c>
      <c r="BG7" s="168" t="str">
        <f>IF(ISNA(VLOOKUP($AV7,'Race 8'!$A$6:$D$14,2,FALSE)),"",VLOOKUP($AV7,'Race 8'!$A$6:$D$14,2,FALSE))</f>
        <v/>
      </c>
      <c r="BH7" s="168">
        <f>IF(ISNA(VLOOKUP($AV7,'Race 1'!$A$6:$D$14,4,FALSE)),"",VLOOKUP($AV7,'Race 1'!$A$6:$D$14,4,FALSE))</f>
        <v>483</v>
      </c>
      <c r="BI7" s="168">
        <f>IF(ISNA(VLOOKUP($AV7,'Race 2'!$A$6:$D$14,4,FALSE)),"",VLOOKUP($AV7,'Race 2'!$A$6:$D$14,4,FALSE))</f>
        <v>400</v>
      </c>
      <c r="BJ7" s="168">
        <f>IF(ISNA(VLOOKUP($AV7,'Race 3'!$A$6:$D$14,4,FALSE)),"",VLOOKUP($AV7,'Race 3'!$A$6:$D$14,4,FALSE))</f>
        <v>187</v>
      </c>
      <c r="BK7" s="168">
        <f>IF(ISNA(VLOOKUP($AV7,'Race 4'!$A$6:$D$14,4,FALSE)),"",VLOOKUP($AV7,'Race 4'!$A$6:$D$14,4,FALSE))</f>
        <v>430</v>
      </c>
      <c r="BL7" s="168" t="str">
        <f>IF(ISNA(VLOOKUP($AV7,'Race 5'!$A$6:$D$14,4,FALSE)),"",VLOOKUP($AV7,'Race 5'!$A$6:$D$14,4,FALSE))</f>
        <v/>
      </c>
      <c r="BM7" s="168" t="str">
        <f>IF(ISNA(VLOOKUP($AV7,'Race 6'!$A$6:$D$14,4,FALSE)),"",VLOOKUP($AV7,'Race 6'!$A$6:$D$14,4,FALSE))</f>
        <v/>
      </c>
      <c r="BN7" s="168" t="str">
        <f>IF(ISNA(VLOOKUP($AV7,'Race 7'!$A$6:$D$14,4,FALSE)),"",VLOOKUP($AV7,'Race 7'!$A$6:$D$14,4,FALSE))</f>
        <v/>
      </c>
      <c r="BO7" s="168" t="str">
        <f>IF(ISNA(VLOOKUP($AV7,'Race 8'!$A$6:$D$14,4,FALSE)),"",VLOOKUP($AV7,'Race 8'!$A$6:$D$14,4,FALSE))</f>
        <v/>
      </c>
      <c r="BP7" s="169">
        <f t="shared" si="0"/>
        <v>9.0000004830000009</v>
      </c>
      <c r="BQ7" s="169">
        <f t="shared" si="1"/>
        <v>7.0000004000000002</v>
      </c>
      <c r="BR7" s="169">
        <f t="shared" si="2"/>
        <v>3.0000001869999999</v>
      </c>
      <c r="BS7" s="169">
        <f t="shared" si="3"/>
        <v>9.0000004300000001</v>
      </c>
      <c r="BT7" s="169" t="str">
        <f t="shared" si="4"/>
        <v/>
      </c>
      <c r="BU7" s="169" t="str">
        <f t="shared" si="5"/>
        <v/>
      </c>
      <c r="BV7" s="169" t="str">
        <f t="shared" si="6"/>
        <v/>
      </c>
      <c r="BW7" s="169" t="str">
        <f t="shared" si="6"/>
        <v/>
      </c>
      <c r="BX7" s="154">
        <f t="shared" si="8"/>
        <v>21500.0000033182</v>
      </c>
      <c r="BY7" s="160">
        <f t="shared" si="9"/>
        <v>8</v>
      </c>
      <c r="BZ7" s="154">
        <f>(COUNTIF($BY7:BY$11,BY7)+-1)*0.1+BY7</f>
        <v>8</v>
      </c>
    </row>
    <row r="8" spans="1:78" x14ac:dyDescent="0.25">
      <c r="A8" s="160">
        <v>3</v>
      </c>
      <c r="B8" s="160">
        <f t="shared" si="29"/>
        <v>3</v>
      </c>
      <c r="C8" s="160">
        <f t="shared" si="11"/>
        <v>3</v>
      </c>
      <c r="D8" s="154" t="str">
        <f t="shared" si="12"/>
        <v>Barking Road Runners</v>
      </c>
      <c r="E8" s="154" t="str">
        <f t="shared" si="30"/>
        <v>19</v>
      </c>
      <c r="F8" s="154" t="str">
        <f t="shared" si="31"/>
        <v>1212</v>
      </c>
      <c r="G8" s="154" t="str">
        <f t="shared" si="13"/>
        <v>5</v>
      </c>
      <c r="H8" s="154" t="str">
        <f t="shared" si="14"/>
        <v>330</v>
      </c>
      <c r="I8" s="154" t="str">
        <f t="shared" si="15"/>
        <v>3</v>
      </c>
      <c r="J8" s="154" t="str">
        <f t="shared" si="16"/>
        <v>198</v>
      </c>
      <c r="K8" s="154" t="str">
        <f t="shared" si="17"/>
        <v>6</v>
      </c>
      <c r="L8" s="154" t="str">
        <f t="shared" si="18"/>
        <v>379</v>
      </c>
      <c r="M8" s="154" t="str">
        <f t="shared" si="19"/>
        <v>5</v>
      </c>
      <c r="N8" s="154" t="str">
        <f t="shared" si="20"/>
        <v>305</v>
      </c>
      <c r="O8" s="154" t="str">
        <f t="shared" si="21"/>
        <v/>
      </c>
      <c r="P8" s="154" t="str">
        <f t="shared" si="22"/>
        <v/>
      </c>
      <c r="Q8" s="154" t="str">
        <f t="shared" si="23"/>
        <v/>
      </c>
      <c r="R8" s="154" t="str">
        <f t="shared" si="24"/>
        <v/>
      </c>
      <c r="S8" s="154" t="str">
        <f t="shared" si="25"/>
        <v/>
      </c>
      <c r="T8" s="154" t="str">
        <f t="shared" si="26"/>
        <v/>
      </c>
      <c r="U8" s="154" t="str">
        <f t="shared" si="27"/>
        <v/>
      </c>
      <c r="V8" s="154" t="str">
        <f t="shared" si="28"/>
        <v/>
      </c>
      <c r="W8" s="160" t="s">
        <v>1233</v>
      </c>
      <c r="X8" t="s">
        <v>63</v>
      </c>
      <c r="Y8">
        <v>3</v>
      </c>
      <c r="Z8">
        <v>6</v>
      </c>
      <c r="AA8">
        <v>315</v>
      </c>
      <c r="AB8" t="s">
        <v>2192</v>
      </c>
      <c r="AC8" t="s">
        <v>1813</v>
      </c>
      <c r="AD8">
        <v>4</v>
      </c>
      <c r="AE8" t="s">
        <v>408</v>
      </c>
      <c r="AF8" t="s">
        <v>1813</v>
      </c>
      <c r="AG8">
        <v>14</v>
      </c>
      <c r="AH8" t="s">
        <v>244</v>
      </c>
      <c r="AI8" t="s">
        <v>1813</v>
      </c>
      <c r="AJ8">
        <v>22</v>
      </c>
      <c r="AK8" t="s">
        <v>1895</v>
      </c>
      <c r="AL8" t="s">
        <v>1814</v>
      </c>
      <c r="AM8">
        <v>75</v>
      </c>
      <c r="AN8" t="s">
        <v>1410</v>
      </c>
      <c r="AO8" t="s">
        <v>1814</v>
      </c>
      <c r="AP8">
        <v>93</v>
      </c>
      <c r="AQ8" t="s">
        <v>1751</v>
      </c>
      <c r="AR8" t="s">
        <v>1814</v>
      </c>
      <c r="AS8">
        <v>107</v>
      </c>
      <c r="AU8" s="154" t="str">
        <f t="shared" si="7"/>
        <v>M6</v>
      </c>
      <c r="AV8" s="162" t="s">
        <v>38</v>
      </c>
      <c r="AW8" s="154">
        <f>IF(ISNUMBER(SUM(SMALL(AZ8:BG8,{1,2,3,4,5,6}))),SUM(SMALL(AZ8:BG8,{1,2,3,4,5,6})),SUM(AZ8:BG8))</f>
        <v>21</v>
      </c>
      <c r="AX8" s="154">
        <f>IF(ISNUMBER(SUM(SMALL(BP8:BW8,{1,2,3,4,5,6}))),SUM(SMALL(BP8:BW8,{1,2,3,4,5,6})),SUM(BP8:BW8))</f>
        <v>21.000001480000002</v>
      </c>
      <c r="AY8" s="167">
        <f t="shared" si="10"/>
        <v>1480.000001663484</v>
      </c>
      <c r="AZ8" s="168">
        <f>IF(ISNA(VLOOKUP($AV8,'Race 1'!$A$6:$D$14,2,FALSE)),"",VLOOKUP($AV8,'Race 1'!$A$6:$D$14,2,FALSE))</f>
        <v>4</v>
      </c>
      <c r="BA8" s="168">
        <f>IF(ISNA(VLOOKUP($AV8,'Race 2'!$A$6:$D$14,2,FALSE)),"",VLOOKUP($AV8,'Race 2'!$A$6:$D$14,2,FALSE))</f>
        <v>4</v>
      </c>
      <c r="BB8" s="168">
        <f>IF(ISNA(VLOOKUP($AV8,'Race 3'!$A$6:$D$14,2,FALSE)),"",VLOOKUP($AV8,'Race 3'!$A$6:$D$14,2,FALSE))</f>
        <v>7</v>
      </c>
      <c r="BC8" s="168">
        <f>IF(ISNA(VLOOKUP($AV8,'Race 4'!$A$6:$D$14,2,FALSE)),"",VLOOKUP($AV8,'Race 4'!$A$6:$D$14,2,FALSE))</f>
        <v>6</v>
      </c>
      <c r="BD8" s="168" t="str">
        <f>IF(ISNA(VLOOKUP($AV8,'Race 5'!$A$6:$D$14,2,FALSE)),"",VLOOKUP($AV8,'Race 5'!$A$6:$D$14,2,FALSE))</f>
        <v/>
      </c>
      <c r="BE8" s="168" t="str">
        <f>IF(ISNA(VLOOKUP($AV8,'Race 6'!$A$6:$D$14,2,FALSE)),"",VLOOKUP($AV8,'Race 6'!$A$6:$D$14,2,FALSE))</f>
        <v/>
      </c>
      <c r="BF8" s="168" t="str">
        <f>IF(ISNA(VLOOKUP($AV8,'Race 7'!$A$6:$D$14,2,FALSE)),"",VLOOKUP($AV8,'Race 7'!$A$6:$D$14,2,FALSE))</f>
        <v/>
      </c>
      <c r="BG8" s="168" t="str">
        <f>IF(ISNA(VLOOKUP($AV8,'Race 8'!$A$6:$D$14,2,FALSE)),"",VLOOKUP($AV8,'Race 8'!$A$6:$D$14,2,FALSE))</f>
        <v/>
      </c>
      <c r="BH8" s="168">
        <f>IF(ISNA(VLOOKUP($AV8,'Race 1'!$A$6:$D$14,4,FALSE)),"",VLOOKUP($AV8,'Race 1'!$A$6:$D$14,4,FALSE))</f>
        <v>320</v>
      </c>
      <c r="BI8" s="168">
        <f>IF(ISNA(VLOOKUP($AV8,'Race 2'!$A$6:$D$14,4,FALSE)),"",VLOOKUP($AV8,'Race 2'!$A$6:$D$14,4,FALSE))</f>
        <v>324</v>
      </c>
      <c r="BJ8" s="168">
        <f>IF(ISNA(VLOOKUP($AV8,'Race 3'!$A$6:$D$14,4,FALSE)),"",VLOOKUP($AV8,'Race 3'!$A$6:$D$14,4,FALSE))</f>
        <v>435</v>
      </c>
      <c r="BK8" s="168">
        <f>IF(ISNA(VLOOKUP($AV8,'Race 4'!$A$6:$D$14,4,FALSE)),"",VLOOKUP($AV8,'Race 4'!$A$6:$D$14,4,FALSE))</f>
        <v>401</v>
      </c>
      <c r="BL8" s="168" t="str">
        <f>IF(ISNA(VLOOKUP($AV8,'Race 5'!$A$6:$D$14,4,FALSE)),"",VLOOKUP($AV8,'Race 5'!$A$6:$D$14,4,FALSE))</f>
        <v/>
      </c>
      <c r="BM8" s="168" t="str">
        <f>IF(ISNA(VLOOKUP($AV8,'Race 6'!$A$6:$D$14,4,FALSE)),"",VLOOKUP($AV8,'Race 6'!$A$6:$D$14,4,FALSE))</f>
        <v/>
      </c>
      <c r="BN8" s="168" t="str">
        <f>IF(ISNA(VLOOKUP($AV8,'Race 7'!$A$6:$D$14,4,FALSE)),"",VLOOKUP($AV8,'Race 7'!$A$6:$D$14,4,FALSE))</f>
        <v/>
      </c>
      <c r="BO8" s="168" t="str">
        <f>IF(ISNA(VLOOKUP($AV8,'Race 8'!$A$6:$D$14,4,FALSE)),"",VLOOKUP($AV8,'Race 8'!$A$6:$D$14,4,FALSE))</f>
        <v/>
      </c>
      <c r="BP8" s="169">
        <f t="shared" si="0"/>
        <v>4.0000003199999998</v>
      </c>
      <c r="BQ8" s="169">
        <f t="shared" si="1"/>
        <v>4.0000003240000002</v>
      </c>
      <c r="BR8" s="169">
        <f t="shared" si="2"/>
        <v>7.0000004349999996</v>
      </c>
      <c r="BS8" s="169">
        <f t="shared" si="3"/>
        <v>6.0000004010000003</v>
      </c>
      <c r="BT8" s="169" t="str">
        <f t="shared" si="4"/>
        <v/>
      </c>
      <c r="BU8" s="169" t="str">
        <f t="shared" si="5"/>
        <v/>
      </c>
      <c r="BV8" s="169" t="str">
        <f t="shared" si="6"/>
        <v/>
      </c>
      <c r="BW8" s="169" t="str">
        <f t="shared" si="6"/>
        <v/>
      </c>
      <c r="BX8" s="154">
        <f t="shared" si="8"/>
        <v>41480.0000016634</v>
      </c>
      <c r="BY8" s="160">
        <f t="shared" si="9"/>
        <v>6</v>
      </c>
      <c r="BZ8" s="154">
        <f>(COUNTIF($BY8:BY$11,BY8)+-1)*0.1+BY8</f>
        <v>6</v>
      </c>
    </row>
    <row r="9" spans="1:78" x14ac:dyDescent="0.25">
      <c r="A9" s="160">
        <v>4</v>
      </c>
      <c r="B9" s="160">
        <f t="shared" si="29"/>
        <v>4</v>
      </c>
      <c r="C9" s="160">
        <f t="shared" si="11"/>
        <v>4</v>
      </c>
      <c r="D9" s="154" t="str">
        <f t="shared" si="12"/>
        <v>East End Road Runners</v>
      </c>
      <c r="E9" s="154" t="str">
        <f t="shared" si="30"/>
        <v>20</v>
      </c>
      <c r="F9" s="154" t="str">
        <f t="shared" si="31"/>
        <v>1195</v>
      </c>
      <c r="G9" s="154" t="str">
        <f t="shared" si="13"/>
        <v>3</v>
      </c>
      <c r="H9" s="154" t="str">
        <f t="shared" si="14"/>
        <v>315</v>
      </c>
      <c r="I9" s="154" t="str">
        <f t="shared" si="15"/>
        <v>9</v>
      </c>
      <c r="J9" s="154" t="str">
        <f t="shared" si="16"/>
        <v>457</v>
      </c>
      <c r="K9" s="154" t="str">
        <f t="shared" si="17"/>
        <v>4</v>
      </c>
      <c r="L9" s="154" t="str">
        <f t="shared" si="18"/>
        <v>188</v>
      </c>
      <c r="M9" s="154" t="str">
        <f t="shared" si="19"/>
        <v>4</v>
      </c>
      <c r="N9" s="154" t="str">
        <f t="shared" si="20"/>
        <v>235</v>
      </c>
      <c r="O9" s="154" t="str">
        <f t="shared" si="21"/>
        <v/>
      </c>
      <c r="P9" s="154" t="str">
        <f t="shared" si="22"/>
        <v/>
      </c>
      <c r="Q9" s="154" t="str">
        <f t="shared" si="23"/>
        <v/>
      </c>
      <c r="R9" s="154" t="str">
        <f t="shared" si="24"/>
        <v/>
      </c>
      <c r="S9" s="154" t="str">
        <f t="shared" si="25"/>
        <v/>
      </c>
      <c r="T9" s="154" t="str">
        <f t="shared" si="26"/>
        <v/>
      </c>
      <c r="U9" s="154" t="str">
        <f t="shared" si="27"/>
        <v/>
      </c>
      <c r="V9" s="154" t="str">
        <f t="shared" si="28"/>
        <v/>
      </c>
      <c r="W9" s="160" t="s">
        <v>1233</v>
      </c>
      <c r="X9" t="s">
        <v>38</v>
      </c>
      <c r="Y9">
        <v>4</v>
      </c>
      <c r="Z9">
        <v>6</v>
      </c>
      <c r="AA9">
        <v>320</v>
      </c>
      <c r="AB9" t="s">
        <v>2198</v>
      </c>
      <c r="AC9" t="s">
        <v>1813</v>
      </c>
      <c r="AD9">
        <v>27</v>
      </c>
      <c r="AE9" t="s">
        <v>1764</v>
      </c>
      <c r="AF9" t="s">
        <v>1813</v>
      </c>
      <c r="AG9">
        <v>35</v>
      </c>
      <c r="AH9" t="s">
        <v>2202</v>
      </c>
      <c r="AI9" t="s">
        <v>1814</v>
      </c>
      <c r="AJ9">
        <v>45</v>
      </c>
      <c r="AK9" t="s">
        <v>2205</v>
      </c>
      <c r="AL9" t="s">
        <v>1814</v>
      </c>
      <c r="AM9">
        <v>54</v>
      </c>
      <c r="AN9" t="s">
        <v>204</v>
      </c>
      <c r="AO9" t="s">
        <v>1814</v>
      </c>
      <c r="AP9">
        <v>77</v>
      </c>
      <c r="AQ9" t="s">
        <v>841</v>
      </c>
      <c r="AR9" t="s">
        <v>1814</v>
      </c>
      <c r="AS9">
        <v>82</v>
      </c>
      <c r="AU9" s="154" t="str">
        <f t="shared" si="7"/>
        <v>M2</v>
      </c>
      <c r="AV9" s="163" t="s">
        <v>108</v>
      </c>
      <c r="AW9" s="154">
        <f>IF(ISNUMBER(SUM(SMALL(AZ9:BG9,{1,2,3,4,5,6}))),SUM(SMALL(AZ9:BG9,{1,2,3,4,5,6})),SUM(AZ9:BG9))</f>
        <v>7</v>
      </c>
      <c r="AX9" s="154">
        <f>IF(ISNUMBER(SUM(SMALL(BP9:BW9,{1,2,3,4,5,6}))),SUM(SMALL(BP9:BW9,{1,2,3,4,5,6})),SUM(BP9:BW9))</f>
        <v>7.0000004189999991</v>
      </c>
      <c r="AY9" s="167">
        <f t="shared" si="10"/>
        <v>418.99999914107866</v>
      </c>
      <c r="AZ9" s="168">
        <f>IF(ISNA(VLOOKUP($AV9,'Race 1'!$A$6:$D$14,2,FALSE)),"",VLOOKUP($AV9,'Race 1'!$A$6:$D$14,2,FALSE))</f>
        <v>2</v>
      </c>
      <c r="BA9" s="168">
        <f>IF(ISNA(VLOOKUP($AV9,'Race 2'!$A$6:$D$14,2,FALSE)),"",VLOOKUP($AV9,'Race 2'!$A$6:$D$14,2,FALSE))</f>
        <v>2</v>
      </c>
      <c r="BB9" s="168">
        <f>IF(ISNA(VLOOKUP($AV9,'Race 3'!$A$6:$D$14,2,FALSE)),"",VLOOKUP($AV9,'Race 3'!$A$6:$D$14,2,FALSE))</f>
        <v>2</v>
      </c>
      <c r="BC9" s="168">
        <f>IF(ISNA(VLOOKUP($AV9,'Race 4'!$A$6:$D$14,2,FALSE)),"",VLOOKUP($AV9,'Race 4'!$A$6:$D$14,2,FALSE))</f>
        <v>1</v>
      </c>
      <c r="BD9" s="168" t="str">
        <f>IF(ISNA(VLOOKUP($AV9,'Race 5'!$A$6:$D$14,2,FALSE)),"",VLOOKUP($AV9,'Race 5'!$A$6:$D$14,2,FALSE))</f>
        <v/>
      </c>
      <c r="BE9" s="168" t="str">
        <f>IF(ISNA(VLOOKUP($AV9,'Race 6'!$A$6:$D$14,2,FALSE)),"",VLOOKUP($AV9,'Race 6'!$A$6:$D$14,2,FALSE))</f>
        <v/>
      </c>
      <c r="BF9" s="168" t="str">
        <f>IF(ISNA(VLOOKUP($AV9,'Race 7'!$A$6:$D$14,2,FALSE)),"",VLOOKUP($AV9,'Race 7'!$A$6:$D$14,2,FALSE))</f>
        <v/>
      </c>
      <c r="BG9" s="168" t="str">
        <f>IF(ISNA(VLOOKUP($AV9,'Race 8'!$A$6:$D$14,2,FALSE)),"",VLOOKUP($AV9,'Race 8'!$A$6:$D$14,2,FALSE))</f>
        <v/>
      </c>
      <c r="BH9" s="168">
        <f>IF(ISNA(VLOOKUP($AV9,'Race 1'!$A$6:$D$14,4,FALSE)),"",VLOOKUP($AV9,'Race 1'!$A$6:$D$14,4,FALSE))</f>
        <v>98</v>
      </c>
      <c r="BI9" s="168">
        <f>IF(ISNA(VLOOKUP($AV9,'Race 2'!$A$6:$D$14,4,FALSE)),"",VLOOKUP($AV9,'Race 2'!$A$6:$D$14,4,FALSE))</f>
        <v>113</v>
      </c>
      <c r="BJ9" s="168">
        <f>IF(ISNA(VLOOKUP($AV9,'Race 3'!$A$6:$D$14,4,FALSE)),"",VLOOKUP($AV9,'Race 3'!$A$6:$D$14,4,FALSE))</f>
        <v>149</v>
      </c>
      <c r="BK9" s="168">
        <f>IF(ISNA(VLOOKUP($AV9,'Race 4'!$A$6:$D$14,4,FALSE)),"",VLOOKUP($AV9,'Race 4'!$A$6:$D$14,4,FALSE))</f>
        <v>59</v>
      </c>
      <c r="BL9" s="168" t="str">
        <f>IF(ISNA(VLOOKUP($AV9,'Race 5'!$A$6:$D$14,4,FALSE)),"",VLOOKUP($AV9,'Race 5'!$A$6:$D$14,4,FALSE))</f>
        <v/>
      </c>
      <c r="BM9" s="168" t="str">
        <f>IF(ISNA(VLOOKUP($AV9,'Race 6'!$A$6:$D$14,4,FALSE)),"",VLOOKUP($AV9,'Race 6'!$A$6:$D$14,4,FALSE))</f>
        <v/>
      </c>
      <c r="BN9" s="168" t="str">
        <f>IF(ISNA(VLOOKUP($AV9,'Race 7'!$A$6:$D$14,4,FALSE)),"",VLOOKUP($AV9,'Race 7'!$A$6:$D$14,4,FALSE))</f>
        <v/>
      </c>
      <c r="BO9" s="168" t="str">
        <f>IF(ISNA(VLOOKUP($AV9,'Race 8'!$A$6:$D$14,4,FALSE)),"",VLOOKUP($AV9,'Race 8'!$A$6:$D$14,4,FALSE))</f>
        <v/>
      </c>
      <c r="BP9" s="169">
        <f t="shared" si="0"/>
        <v>2.0000000980000001</v>
      </c>
      <c r="BQ9" s="169">
        <f t="shared" si="1"/>
        <v>2.000000113</v>
      </c>
      <c r="BR9" s="169">
        <f t="shared" si="2"/>
        <v>2.0000001489999999</v>
      </c>
      <c r="BS9" s="169">
        <f t="shared" si="3"/>
        <v>1.000000059</v>
      </c>
      <c r="BT9" s="169" t="str">
        <f t="shared" si="4"/>
        <v/>
      </c>
      <c r="BU9" s="169" t="str">
        <f t="shared" si="5"/>
        <v/>
      </c>
      <c r="BV9" s="169" t="str">
        <f t="shared" si="6"/>
        <v/>
      </c>
      <c r="BW9" s="169" t="str">
        <f t="shared" si="6"/>
        <v/>
      </c>
      <c r="BX9" s="154">
        <f t="shared" si="8"/>
        <v>8418.9999991410696</v>
      </c>
      <c r="BY9" s="160">
        <f t="shared" si="9"/>
        <v>2</v>
      </c>
      <c r="BZ9" s="154">
        <f>(COUNTIF($BY9:BY$11,BY9)+-1)*0.1+BY9</f>
        <v>2</v>
      </c>
    </row>
    <row r="10" spans="1:78" x14ac:dyDescent="0.25">
      <c r="A10" s="160">
        <v>5</v>
      </c>
      <c r="B10" s="160">
        <f t="shared" si="29"/>
        <v>5</v>
      </c>
      <c r="C10" s="160">
        <f t="shared" si="11"/>
        <v>5</v>
      </c>
      <c r="D10" s="154" t="str">
        <f t="shared" si="12"/>
        <v>Orion Harriers</v>
      </c>
      <c r="E10" s="154" t="str">
        <f t="shared" si="30"/>
        <v>21</v>
      </c>
      <c r="F10" s="154" t="str">
        <f t="shared" si="31"/>
        <v>1270</v>
      </c>
      <c r="G10" s="154" t="str">
        <f t="shared" si="13"/>
        <v>7</v>
      </c>
      <c r="H10" s="154" t="str">
        <f t="shared" si="14"/>
        <v>433</v>
      </c>
      <c r="I10" s="154" t="str">
        <f t="shared" si="15"/>
        <v>6</v>
      </c>
      <c r="J10" s="154" t="str">
        <f t="shared" si="16"/>
        <v>366</v>
      </c>
      <c r="K10" s="154" t="str">
        <f t="shared" si="17"/>
        <v>5</v>
      </c>
      <c r="L10" s="154" t="str">
        <f t="shared" si="18"/>
        <v>290</v>
      </c>
      <c r="M10" s="154" t="str">
        <f t="shared" si="19"/>
        <v>3</v>
      </c>
      <c r="N10" s="154" t="str">
        <f t="shared" si="20"/>
        <v>181</v>
      </c>
      <c r="O10" s="154" t="str">
        <f t="shared" si="21"/>
        <v/>
      </c>
      <c r="P10" s="154" t="str">
        <f t="shared" si="22"/>
        <v/>
      </c>
      <c r="Q10" s="154" t="str">
        <f t="shared" si="23"/>
        <v/>
      </c>
      <c r="R10" s="154" t="str">
        <f t="shared" si="24"/>
        <v/>
      </c>
      <c r="S10" s="154" t="str">
        <f t="shared" si="25"/>
        <v/>
      </c>
      <c r="T10" s="154" t="str">
        <f t="shared" si="26"/>
        <v/>
      </c>
      <c r="U10" s="154" t="str">
        <f t="shared" si="27"/>
        <v/>
      </c>
      <c r="V10" s="154" t="str">
        <f t="shared" si="28"/>
        <v/>
      </c>
      <c r="W10" s="160" t="s">
        <v>1233</v>
      </c>
      <c r="X10" t="s">
        <v>43</v>
      </c>
      <c r="Y10">
        <v>5</v>
      </c>
      <c r="Z10">
        <v>6</v>
      </c>
      <c r="AA10">
        <v>330</v>
      </c>
      <c r="AB10" t="s">
        <v>565</v>
      </c>
      <c r="AC10" t="s">
        <v>1813</v>
      </c>
      <c r="AD10">
        <v>3</v>
      </c>
      <c r="AE10" t="s">
        <v>1789</v>
      </c>
      <c r="AF10" t="s">
        <v>1814</v>
      </c>
      <c r="AG10">
        <v>28</v>
      </c>
      <c r="AH10" t="s">
        <v>300</v>
      </c>
      <c r="AI10" t="s">
        <v>1814</v>
      </c>
      <c r="AJ10">
        <v>63</v>
      </c>
      <c r="AK10" t="s">
        <v>1155</v>
      </c>
      <c r="AL10" t="s">
        <v>1813</v>
      </c>
      <c r="AM10">
        <v>68</v>
      </c>
      <c r="AN10" t="s">
        <v>269</v>
      </c>
      <c r="AO10" t="s">
        <v>1814</v>
      </c>
      <c r="AP10">
        <v>74</v>
      </c>
      <c r="AQ10" t="s">
        <v>238</v>
      </c>
      <c r="AR10" t="s">
        <v>1814</v>
      </c>
      <c r="AS10">
        <v>94</v>
      </c>
      <c r="AU10" s="154" t="str">
        <f t="shared" si="7"/>
        <v>M5</v>
      </c>
      <c r="AV10" s="163" t="s">
        <v>14</v>
      </c>
      <c r="AW10" s="154">
        <f>IF(ISNUMBER(SUM(SMALL(AZ10:BG10,{1,2,3,4,5,6}))),SUM(SMALL(AZ10:BG10,{1,2,3,4,5,6})),SUM(AZ10:BG10))</f>
        <v>21</v>
      </c>
      <c r="AX10" s="154">
        <f>IF(ISNUMBER(SUM(SMALL(BP10:BW10,{1,2,3,4,5,6}))),SUM(SMALL(BP10:BW10,{1,2,3,4,5,6})),SUM(BP10:BW10))</f>
        <v>21.000001270000002</v>
      </c>
      <c r="AY10" s="167">
        <f t="shared" si="10"/>
        <v>1270.0000020515745</v>
      </c>
      <c r="AZ10" s="168">
        <f>IF(ISNA(VLOOKUP($AV10,'Race 1'!$A$6:$D$14,2,FALSE)),"",VLOOKUP($AV10,'Race 1'!$A$6:$D$14,2,FALSE))</f>
        <v>7</v>
      </c>
      <c r="BA10" s="168">
        <f>IF(ISNA(VLOOKUP($AV10,'Race 2'!$A$6:$D$14,2,FALSE)),"",VLOOKUP($AV10,'Race 2'!$A$6:$D$14,2,FALSE))</f>
        <v>6</v>
      </c>
      <c r="BB10" s="168">
        <f>IF(ISNA(VLOOKUP($AV10,'Race 3'!$A$6:$D$14,2,FALSE)),"",VLOOKUP($AV10,'Race 3'!$A$6:$D$14,2,FALSE))</f>
        <v>5</v>
      </c>
      <c r="BC10" s="168">
        <f>IF(ISNA(VLOOKUP($AV10,'Race 4'!$A$6:$D$14,2,FALSE)),"",VLOOKUP($AV10,'Race 4'!$A$6:$D$14,2,FALSE))</f>
        <v>3</v>
      </c>
      <c r="BD10" s="168" t="str">
        <f>IF(ISNA(VLOOKUP($AV10,'Race 5'!$A$6:$D$14,2,FALSE)),"",VLOOKUP($AV10,'Race 5'!$A$6:$D$14,2,FALSE))</f>
        <v/>
      </c>
      <c r="BE10" s="168" t="str">
        <f>IF(ISNA(VLOOKUP($AV10,'Race 6'!$A$6:$D$14,2,FALSE)),"",VLOOKUP($AV10,'Race 6'!$A$6:$D$14,2,FALSE))</f>
        <v/>
      </c>
      <c r="BF10" s="168" t="str">
        <f>IF(ISNA(VLOOKUP($AV10,'Race 7'!$A$6:$D$14,2,FALSE)),"",VLOOKUP($AV10,'Race 7'!$A$6:$D$14,2,FALSE))</f>
        <v/>
      </c>
      <c r="BG10" s="168" t="str">
        <f>IF(ISNA(VLOOKUP($AV10,'Race 8'!$A$6:$D$14,2,FALSE)),"",VLOOKUP($AV10,'Race 8'!$A$6:$D$14,2,FALSE))</f>
        <v/>
      </c>
      <c r="BH10" s="168">
        <f>IF(ISNA(VLOOKUP($AV10,'Race 1'!$A$6:$D$14,4,FALSE)),"",VLOOKUP($AV10,'Race 1'!$A$6:$D$14,4,FALSE))</f>
        <v>433</v>
      </c>
      <c r="BI10" s="168">
        <f>IF(ISNA(VLOOKUP($AV10,'Race 2'!$A$6:$D$14,4,FALSE)),"",VLOOKUP($AV10,'Race 2'!$A$6:$D$14,4,FALSE))</f>
        <v>366</v>
      </c>
      <c r="BJ10" s="168">
        <f>IF(ISNA(VLOOKUP($AV10,'Race 3'!$A$6:$D$14,4,FALSE)),"",VLOOKUP($AV10,'Race 3'!$A$6:$D$14,4,FALSE))</f>
        <v>290</v>
      </c>
      <c r="BK10" s="168">
        <f>IF(ISNA(VLOOKUP($AV10,'Race 4'!$A$6:$D$14,4,FALSE)),"",VLOOKUP($AV10,'Race 4'!$A$6:$D$14,4,FALSE))</f>
        <v>181</v>
      </c>
      <c r="BL10" s="168" t="str">
        <f>IF(ISNA(VLOOKUP($AV10,'Race 5'!$A$6:$D$14,4,FALSE)),"",VLOOKUP($AV10,'Race 5'!$A$6:$D$14,4,FALSE))</f>
        <v/>
      </c>
      <c r="BM10" s="168" t="str">
        <f>IF(ISNA(VLOOKUP($AV10,'Race 6'!$A$6:$D$14,4,FALSE)),"",VLOOKUP($AV10,'Race 6'!$A$6:$D$14,4,FALSE))</f>
        <v/>
      </c>
      <c r="BN10" s="168" t="str">
        <f>IF(ISNA(VLOOKUP($AV10,'Race 7'!$A$6:$D$14,4,FALSE)),"",VLOOKUP($AV10,'Race 7'!$A$6:$D$14,4,FALSE))</f>
        <v/>
      </c>
      <c r="BO10" s="168" t="str">
        <f>IF(ISNA(VLOOKUP($AV10,'Race 8'!$A$6:$D$14,4,FALSE)),"",VLOOKUP($AV10,'Race 8'!$A$6:$D$14,4,FALSE))</f>
        <v/>
      </c>
      <c r="BP10" s="169">
        <f t="shared" si="0"/>
        <v>7.0000004330000003</v>
      </c>
      <c r="BQ10" s="169">
        <f t="shared" si="1"/>
        <v>6.0000003660000001</v>
      </c>
      <c r="BR10" s="169">
        <f t="shared" si="2"/>
        <v>5.00000029</v>
      </c>
      <c r="BS10" s="169">
        <f t="shared" si="3"/>
        <v>3.0000001809999999</v>
      </c>
      <c r="BT10" s="169" t="str">
        <f t="shared" si="4"/>
        <v/>
      </c>
      <c r="BU10" s="169" t="str">
        <f t="shared" si="5"/>
        <v/>
      </c>
      <c r="BV10" s="169" t="str">
        <f t="shared" si="6"/>
        <v/>
      </c>
      <c r="BW10" s="169" t="str">
        <f t="shared" si="6"/>
        <v/>
      </c>
      <c r="BX10" s="154">
        <f t="shared" si="8"/>
        <v>41270.0000020515</v>
      </c>
      <c r="BY10" s="160">
        <f t="shared" si="9"/>
        <v>5</v>
      </c>
      <c r="BZ10" s="154">
        <f>(COUNTIF($BY10:BY$11,BY10)+-1)*0.1+BY10</f>
        <v>5</v>
      </c>
    </row>
    <row r="11" spans="1:78" x14ac:dyDescent="0.25">
      <c r="A11" s="160">
        <v>6</v>
      </c>
      <c r="B11" s="160">
        <f t="shared" si="29"/>
        <v>6</v>
      </c>
      <c r="C11" s="160">
        <f t="shared" si="11"/>
        <v>6</v>
      </c>
      <c r="D11" s="154" t="str">
        <f t="shared" si="12"/>
        <v>Havering 90 Joggers</v>
      </c>
      <c r="E11" s="154" t="str">
        <f t="shared" si="30"/>
        <v>21</v>
      </c>
      <c r="F11" s="154" t="str">
        <f t="shared" si="31"/>
        <v>1480</v>
      </c>
      <c r="G11" s="154" t="str">
        <f t="shared" si="13"/>
        <v>4</v>
      </c>
      <c r="H11" s="154" t="str">
        <f t="shared" si="14"/>
        <v>320</v>
      </c>
      <c r="I11" s="154" t="str">
        <f t="shared" si="15"/>
        <v>4</v>
      </c>
      <c r="J11" s="154" t="str">
        <f t="shared" si="16"/>
        <v>324</v>
      </c>
      <c r="K11" s="154" t="str">
        <f t="shared" si="17"/>
        <v>7</v>
      </c>
      <c r="L11" s="154" t="str">
        <f t="shared" si="18"/>
        <v>435</v>
      </c>
      <c r="M11" s="154" t="str">
        <f t="shared" si="19"/>
        <v>6</v>
      </c>
      <c r="N11" s="154" t="str">
        <f t="shared" si="20"/>
        <v>401</v>
      </c>
      <c r="O11" s="154" t="str">
        <f t="shared" si="21"/>
        <v/>
      </c>
      <c r="P11" s="154" t="str">
        <f t="shared" si="22"/>
        <v/>
      </c>
      <c r="Q11" s="154" t="str">
        <f t="shared" si="23"/>
        <v/>
      </c>
      <c r="R11" s="154" t="str">
        <f t="shared" si="24"/>
        <v/>
      </c>
      <c r="S11" s="154" t="str">
        <f t="shared" si="25"/>
        <v/>
      </c>
      <c r="T11" s="154" t="str">
        <f t="shared" si="26"/>
        <v/>
      </c>
      <c r="U11" s="154" t="str">
        <f t="shared" si="27"/>
        <v/>
      </c>
      <c r="V11" s="154" t="str">
        <f t="shared" si="28"/>
        <v/>
      </c>
      <c r="W11" s="160" t="s">
        <v>1233</v>
      </c>
      <c r="X11" t="s">
        <v>1805</v>
      </c>
      <c r="Y11">
        <v>6</v>
      </c>
      <c r="Z11">
        <v>6</v>
      </c>
      <c r="AA11">
        <v>355</v>
      </c>
      <c r="AB11" t="s">
        <v>2193</v>
      </c>
      <c r="AC11" t="s">
        <v>1813</v>
      </c>
      <c r="AD11">
        <v>11</v>
      </c>
      <c r="AE11" t="s">
        <v>2028</v>
      </c>
      <c r="AF11" t="s">
        <v>1813</v>
      </c>
      <c r="AG11">
        <v>24</v>
      </c>
      <c r="AH11" t="s">
        <v>2197</v>
      </c>
      <c r="AI11" t="s">
        <v>1813</v>
      </c>
      <c r="AJ11">
        <v>26</v>
      </c>
      <c r="AK11" t="s">
        <v>1779</v>
      </c>
      <c r="AL11" t="s">
        <v>1814</v>
      </c>
      <c r="AM11">
        <v>92</v>
      </c>
      <c r="AN11" t="s">
        <v>2214</v>
      </c>
      <c r="AO11" t="s">
        <v>1814</v>
      </c>
      <c r="AP11">
        <v>96</v>
      </c>
      <c r="AQ11" t="s">
        <v>2217</v>
      </c>
      <c r="AR11" t="s">
        <v>1814</v>
      </c>
      <c r="AS11">
        <v>106</v>
      </c>
      <c r="AU11" s="154" t="str">
        <f t="shared" si="7"/>
        <v>M7</v>
      </c>
      <c r="AV11" s="163" t="s">
        <v>1805</v>
      </c>
      <c r="AW11" s="154">
        <f>IF(ISNUMBER(SUM(SMALL(AZ11:BG11,{1,2,3,4,5,6}))),SUM(SMALL(AZ11:BG11,{1,2,3,4,5,6})),SUM(AZ11:BG11))</f>
        <v>27</v>
      </c>
      <c r="AX11" s="154">
        <f>IF(ISNUMBER(SUM(SMALL(BP11:BW11,{1,2,3,4,5,6}))),SUM(SMALL(BP11:BW11,{1,2,3,4,5,6})),SUM(BP11:BW11))</f>
        <v>27.000001664999999</v>
      </c>
      <c r="AY11" s="167">
        <f>SUM((AX11-AW11)*1000000000)</f>
        <v>1664.9999992068842</v>
      </c>
      <c r="AZ11" s="168">
        <f>IF(ISNA(VLOOKUP($AV11,'Race 1'!$A$6:$D$14,2,FALSE)),"",VLOOKUP($AV11,'Race 1'!$A$6:$D$14,2,FALSE))</f>
        <v>6</v>
      </c>
      <c r="BA11" s="168">
        <f>IF(ISNA(VLOOKUP($AV11,'Race 2'!$A$6:$D$14,2,FALSE)),"",VLOOKUP($AV11,'Race 2'!$A$6:$D$14,2,FALSE))</f>
        <v>5</v>
      </c>
      <c r="BB11" s="168">
        <f>IF(ISNA(VLOOKUP($AV11,'Race 3'!$A$6:$D$14,2,FALSE)),"",VLOOKUP($AV11,'Race 3'!$A$6:$D$14,2,FALSE))</f>
        <v>9</v>
      </c>
      <c r="BC11" s="168">
        <f>IF(ISNA(VLOOKUP($AV11,'Race 4'!$A$6:$D$14,2,FALSE)),"",VLOOKUP($AV11,'Race 4'!$A$6:$D$14,2,FALSE))</f>
        <v>7</v>
      </c>
      <c r="BD11" s="168" t="str">
        <f>IF(ISNA(VLOOKUP($AV11,'Race 5'!$A$6:$D$14,2,FALSE)),"",VLOOKUP($AV11,'Race 5'!$A$6:$D$14,2,FALSE))</f>
        <v/>
      </c>
      <c r="BE11" s="168" t="str">
        <f>IF(ISNA(VLOOKUP($AV11,'Race 6'!$A$6:$D$14,2,FALSE)),"",VLOOKUP($AV11,'Race 6'!$A$6:$D$14,2,FALSE))</f>
        <v/>
      </c>
      <c r="BF11" s="168" t="str">
        <f>IF(ISNA(VLOOKUP($AV11,'Race 7'!$A$6:$D$14,2,FALSE)),"",VLOOKUP($AV11,'Race 7'!$A$6:$D$14,2,FALSE))</f>
        <v/>
      </c>
      <c r="BG11" s="168" t="str">
        <f>IF(ISNA(VLOOKUP($AV11,'Race 8'!$A$6:$D$14,2,FALSE)),"",VLOOKUP($AV11,'Race 8'!$A$6:$D$14,2,FALSE))</f>
        <v/>
      </c>
      <c r="BH11" s="168">
        <f>IF(ISNA(VLOOKUP($AV11,'Race 1'!$A$6:$D$14,4,FALSE)),"",VLOOKUP($AV11,'Race 1'!$A$6:$D$14,4,FALSE))</f>
        <v>355</v>
      </c>
      <c r="BI11" s="168">
        <f>IF(ISNA(VLOOKUP($AV11,'Race 2'!$A$6:$D$14,4,FALSE)),"",VLOOKUP($AV11,'Race 2'!$A$6:$D$14,4,FALSE))</f>
        <v>346</v>
      </c>
      <c r="BJ11" s="168">
        <f>IF(ISNA(VLOOKUP($AV11,'Race 3'!$A$6:$D$14,4,FALSE)),"",VLOOKUP($AV11,'Race 3'!$A$6:$D$14,4,FALSE))</f>
        <v>471</v>
      </c>
      <c r="BK11" s="168">
        <f>IF(ISNA(VLOOKUP($AV11,'Race 4'!$A$6:$D$14,4,FALSE)),"",VLOOKUP($AV11,'Race 4'!$A$6:$D$14,4,FALSE))</f>
        <v>493</v>
      </c>
      <c r="BL11" s="168" t="str">
        <f>IF(ISNA(VLOOKUP($AV11,'Race 5'!$A$6:$D$14,4,FALSE)),"",VLOOKUP($AV11,'Race 5'!$A$6:$D$14,4,FALSE))</f>
        <v/>
      </c>
      <c r="BM11" s="168" t="str">
        <f>IF(ISNA(VLOOKUP($AV11,'Race 6'!$A$6:$D$14,4,FALSE)),"",VLOOKUP($AV11,'Race 6'!$A$6:$D$14,4,FALSE))</f>
        <v/>
      </c>
      <c r="BN11" s="168" t="str">
        <f>IF(ISNA(VLOOKUP($AV11,'Race 7'!$A$6:$D$14,4,FALSE)),"",VLOOKUP($AV11,'Race 7'!$A$6:$D$14,4,FALSE))</f>
        <v/>
      </c>
      <c r="BO11" s="168" t="str">
        <f>IF(ISNA(VLOOKUP($AV11,'Race 8'!$A$6:$D$14,4,FALSE)),"",VLOOKUP($AV11,'Race 8'!$A$6:$D$14,4,FALSE))</f>
        <v/>
      </c>
      <c r="BP11" s="169">
        <f t="shared" si="0"/>
        <v>6.0000003550000001</v>
      </c>
      <c r="BQ11" s="169">
        <f t="shared" si="1"/>
        <v>5.0000003460000002</v>
      </c>
      <c r="BR11" s="169">
        <f t="shared" si="2"/>
        <v>9.0000004709999999</v>
      </c>
      <c r="BS11" s="169">
        <f t="shared" si="3"/>
        <v>7.0000004929999999</v>
      </c>
      <c r="BT11" s="169" t="str">
        <f t="shared" si="4"/>
        <v/>
      </c>
      <c r="BU11" s="169" t="str">
        <f t="shared" si="5"/>
        <v/>
      </c>
      <c r="BV11" s="169" t="str">
        <f t="shared" si="6"/>
        <v/>
      </c>
      <c r="BW11" s="169" t="str">
        <f t="shared" si="6"/>
        <v/>
      </c>
      <c r="BX11" s="154">
        <f t="shared" si="8"/>
        <v>31664.999999206801</v>
      </c>
      <c r="BY11" s="160">
        <f t="shared" si="9"/>
        <v>7</v>
      </c>
      <c r="BZ11" s="154">
        <f>(COUNTIF($BY11:BY$11,BY11)+-1)*0.1+BY11</f>
        <v>7</v>
      </c>
    </row>
    <row r="12" spans="1:78" x14ac:dyDescent="0.25">
      <c r="A12" s="160">
        <v>7</v>
      </c>
      <c r="B12" s="160">
        <f t="shared" si="29"/>
        <v>7</v>
      </c>
      <c r="C12" s="160">
        <f t="shared" si="11"/>
        <v>7</v>
      </c>
      <c r="D12" s="154" t="str">
        <f t="shared" si="12"/>
        <v>Harold Wood Running Club</v>
      </c>
      <c r="E12" s="154" t="str">
        <f t="shared" si="30"/>
        <v>27</v>
      </c>
      <c r="F12" s="154" t="str">
        <f t="shared" si="31"/>
        <v>1665</v>
      </c>
      <c r="G12" s="154" t="str">
        <f t="shared" si="13"/>
        <v>6</v>
      </c>
      <c r="H12" s="154" t="str">
        <f t="shared" si="14"/>
        <v>355</v>
      </c>
      <c r="I12" s="154" t="str">
        <f t="shared" si="15"/>
        <v>5</v>
      </c>
      <c r="J12" s="154" t="str">
        <f t="shared" si="16"/>
        <v>346</v>
      </c>
      <c r="K12" s="154" t="str">
        <f t="shared" si="17"/>
        <v>9</v>
      </c>
      <c r="L12" s="154" t="str">
        <f t="shared" si="18"/>
        <v>471</v>
      </c>
      <c r="M12" s="154" t="str">
        <f t="shared" si="19"/>
        <v>7</v>
      </c>
      <c r="N12" s="154" t="str">
        <f t="shared" si="20"/>
        <v>493</v>
      </c>
      <c r="O12" s="154" t="str">
        <f t="shared" si="21"/>
        <v/>
      </c>
      <c r="P12" s="154" t="str">
        <f t="shared" si="22"/>
        <v/>
      </c>
      <c r="Q12" s="154" t="str">
        <f t="shared" si="23"/>
        <v/>
      </c>
      <c r="R12" s="154" t="str">
        <f t="shared" si="24"/>
        <v/>
      </c>
      <c r="S12" s="154" t="str">
        <f t="shared" si="25"/>
        <v/>
      </c>
      <c r="T12" s="154" t="str">
        <f t="shared" si="26"/>
        <v/>
      </c>
      <c r="U12" s="154" t="str">
        <f t="shared" si="27"/>
        <v/>
      </c>
      <c r="V12" s="154" t="str">
        <f t="shared" si="28"/>
        <v/>
      </c>
      <c r="W12" s="160" t="s">
        <v>1233</v>
      </c>
      <c r="X12" t="s">
        <v>14</v>
      </c>
      <c r="Y12">
        <v>7</v>
      </c>
      <c r="Z12">
        <v>6</v>
      </c>
      <c r="AA12">
        <v>433</v>
      </c>
      <c r="AB12" t="s">
        <v>1522</v>
      </c>
      <c r="AC12" t="s">
        <v>1814</v>
      </c>
      <c r="AD12">
        <v>41</v>
      </c>
      <c r="AE12" t="s">
        <v>2148</v>
      </c>
      <c r="AF12" t="s">
        <v>1814</v>
      </c>
      <c r="AG12">
        <v>53</v>
      </c>
      <c r="AH12" t="s">
        <v>1911</v>
      </c>
      <c r="AI12" t="s">
        <v>1814</v>
      </c>
      <c r="AJ12">
        <v>64</v>
      </c>
      <c r="AK12" t="s">
        <v>1662</v>
      </c>
      <c r="AL12" t="s">
        <v>1814</v>
      </c>
      <c r="AM12">
        <v>70</v>
      </c>
      <c r="AN12" t="s">
        <v>549</v>
      </c>
      <c r="AO12" t="s">
        <v>1814</v>
      </c>
      <c r="AP12">
        <v>87</v>
      </c>
      <c r="AQ12" t="s">
        <v>421</v>
      </c>
      <c r="AR12" t="s">
        <v>1814</v>
      </c>
      <c r="AS12">
        <v>118</v>
      </c>
      <c r="AU12" s="154"/>
      <c r="AV12" s="154"/>
      <c r="AW12" s="154"/>
      <c r="AX12" s="154"/>
      <c r="AY12" s="167"/>
      <c r="AZ12" s="168"/>
      <c r="BA12" s="168"/>
      <c r="BB12" s="168"/>
      <c r="BC12" s="168"/>
      <c r="BD12" s="168"/>
      <c r="BE12" s="168"/>
      <c r="BF12" s="168"/>
      <c r="BG12" s="168"/>
      <c r="BH12" s="168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</row>
    <row r="13" spans="1:78" x14ac:dyDescent="0.25">
      <c r="A13" s="160">
        <v>8</v>
      </c>
      <c r="B13" s="160">
        <f t="shared" si="29"/>
        <v>8</v>
      </c>
      <c r="C13" s="160">
        <f t="shared" si="11"/>
        <v>8</v>
      </c>
      <c r="D13" s="154" t="str">
        <f t="shared" si="12"/>
        <v>Eton Manor AC</v>
      </c>
      <c r="E13" s="154" t="str">
        <f t="shared" si="30"/>
        <v>28</v>
      </c>
      <c r="F13" s="154" t="str">
        <f t="shared" si="31"/>
        <v>1500</v>
      </c>
      <c r="G13" s="154" t="str">
        <f t="shared" si="13"/>
        <v>9</v>
      </c>
      <c r="H13" s="154" t="str">
        <f t="shared" si="14"/>
        <v>483</v>
      </c>
      <c r="I13" s="154" t="str">
        <f t="shared" si="15"/>
        <v>7</v>
      </c>
      <c r="J13" s="154" t="str">
        <f t="shared" si="16"/>
        <v>400</v>
      </c>
      <c r="K13" s="154" t="str">
        <f t="shared" si="17"/>
        <v>3</v>
      </c>
      <c r="L13" s="154" t="str">
        <f t="shared" si="18"/>
        <v>187</v>
      </c>
      <c r="M13" s="154" t="str">
        <f t="shared" si="19"/>
        <v>9</v>
      </c>
      <c r="N13" s="154" t="str">
        <f t="shared" si="20"/>
        <v>430</v>
      </c>
      <c r="O13" s="154" t="str">
        <f t="shared" si="21"/>
        <v/>
      </c>
      <c r="P13" s="154" t="str">
        <f t="shared" si="22"/>
        <v/>
      </c>
      <c r="Q13" s="154" t="str">
        <f t="shared" si="23"/>
        <v/>
      </c>
      <c r="R13" s="154" t="str">
        <f t="shared" si="24"/>
        <v/>
      </c>
      <c r="S13" s="154" t="str">
        <f t="shared" si="25"/>
        <v/>
      </c>
      <c r="T13" s="154" t="str">
        <f t="shared" si="26"/>
        <v/>
      </c>
      <c r="U13" s="154" t="str">
        <f t="shared" si="27"/>
        <v/>
      </c>
      <c r="V13" s="154" t="str">
        <f t="shared" si="28"/>
        <v/>
      </c>
      <c r="W13" s="160" t="s">
        <v>1233</v>
      </c>
      <c r="X13" t="s">
        <v>155</v>
      </c>
      <c r="Y13">
        <v>8</v>
      </c>
      <c r="Z13">
        <v>6</v>
      </c>
      <c r="AA13">
        <v>438</v>
      </c>
      <c r="AB13" t="s">
        <v>414</v>
      </c>
      <c r="AC13" t="s">
        <v>1814</v>
      </c>
      <c r="AD13">
        <v>38</v>
      </c>
      <c r="AE13" t="s">
        <v>1756</v>
      </c>
      <c r="AF13" t="s">
        <v>1814</v>
      </c>
      <c r="AG13">
        <v>47</v>
      </c>
      <c r="AH13" t="s">
        <v>1404</v>
      </c>
      <c r="AI13" t="s">
        <v>1813</v>
      </c>
      <c r="AJ13">
        <v>80</v>
      </c>
      <c r="AK13" t="s">
        <v>1370</v>
      </c>
      <c r="AL13" t="s">
        <v>1814</v>
      </c>
      <c r="AM13">
        <v>84</v>
      </c>
      <c r="AN13" t="s">
        <v>872</v>
      </c>
      <c r="AO13" t="s">
        <v>1814</v>
      </c>
      <c r="AP13">
        <v>88</v>
      </c>
      <c r="AQ13" t="s">
        <v>1468</v>
      </c>
      <c r="AR13" t="s">
        <v>1814</v>
      </c>
      <c r="AS13">
        <v>101</v>
      </c>
      <c r="AU13" s="154"/>
      <c r="AV13" s="154"/>
      <c r="AW13" s="154"/>
      <c r="AX13" s="154"/>
      <c r="AY13" s="167"/>
      <c r="AZ13" s="168"/>
      <c r="BA13" s="168"/>
      <c r="BB13" s="168"/>
      <c r="BC13" s="168"/>
      <c r="BD13" s="168"/>
      <c r="BE13" s="168"/>
      <c r="BF13" s="168"/>
      <c r="BG13" s="168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</row>
    <row r="14" spans="1:78" x14ac:dyDescent="0.25">
      <c r="A14" s="160">
        <v>9</v>
      </c>
      <c r="B14" s="160">
        <f t="shared" si="29"/>
        <v>9</v>
      </c>
      <c r="C14" s="160">
        <f t="shared" si="11"/>
        <v>9</v>
      </c>
      <c r="D14" s="154" t="str">
        <f t="shared" si="12"/>
        <v>Dagenham 88 Runners</v>
      </c>
      <c r="E14" s="154" t="str">
        <f t="shared" si="30"/>
        <v>32</v>
      </c>
      <c r="F14" s="154" t="str">
        <f t="shared" si="31"/>
        <v>1834</v>
      </c>
      <c r="G14" s="154" t="str">
        <f t="shared" si="13"/>
        <v>8</v>
      </c>
      <c r="H14" s="154" t="str">
        <f t="shared" si="14"/>
        <v>438</v>
      </c>
      <c r="I14" s="154" t="str">
        <f t="shared" si="15"/>
        <v>8</v>
      </c>
      <c r="J14" s="154" t="str">
        <f t="shared" si="16"/>
        <v>429</v>
      </c>
      <c r="K14" s="154" t="str">
        <f t="shared" si="17"/>
        <v>8</v>
      </c>
      <c r="L14" s="154" t="str">
        <f t="shared" si="18"/>
        <v>440</v>
      </c>
      <c r="M14" s="154" t="str">
        <f t="shared" si="19"/>
        <v>8</v>
      </c>
      <c r="N14" s="154" t="str">
        <f t="shared" si="20"/>
        <v>527</v>
      </c>
      <c r="O14" s="154" t="str">
        <f t="shared" si="21"/>
        <v/>
      </c>
      <c r="P14" s="154" t="str">
        <f t="shared" si="22"/>
        <v/>
      </c>
      <c r="Q14" s="154" t="str">
        <f t="shared" si="23"/>
        <v/>
      </c>
      <c r="R14" s="154" t="str">
        <f t="shared" si="24"/>
        <v/>
      </c>
      <c r="S14" s="154" t="str">
        <f t="shared" si="25"/>
        <v/>
      </c>
      <c r="T14" s="154" t="str">
        <f t="shared" si="26"/>
        <v/>
      </c>
      <c r="U14" s="154" t="str">
        <f t="shared" si="27"/>
        <v/>
      </c>
      <c r="V14" s="154" t="str">
        <f t="shared" si="28"/>
        <v/>
      </c>
      <c r="W14" s="160" t="s">
        <v>1233</v>
      </c>
      <c r="X14" t="s">
        <v>154</v>
      </c>
      <c r="Y14">
        <v>9</v>
      </c>
      <c r="Z14">
        <v>5</v>
      </c>
      <c r="AA14">
        <v>483</v>
      </c>
      <c r="AB14" t="s">
        <v>1903</v>
      </c>
      <c r="AC14" t="s">
        <v>1813</v>
      </c>
      <c r="AD14">
        <v>8</v>
      </c>
      <c r="AE14" t="s">
        <v>1720</v>
      </c>
      <c r="AF14" t="s">
        <v>1813</v>
      </c>
      <c r="AG14">
        <v>17</v>
      </c>
      <c r="AH14" t="s">
        <v>301</v>
      </c>
      <c r="AI14" t="s">
        <v>1814</v>
      </c>
      <c r="AJ14">
        <v>43</v>
      </c>
      <c r="AK14" t="s">
        <v>456</v>
      </c>
      <c r="AL14" t="s">
        <v>1814</v>
      </c>
      <c r="AM14">
        <v>119</v>
      </c>
      <c r="AN14" t="s">
        <v>2141</v>
      </c>
      <c r="AO14" t="s">
        <v>1814</v>
      </c>
      <c r="AP14">
        <v>139</v>
      </c>
      <c r="AQ14" t="s">
        <v>1815</v>
      </c>
      <c r="AS14">
        <v>157</v>
      </c>
      <c r="AU14" s="154"/>
      <c r="AV14" s="162" t="s">
        <v>1278</v>
      </c>
      <c r="AW14" s="154"/>
      <c r="AX14" s="154"/>
      <c r="AY14" s="167"/>
      <c r="AZ14" s="168"/>
      <c r="BA14" s="168"/>
      <c r="BB14" s="168"/>
      <c r="BC14" s="168"/>
      <c r="BD14" s="168"/>
      <c r="BE14" s="168"/>
      <c r="BF14" s="168"/>
      <c r="BG14" s="168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</row>
    <row r="15" spans="1:78" x14ac:dyDescent="0.25">
      <c r="A15" s="154"/>
      <c r="B15" s="154"/>
      <c r="C15" s="154"/>
      <c r="D15" s="153" t="s">
        <v>1278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60" t="s">
        <v>1233</v>
      </c>
      <c r="X15" t="s">
        <v>1278</v>
      </c>
      <c r="AU15" s="154" t="str">
        <f>CONCATENATE("F",BZ15)</f>
        <v>F9</v>
      </c>
      <c r="AV15" s="162" t="s">
        <v>43</v>
      </c>
      <c r="AW15" s="154">
        <f>IF(ISNUMBER(SUM(SMALL(AZ15:BG15,{1,2,3,4,5,6}))),SUM(SMALL(AZ15:BG15,{1,2,3,4,5,6})),SUM(AZ15:BG15))</f>
        <v>35</v>
      </c>
      <c r="AX15" s="154">
        <f>IF(ISNUMBER(SUM(SMALL(BP15:BW15,{1,2,3,4,5,6}))),SUM(SMALL(BP15:BW15,{1,2,3,4,5,6})),SUM(BP15:BW15))</f>
        <v>35.000001347000001</v>
      </c>
      <c r="AY15" s="167">
        <f t="shared" ref="AY15:AY23" si="32">SUM((AX15-AW15)*1000000000)</f>
        <v>1347.0000013171557</v>
      </c>
      <c r="AZ15" s="168">
        <f>IF(ISNA(VLOOKUP($AV15,'Race 1'!$A$16:$D$24,2,FALSE)),"",VLOOKUP($AV15,'Race 1'!$A$16:$D$24,2,FALSE))</f>
        <v>9</v>
      </c>
      <c r="BA15" s="168">
        <f>IF(ISNA(VLOOKUP($AV15,'Race 2'!$A$16:$D$24,2,FALSE)),"",VLOOKUP($AV15,'Race 2'!$A$16:$D$24,2,FALSE))</f>
        <v>9</v>
      </c>
      <c r="BB15" s="168">
        <f>IF(ISNA(VLOOKUP($AV15,'Race 3'!$A$16:$D$24,2,FALSE)),"",VLOOKUP($AV15,'Race 3'!$A$16:$D$24,2,FALSE))</f>
        <v>9</v>
      </c>
      <c r="BC15" s="168">
        <f>IF(ISNA(VLOOKUP($AV15,'Race 4'!$A$16:$D$24,2,FALSE)),"",VLOOKUP($AV15,'Race 4'!$A$16:$D$24,2,FALSE))</f>
        <v>8</v>
      </c>
      <c r="BD15" s="168" t="str">
        <f>IF(ISNA(VLOOKUP($AV15,'Race 5'!$A$16:$D$24,2,FALSE)),"",VLOOKUP($AV15,'Race 5'!$A$16:$D$24,2,FALSE))</f>
        <v/>
      </c>
      <c r="BE15" s="168" t="str">
        <f>IF(ISNA(VLOOKUP($AV15,'Race 6'!$A$16:$D$24,2,FALSE)),"",VLOOKUP($AV15,'Race 6'!$A$16:$D$24,2,FALSE))</f>
        <v/>
      </c>
      <c r="BF15" s="168" t="str">
        <f>IF(ISNA(VLOOKUP($AV15,'Race 7'!$A$16:$D$24,2,FALSE)),"",VLOOKUP($AV15,'Race 7'!$A$16:$D$24,2,FALSE))</f>
        <v/>
      </c>
      <c r="BG15" s="168" t="str">
        <f>IF(ISNA(VLOOKUP($AV15,'Race 8'!$A$16:$D$24,2,FALSE)),"",VLOOKUP($AV15,'Race 8'!$A$16:$D$24,2,FALSE))</f>
        <v/>
      </c>
      <c r="BH15" s="168">
        <f>IF(ISNA(VLOOKUP($AV15,'Race 1'!$A$16:$D$24,4,FALSE)),"",VLOOKUP($AV15,'Race 1'!$A$16:$D$24,4,FALSE))</f>
        <v>285</v>
      </c>
      <c r="BI15" s="168">
        <f>IF(ISNA(VLOOKUP($AV15,'Race 2'!$A$16:$D$24,4,FALSE)),"",VLOOKUP($AV15,'Race 2'!$A$16:$D$24,4,FALSE))</f>
        <v>357</v>
      </c>
      <c r="BJ15" s="168">
        <f>IF(ISNA(VLOOKUP($AV15,'Race 3'!$A$16:$D$24,4,FALSE)),"",VLOOKUP($AV15,'Race 3'!$A$16:$D$24,4,FALSE))</f>
        <v>412</v>
      </c>
      <c r="BK15" s="168">
        <f>IF(ISNA(VLOOKUP($AV15,'Race 4'!$A$16:$D$24,4,FALSE)),"",VLOOKUP($AV15,'Race 4'!$A$16:$D$24,4,FALSE))</f>
        <v>293</v>
      </c>
      <c r="BL15" s="168" t="str">
        <f>IF(ISNA(VLOOKUP($AV15,'Race 5'!$A$16:$D$24,4,FALSE)),"",VLOOKUP($AV15,'Race 5'!$A$16:$D$24,4,FALSE))</f>
        <v/>
      </c>
      <c r="BM15" s="168" t="str">
        <f>IF(ISNA(VLOOKUP($AV15,'Race 6'!$A$16:$D$24,4,FALSE)),"",VLOOKUP($AV15,'Race 6'!$A$16:$D$24,4,FALSE))</f>
        <v/>
      </c>
      <c r="BN15" s="168" t="str">
        <f>IF(ISNA(VLOOKUP($AV15,'Race 7'!$A$16:$D$24,4,FALSE)),"",VLOOKUP($AV15,'Race 7'!$A$16:$D$24,4,FALSE))</f>
        <v/>
      </c>
      <c r="BO15" s="168" t="str">
        <f>IF(ISNA(VLOOKUP($AV15,'Race 8'!$A$16:$D$24,4,FALSE)),"",VLOOKUP($AV15,'Race 8'!$A$16:$D$24,4,FALSE))</f>
        <v/>
      </c>
      <c r="BP15" s="169">
        <f t="shared" ref="BP15:BP23" si="33">IF(ISERROR(SUM(AZ15,BH15* 0.000000001)),"",SUM(AZ15,BH15* 0.000000001))</f>
        <v>9.0000002850000005</v>
      </c>
      <c r="BQ15" s="169">
        <f t="shared" ref="BQ15:BQ23" si="34">IF(ISERROR(SUM(BA15,BI15* 0.000000001)),"",SUM(BA15,BI15* 0.000000001))</f>
        <v>9.0000003569999993</v>
      </c>
      <c r="BR15" s="169">
        <f t="shared" ref="BR15:BR23" si="35">IF(ISERROR(SUM(BB15,BJ15* 0.000000001)),"",SUM(BB15,BJ15* 0.000000001))</f>
        <v>9.0000004120000003</v>
      </c>
      <c r="BS15" s="169">
        <f t="shared" ref="BS15:BS23" si="36">IF(ISERROR(SUM(BC15,BK15* 0.000000001)),"",SUM(BC15,BK15* 0.000000001))</f>
        <v>8.0000002929999994</v>
      </c>
      <c r="BT15" s="169" t="str">
        <f t="shared" ref="BT15:BT23" si="37">IF(ISERROR(SUM(BD15,BL15* 0.000000001)),"",SUM(BD15,BL15* 0.000000001))</f>
        <v/>
      </c>
      <c r="BU15" s="169" t="str">
        <f t="shared" ref="BU15:BU23" si="38">IF(ISERROR(SUM(BE15,BM15* 0.000000001)),"",SUM(BE15,BM15* 0.000000001))</f>
        <v/>
      </c>
      <c r="BV15" s="169" t="str">
        <f t="shared" ref="BV15:BW23" si="39">IF(ISERROR(SUM(BF15,BN15* 0.000000001)),"",SUM(BF15,BN15* 0.000000001))</f>
        <v/>
      </c>
      <c r="BW15" s="169" t="str">
        <f t="shared" si="39"/>
        <v/>
      </c>
      <c r="BX15" s="154">
        <f>VALUE(CONCATENATE(RANK(AW15,$AW$15:$AW$23,0),AY15))</f>
        <v>11347.000001317099</v>
      </c>
      <c r="BY15" s="160">
        <f>(RANK(AX15,$AX$15:$AX$23,1))</f>
        <v>9</v>
      </c>
      <c r="BZ15" s="154">
        <f>(COUNTIF($BY$15:BY15,BY15)-1)*0.1+BY15</f>
        <v>9</v>
      </c>
    </row>
    <row r="16" spans="1:78" x14ac:dyDescent="0.25">
      <c r="A16" s="160">
        <v>1</v>
      </c>
      <c r="B16" s="160">
        <f>SMALL($BZ$15:$BZ$23,A16)</f>
        <v>1</v>
      </c>
      <c r="C16" s="160">
        <f t="shared" ref="C16:C24" si="40">VLOOKUP(CONCATENATE("F",$B16),Team_Overall,31,FALSE)</f>
        <v>1</v>
      </c>
      <c r="D16" s="154" t="str">
        <f t="shared" ref="D16:D24" si="41">VLOOKUP(CONCATENATE("F",$B16),Team_Overall,2,FALSE)</f>
        <v>East London Runners</v>
      </c>
      <c r="E16" s="154" t="str">
        <f t="shared" ref="E16:E24" si="42">TEXT(VLOOKUP(CONCATENATE("F",$B16),Team_Overall,3,FALSE),"0")</f>
        <v>4</v>
      </c>
      <c r="F16" s="154" t="str">
        <f t="shared" ref="F16:F24" si="43">TEXT(VLOOKUP(CONCATENATE("F",$B16),Team_Overall,5,FALSE),"0")</f>
        <v>58</v>
      </c>
      <c r="G16" s="154" t="str">
        <f t="shared" ref="G16:G24" si="44">TEXT(VLOOKUP(CONCATENATE("F",$B16),Team_Overall,6,FALSE),"0")</f>
        <v>1</v>
      </c>
      <c r="H16" s="154" t="str">
        <f t="shared" ref="H16:H24" si="45">TEXT(VLOOKUP(CONCATENATE("F",$B16),Team_Overall,14,FALSE),"0")</f>
        <v>13</v>
      </c>
      <c r="I16" s="154" t="str">
        <f t="shared" ref="I16:I24" si="46">TEXT(VLOOKUP(CONCATENATE("F",$B16),Team_Overall,7,FALSE),"0")</f>
        <v>1</v>
      </c>
      <c r="J16" s="154" t="str">
        <f t="shared" ref="J16:J24" si="47">TEXT(VLOOKUP(CONCATENATE("F",$B16),Team_Overall,15,FALSE),"0")</f>
        <v>14</v>
      </c>
      <c r="K16" s="154" t="str">
        <f t="shared" ref="K16:K24" si="48">TEXT(VLOOKUP(CONCATENATE("F",$B16),Team_Overall,8,FALSE),"0")</f>
        <v>1</v>
      </c>
      <c r="L16" s="154" t="str">
        <f t="shared" ref="L16:L24" si="49">TEXT(VLOOKUP(CONCATENATE("F",$B16),Team_Overall,16,FALSE),"0")</f>
        <v>18</v>
      </c>
      <c r="M16" s="154" t="str">
        <f t="shared" ref="M16:M24" si="50">TEXT(VLOOKUP(CONCATENATE("F",$B16),Team_Overall,9,FALSE),"0")</f>
        <v>1</v>
      </c>
      <c r="N16" s="154" t="str">
        <f t="shared" ref="N16:N24" si="51">TEXT(VLOOKUP(CONCATENATE("F",$B16),Team_Overall,17,FALSE),"0")</f>
        <v>13</v>
      </c>
      <c r="O16" s="154" t="str">
        <f t="shared" ref="O16:O24" si="52">TEXT(VLOOKUP(CONCATENATE("F",$B16),Team_Overall,10,FALSE),"0")</f>
        <v/>
      </c>
      <c r="P16" s="154" t="str">
        <f t="shared" ref="P16:P24" si="53">TEXT(VLOOKUP(CONCATENATE("F",$B16),Team_Overall,18,FALSE),"0")</f>
        <v/>
      </c>
      <c r="Q16" s="154" t="str">
        <f t="shared" ref="Q16:Q24" si="54">TEXT(VLOOKUP(CONCATENATE("F",$B16),Team_Overall,11,FALSE),"0")</f>
        <v/>
      </c>
      <c r="R16" s="154" t="str">
        <f t="shared" ref="R16:R24" si="55">TEXT(VLOOKUP(CONCATENATE("F",$B16),Team_Overall,19,FALSE),"0")</f>
        <v/>
      </c>
      <c r="S16" s="154" t="str">
        <f t="shared" ref="S16:S24" si="56">TEXT(VLOOKUP(CONCATENATE("F",$B16),Team_Overall,12,FALSE),"0")</f>
        <v/>
      </c>
      <c r="T16" s="154" t="str">
        <f t="shared" ref="T16:T24" si="57">TEXT(VLOOKUP(CONCATENATE("F",$B16),Team_Overall,20,FALSE),"0")</f>
        <v/>
      </c>
      <c r="U16" s="154" t="str">
        <f t="shared" ref="U16:U24" si="58">TEXT(VLOOKUP(CONCATENATE("F",$B16),Team_Overall,13,FALSE),"0")</f>
        <v/>
      </c>
      <c r="V16" s="154" t="str">
        <f t="shared" ref="V16:V24" si="59">TEXT(VLOOKUP(CONCATENATE("F",$B16),Team_Overall,21,FALSE),"0")</f>
        <v/>
      </c>
      <c r="W16" s="160" t="s">
        <v>1233</v>
      </c>
      <c r="X16" t="s">
        <v>12</v>
      </c>
      <c r="Y16">
        <v>1</v>
      </c>
      <c r="Z16">
        <v>4</v>
      </c>
      <c r="AA16">
        <v>13</v>
      </c>
      <c r="AB16" t="s">
        <v>260</v>
      </c>
      <c r="AC16" t="s">
        <v>1814</v>
      </c>
      <c r="AD16">
        <v>1</v>
      </c>
      <c r="AE16" t="s">
        <v>1323</v>
      </c>
      <c r="AF16" t="s">
        <v>1813</v>
      </c>
      <c r="AG16">
        <v>3</v>
      </c>
      <c r="AH16" t="s">
        <v>2124</v>
      </c>
      <c r="AI16" t="s">
        <v>1814</v>
      </c>
      <c r="AJ16">
        <v>4</v>
      </c>
      <c r="AK16" t="s">
        <v>1450</v>
      </c>
      <c r="AL16" t="s">
        <v>1813</v>
      </c>
      <c r="AM16">
        <v>5</v>
      </c>
      <c r="AU16" s="154" t="str">
        <f t="shared" ref="AU16:AU23" si="60">CONCATENATE("F",BZ16)</f>
        <v>F7</v>
      </c>
      <c r="AV16" s="162" t="s">
        <v>155</v>
      </c>
      <c r="AW16" s="154">
        <f>IF(ISNUMBER(SUM(SMALL(AZ16:BG16,{1,2,3,4,5,6}))),SUM(SMALL(AZ16:BG16,{1,2,3,4,5,6})),SUM(AZ16:BG16))</f>
        <v>29</v>
      </c>
      <c r="AX16" s="154">
        <f>IF(ISNUMBER(SUM(SMALL(BP16:BW16,{1,2,3,4,5,6}))),SUM(SMALL(BP16:BW16,{1,2,3,4,5,6})),SUM(BP16:BW16))</f>
        <v>29.000000790999998</v>
      </c>
      <c r="AY16" s="167">
        <f t="shared" si="32"/>
        <v>790.99999794607356</v>
      </c>
      <c r="AZ16" s="168">
        <f>IF(ISNA(VLOOKUP($AV16,'Race 1'!$A$16:$D$24,2,FALSE)),"",VLOOKUP($AV16,'Race 1'!$A$16:$D$24,2,FALSE))</f>
        <v>8</v>
      </c>
      <c r="BA16" s="168">
        <f>IF(ISNA(VLOOKUP($AV16,'Race 2'!$A$16:$D$24,2,FALSE)),"",VLOOKUP($AV16,'Race 2'!$A$16:$D$24,2,FALSE))</f>
        <v>8</v>
      </c>
      <c r="BB16" s="168">
        <f>IF(ISNA(VLOOKUP($AV16,'Race 3'!$A$16:$D$24,2,FALSE)),"",VLOOKUP($AV16,'Race 3'!$A$16:$D$24,2,FALSE))</f>
        <v>7</v>
      </c>
      <c r="BC16" s="168">
        <f>IF(ISNA(VLOOKUP($AV16,'Race 4'!$A$16:$D$24,2,FALSE)),"",VLOOKUP($AV16,'Race 4'!$A$16:$D$24,2,FALSE))</f>
        <v>6</v>
      </c>
      <c r="BD16" s="168" t="str">
        <f>IF(ISNA(VLOOKUP($AV16,'Race 5'!$A$16:$D$24,2,FALSE)),"",VLOOKUP($AV16,'Race 5'!$A$16:$D$24,2,FALSE))</f>
        <v/>
      </c>
      <c r="BE16" s="168" t="str">
        <f>IF(ISNA(VLOOKUP($AV16,'Race 6'!$A$16:$D$24,2,FALSE)),"",VLOOKUP($AV16,'Race 6'!$A$16:$D$24,2,FALSE))</f>
        <v/>
      </c>
      <c r="BF16" s="168" t="str">
        <f>IF(ISNA(VLOOKUP($AV16,'Race 7'!$A$16:$D$24,2,FALSE)),"",VLOOKUP($AV16,'Race 7'!$A$16:$D$24,2,FALSE))</f>
        <v/>
      </c>
      <c r="BG16" s="168" t="str">
        <f>IF(ISNA(VLOOKUP($AV16,'Race 8'!$A$16:$D$24,2,FALSE)),"",VLOOKUP($AV16,'Race 8'!$A$16:$D$24,2,FALSE))</f>
        <v/>
      </c>
      <c r="BH16" s="168">
        <f>IF(ISNA(VLOOKUP($AV16,'Race 1'!$A$16:$D$24,4,FALSE)),"",VLOOKUP($AV16,'Race 1'!$A$16:$D$24,4,FALSE))</f>
        <v>217</v>
      </c>
      <c r="BI16" s="168">
        <f>IF(ISNA(VLOOKUP($AV16,'Race 2'!$A$16:$D$24,4,FALSE)),"",VLOOKUP($AV16,'Race 2'!$A$16:$D$24,4,FALSE))</f>
        <v>168</v>
      </c>
      <c r="BJ16" s="168">
        <f>IF(ISNA(VLOOKUP($AV16,'Race 3'!$A$16:$D$24,4,FALSE)),"",VLOOKUP($AV16,'Race 3'!$A$16:$D$24,4,FALSE))</f>
        <v>249</v>
      </c>
      <c r="BK16" s="168">
        <f>IF(ISNA(VLOOKUP($AV16,'Race 4'!$A$16:$D$24,4,FALSE)),"",VLOOKUP($AV16,'Race 4'!$A$16:$D$24,4,FALSE))</f>
        <v>157</v>
      </c>
      <c r="BL16" s="168" t="str">
        <f>IF(ISNA(VLOOKUP($AV16,'Race 5'!$A$16:$D$24,4,FALSE)),"",VLOOKUP($AV16,'Race 5'!$A$16:$D$24,4,FALSE))</f>
        <v/>
      </c>
      <c r="BM16" s="168" t="str">
        <f>IF(ISNA(VLOOKUP($AV16,'Race 6'!$A$16:$D$24,4,FALSE)),"",VLOOKUP($AV16,'Race 6'!$A$16:$D$24,4,FALSE))</f>
        <v/>
      </c>
      <c r="BN16" s="168" t="str">
        <f>IF(ISNA(VLOOKUP($AV16,'Race 7'!$A$16:$D$24,4,FALSE)),"",VLOOKUP($AV16,'Race 7'!$A$16:$D$24,4,FALSE))</f>
        <v/>
      </c>
      <c r="BO16" s="168" t="str">
        <f>IF(ISNA(VLOOKUP($AV16,'Race 8'!$A$16:$D$24,4,FALSE)),"",VLOOKUP($AV16,'Race 8'!$A$16:$D$24,4,FALSE))</f>
        <v/>
      </c>
      <c r="BP16" s="169">
        <f t="shared" si="33"/>
        <v>8.0000002170000002</v>
      </c>
      <c r="BQ16" s="169">
        <f t="shared" si="34"/>
        <v>8.0000001679999997</v>
      </c>
      <c r="BR16" s="169">
        <f t="shared" si="35"/>
        <v>7.0000002490000002</v>
      </c>
      <c r="BS16" s="169">
        <f t="shared" si="36"/>
        <v>6.0000001569999997</v>
      </c>
      <c r="BT16" s="169" t="str">
        <f t="shared" si="37"/>
        <v/>
      </c>
      <c r="BU16" s="169" t="str">
        <f t="shared" si="38"/>
        <v/>
      </c>
      <c r="BV16" s="169" t="str">
        <f t="shared" si="39"/>
        <v/>
      </c>
      <c r="BW16" s="169" t="str">
        <f t="shared" si="39"/>
        <v/>
      </c>
      <c r="BX16" s="154">
        <f t="shared" ref="BX16:BX23" si="61">VALUE(CONCATENATE(RANK(AW16,$AW$15:$AW$23,0),AY16))</f>
        <v>2790.9999979460699</v>
      </c>
      <c r="BY16" s="160">
        <f t="shared" ref="BY16:BY23" si="62">(RANK(AX16,$AX$15:$AX$23,1))</f>
        <v>7</v>
      </c>
      <c r="BZ16" s="154">
        <f>(COUNTIF($BY$15:BY16,BY16)-1)*0.1+BY16</f>
        <v>7</v>
      </c>
    </row>
    <row r="17" spans="1:78" x14ac:dyDescent="0.25">
      <c r="A17" s="160">
        <v>2</v>
      </c>
      <c r="B17" s="160">
        <f t="shared" ref="B17:B24" si="63">SMALL($BZ$15:$BZ$23,A17)</f>
        <v>2</v>
      </c>
      <c r="C17" s="160">
        <f t="shared" si="40"/>
        <v>2</v>
      </c>
      <c r="D17" s="154" t="str">
        <f t="shared" si="41"/>
        <v>Eton Manor AC</v>
      </c>
      <c r="E17" s="154" t="str">
        <f t="shared" si="42"/>
        <v>8</v>
      </c>
      <c r="F17" s="154" t="str">
        <f t="shared" si="43"/>
        <v>126</v>
      </c>
      <c r="G17" s="154" t="str">
        <f t="shared" si="44"/>
        <v>2</v>
      </c>
      <c r="H17" s="154" t="str">
        <f t="shared" si="45"/>
        <v>25</v>
      </c>
      <c r="I17" s="154" t="str">
        <f t="shared" si="46"/>
        <v>2</v>
      </c>
      <c r="J17" s="154" t="str">
        <f t="shared" si="47"/>
        <v>33</v>
      </c>
      <c r="K17" s="154" t="str">
        <f t="shared" si="48"/>
        <v>2</v>
      </c>
      <c r="L17" s="154" t="str">
        <f t="shared" si="49"/>
        <v>32</v>
      </c>
      <c r="M17" s="154" t="str">
        <f t="shared" si="50"/>
        <v>2</v>
      </c>
      <c r="N17" s="154" t="str">
        <f t="shared" si="51"/>
        <v>36</v>
      </c>
      <c r="O17" s="154" t="str">
        <f t="shared" si="52"/>
        <v/>
      </c>
      <c r="P17" s="154" t="str">
        <f t="shared" si="53"/>
        <v/>
      </c>
      <c r="Q17" s="154" t="str">
        <f t="shared" si="54"/>
        <v/>
      </c>
      <c r="R17" s="154" t="str">
        <f t="shared" si="55"/>
        <v/>
      </c>
      <c r="S17" s="154" t="str">
        <f t="shared" si="56"/>
        <v/>
      </c>
      <c r="T17" s="154" t="str">
        <f t="shared" si="57"/>
        <v/>
      </c>
      <c r="U17" s="154" t="str">
        <f t="shared" si="58"/>
        <v/>
      </c>
      <c r="V17" s="154" t="str">
        <f t="shared" si="59"/>
        <v/>
      </c>
      <c r="W17" s="160" t="s">
        <v>1233</v>
      </c>
      <c r="X17" t="s">
        <v>154</v>
      </c>
      <c r="Y17">
        <v>2</v>
      </c>
      <c r="Z17">
        <v>4</v>
      </c>
      <c r="AA17">
        <v>25</v>
      </c>
      <c r="AB17" t="s">
        <v>1956</v>
      </c>
      <c r="AC17" t="s">
        <v>1814</v>
      </c>
      <c r="AD17">
        <v>2</v>
      </c>
      <c r="AE17" t="s">
        <v>1883</v>
      </c>
      <c r="AF17" t="s">
        <v>1814</v>
      </c>
      <c r="AG17">
        <v>6</v>
      </c>
      <c r="AH17" t="s">
        <v>365</v>
      </c>
      <c r="AI17" t="s">
        <v>1814</v>
      </c>
      <c r="AJ17">
        <v>8</v>
      </c>
      <c r="AK17" t="s">
        <v>1928</v>
      </c>
      <c r="AL17" t="s">
        <v>1814</v>
      </c>
      <c r="AM17">
        <v>9</v>
      </c>
      <c r="AU17" s="154" t="str">
        <f t="shared" si="60"/>
        <v>F5</v>
      </c>
      <c r="AV17" s="163" t="s">
        <v>63</v>
      </c>
      <c r="AW17" s="154">
        <f>IF(ISNUMBER(SUM(SMALL(AZ17:BG17,{1,2,3,4,5,6}))),SUM(SMALL(AZ17:BG17,{1,2,3,4,5,6})),SUM(AZ17:BG17))</f>
        <v>18</v>
      </c>
      <c r="AX17" s="154">
        <f>IF(ISNUMBER(SUM(SMALL(BP17:BW17,{1,2,3,4,5,6}))),SUM(SMALL(BP17:BW17,{1,2,3,4,5,6})),SUM(BP17:BW17))</f>
        <v>18.000000409000002</v>
      </c>
      <c r="AY17" s="167">
        <f t="shared" si="32"/>
        <v>409.00000186638863</v>
      </c>
      <c r="AZ17" s="168">
        <f>IF(ISNA(VLOOKUP($AV17,'Race 1'!$A$16:$D$24,2,FALSE)),"",VLOOKUP($AV17,'Race 1'!$A$16:$D$24,2,FALSE))</f>
        <v>4</v>
      </c>
      <c r="BA17" s="168">
        <f>IF(ISNA(VLOOKUP($AV17,'Race 2'!$A$16:$D$24,2,FALSE)),"",VLOOKUP($AV17,'Race 2'!$A$16:$D$24,2,FALSE))</f>
        <v>4</v>
      </c>
      <c r="BB17" s="168">
        <f>IF(ISNA(VLOOKUP($AV17,'Race 3'!$A$16:$D$24,2,FALSE)),"",VLOOKUP($AV17,'Race 3'!$A$16:$D$24,2,FALSE))</f>
        <v>5</v>
      </c>
      <c r="BC17" s="168">
        <f>IF(ISNA(VLOOKUP($AV17,'Race 4'!$A$16:$D$24,2,FALSE)),"",VLOOKUP($AV17,'Race 4'!$A$16:$D$24,2,FALSE))</f>
        <v>5</v>
      </c>
      <c r="BD17" s="168" t="str">
        <f>IF(ISNA(VLOOKUP($AV17,'Race 5'!$A$16:$D$24,2,FALSE)),"",VLOOKUP($AV17,'Race 5'!$A$16:$D$24,2,FALSE))</f>
        <v/>
      </c>
      <c r="BE17" s="168" t="str">
        <f>IF(ISNA(VLOOKUP($AV17,'Race 6'!$A$16:$D$24,2,FALSE)),"",VLOOKUP($AV17,'Race 6'!$A$16:$D$24,2,FALSE))</f>
        <v/>
      </c>
      <c r="BF17" s="168" t="str">
        <f>IF(ISNA(VLOOKUP($AV17,'Race 7'!$A$16:$D$24,2,FALSE)),"",VLOOKUP($AV17,'Race 7'!$A$16:$D$24,2,FALSE))</f>
        <v/>
      </c>
      <c r="BG17" s="168" t="str">
        <f>IF(ISNA(VLOOKUP($AV17,'Race 8'!$A$16:$D$24,2,FALSE)),"",VLOOKUP($AV17,'Race 8'!$A$16:$D$24,2,FALSE))</f>
        <v/>
      </c>
      <c r="BH17" s="168">
        <f>IF(ISNA(VLOOKUP($AV17,'Race 1'!$A$16:$D$24,4,FALSE)),"",VLOOKUP($AV17,'Race 1'!$A$16:$D$24,4,FALSE))</f>
        <v>113</v>
      </c>
      <c r="BI17" s="168">
        <f>IF(ISNA(VLOOKUP($AV17,'Race 2'!$A$16:$D$24,4,FALSE)),"",VLOOKUP($AV17,'Race 2'!$A$16:$D$24,4,FALSE))</f>
        <v>77</v>
      </c>
      <c r="BJ17" s="168">
        <f>IF(ISNA(VLOOKUP($AV17,'Race 3'!$A$16:$D$24,4,FALSE)),"",VLOOKUP($AV17,'Race 3'!$A$16:$D$24,4,FALSE))</f>
        <v>109</v>
      </c>
      <c r="BK17" s="168">
        <f>IF(ISNA(VLOOKUP($AV17,'Race 4'!$A$16:$D$24,4,FALSE)),"",VLOOKUP($AV17,'Race 4'!$A$16:$D$24,4,FALSE))</f>
        <v>110</v>
      </c>
      <c r="BL17" s="168" t="str">
        <f>IF(ISNA(VLOOKUP($AV17,'Race 5'!$A$16:$D$24,4,FALSE)),"",VLOOKUP($AV17,'Race 5'!$A$16:$D$24,4,FALSE))</f>
        <v/>
      </c>
      <c r="BM17" s="168" t="str">
        <f>IF(ISNA(VLOOKUP($AV17,'Race 6'!$A$16:$D$24,4,FALSE)),"",VLOOKUP($AV17,'Race 6'!$A$16:$D$24,4,FALSE))</f>
        <v/>
      </c>
      <c r="BN17" s="168" t="str">
        <f>IF(ISNA(VLOOKUP($AV17,'Race 7'!$A$16:$D$24,4,FALSE)),"",VLOOKUP($AV17,'Race 7'!$A$16:$D$24,4,FALSE))</f>
        <v/>
      </c>
      <c r="BO17" s="168" t="str">
        <f>IF(ISNA(VLOOKUP($AV17,'Race 8'!$A$16:$D$24,4,FALSE)),"",VLOOKUP($AV17,'Race 8'!$A$16:$D$24,4,FALSE))</f>
        <v/>
      </c>
      <c r="BP17" s="169">
        <f t="shared" si="33"/>
        <v>4.0000001129999996</v>
      </c>
      <c r="BQ17" s="169">
        <f t="shared" si="34"/>
        <v>4.0000000770000002</v>
      </c>
      <c r="BR17" s="169">
        <f t="shared" si="35"/>
        <v>5.0000001090000001</v>
      </c>
      <c r="BS17" s="169">
        <f t="shared" si="36"/>
        <v>5.0000001100000002</v>
      </c>
      <c r="BT17" s="169" t="str">
        <f t="shared" si="37"/>
        <v/>
      </c>
      <c r="BU17" s="169" t="str">
        <f t="shared" si="38"/>
        <v/>
      </c>
      <c r="BV17" s="169" t="str">
        <f t="shared" si="39"/>
        <v/>
      </c>
      <c r="BW17" s="169" t="str">
        <f t="shared" si="39"/>
        <v/>
      </c>
      <c r="BX17" s="154">
        <f t="shared" si="61"/>
        <v>5409.0000018663804</v>
      </c>
      <c r="BY17" s="160">
        <f t="shared" si="62"/>
        <v>5</v>
      </c>
      <c r="BZ17" s="154">
        <f>(COUNTIF($BY$15:BY17,BY17)-1)*0.1+BY17</f>
        <v>5</v>
      </c>
    </row>
    <row r="18" spans="1:78" x14ac:dyDescent="0.25">
      <c r="A18" s="160">
        <v>3</v>
      </c>
      <c r="B18" s="160">
        <f t="shared" si="63"/>
        <v>3</v>
      </c>
      <c r="C18" s="160">
        <f t="shared" si="40"/>
        <v>3</v>
      </c>
      <c r="D18" s="154" t="str">
        <f t="shared" si="41"/>
        <v>Ilford AC</v>
      </c>
      <c r="E18" s="154" t="str">
        <f t="shared" si="42"/>
        <v>13</v>
      </c>
      <c r="F18" s="154" t="str">
        <f t="shared" si="43"/>
        <v>229</v>
      </c>
      <c r="G18" s="154" t="str">
        <f t="shared" si="44"/>
        <v>3</v>
      </c>
      <c r="H18" s="154" t="str">
        <f t="shared" si="45"/>
        <v>43</v>
      </c>
      <c r="I18" s="154" t="str">
        <f t="shared" si="46"/>
        <v>3</v>
      </c>
      <c r="J18" s="154" t="str">
        <f t="shared" si="47"/>
        <v>68</v>
      </c>
      <c r="K18" s="154" t="str">
        <f t="shared" si="48"/>
        <v>4</v>
      </c>
      <c r="L18" s="154" t="str">
        <f t="shared" si="49"/>
        <v>61</v>
      </c>
      <c r="M18" s="154" t="str">
        <f t="shared" si="50"/>
        <v>3</v>
      </c>
      <c r="N18" s="154" t="str">
        <f t="shared" si="51"/>
        <v>57</v>
      </c>
      <c r="O18" s="154" t="str">
        <f t="shared" si="52"/>
        <v/>
      </c>
      <c r="P18" s="154" t="str">
        <f t="shared" si="53"/>
        <v/>
      </c>
      <c r="Q18" s="154" t="str">
        <f t="shared" si="54"/>
        <v/>
      </c>
      <c r="R18" s="154" t="str">
        <f t="shared" si="55"/>
        <v/>
      </c>
      <c r="S18" s="154" t="str">
        <f t="shared" si="56"/>
        <v/>
      </c>
      <c r="T18" s="154" t="str">
        <f t="shared" si="57"/>
        <v/>
      </c>
      <c r="U18" s="154" t="str">
        <f t="shared" si="58"/>
        <v/>
      </c>
      <c r="V18" s="154" t="str">
        <f t="shared" si="59"/>
        <v/>
      </c>
      <c r="W18" s="160" t="s">
        <v>1233</v>
      </c>
      <c r="X18" t="s">
        <v>108</v>
      </c>
      <c r="Y18">
        <v>3</v>
      </c>
      <c r="Z18">
        <v>4</v>
      </c>
      <c r="AA18">
        <v>43</v>
      </c>
      <c r="AB18" t="s">
        <v>229</v>
      </c>
      <c r="AC18" t="s">
        <v>1814</v>
      </c>
      <c r="AD18">
        <v>7</v>
      </c>
      <c r="AE18" t="s">
        <v>1833</v>
      </c>
      <c r="AF18" t="s">
        <v>1813</v>
      </c>
      <c r="AG18">
        <v>10</v>
      </c>
      <c r="AH18" t="s">
        <v>375</v>
      </c>
      <c r="AI18" t="s">
        <v>1814</v>
      </c>
      <c r="AJ18">
        <v>12</v>
      </c>
      <c r="AK18" t="s">
        <v>2215</v>
      </c>
      <c r="AL18" t="s">
        <v>1814</v>
      </c>
      <c r="AM18">
        <v>14</v>
      </c>
      <c r="AU18" s="154" t="str">
        <f t="shared" si="60"/>
        <v>F1</v>
      </c>
      <c r="AV18" s="163" t="s">
        <v>12</v>
      </c>
      <c r="AW18" s="154">
        <f>IF(ISNUMBER(SUM(SMALL(AZ18:BG18,{1,2,3,4,5,6}))),SUM(SMALL(AZ18:BG18,{1,2,3,4,5,6})),SUM(AZ18:BG18))</f>
        <v>4</v>
      </c>
      <c r="AX18" s="154">
        <f>IF(ISNUMBER(SUM(SMALL(BP18:BW18,{1,2,3,4,5,6}))),SUM(SMALL(BP18:BW18,{1,2,3,4,5,6})),SUM(BP18:BW18))</f>
        <v>4.0000000580000004</v>
      </c>
      <c r="AY18" s="167">
        <f t="shared" si="32"/>
        <v>58.000000358049419</v>
      </c>
      <c r="AZ18" s="168">
        <f>IF(ISNA(VLOOKUP($AV18,'Race 1'!$A$16:$D$24,2,FALSE)),"",VLOOKUP($AV18,'Race 1'!$A$16:$D$24,2,FALSE))</f>
        <v>1</v>
      </c>
      <c r="BA18" s="168">
        <f>IF(ISNA(VLOOKUP($AV18,'Race 2'!$A$16:$D$24,2,FALSE)),"",VLOOKUP($AV18,'Race 2'!$A$16:$D$24,2,FALSE))</f>
        <v>1</v>
      </c>
      <c r="BB18" s="168">
        <f>IF(ISNA(VLOOKUP($AV18,'Race 3'!$A$16:$D$24,2,FALSE)),"",VLOOKUP($AV18,'Race 3'!$A$16:$D$24,2,FALSE))</f>
        <v>1</v>
      </c>
      <c r="BC18" s="168">
        <f>IF(ISNA(VLOOKUP($AV18,'Race 4'!$A$16:$D$24,2,FALSE)),"",VLOOKUP($AV18,'Race 4'!$A$16:$D$24,2,FALSE))</f>
        <v>1</v>
      </c>
      <c r="BD18" s="168" t="str">
        <f>IF(ISNA(VLOOKUP($AV18,'Race 5'!$A$16:$D$24,2,FALSE)),"",VLOOKUP($AV18,'Race 5'!$A$16:$D$24,2,FALSE))</f>
        <v/>
      </c>
      <c r="BE18" s="168" t="str">
        <f>IF(ISNA(VLOOKUP($AV18,'Race 6'!$A$16:$D$24,2,FALSE)),"",VLOOKUP($AV18,'Race 6'!$A$16:$D$24,2,FALSE))</f>
        <v/>
      </c>
      <c r="BF18" s="168" t="str">
        <f>IF(ISNA(VLOOKUP($AV18,'Race 7'!$A$16:$D$24,2,FALSE)),"",VLOOKUP($AV18,'Race 7'!$A$16:$D$24,2,FALSE))</f>
        <v/>
      </c>
      <c r="BG18" s="168" t="str">
        <f>IF(ISNA(VLOOKUP($AV18,'Race 8'!$A$16:$D$24,2,FALSE)),"",VLOOKUP($AV18,'Race 8'!$A$16:$D$24,2,FALSE))</f>
        <v/>
      </c>
      <c r="BH18" s="168">
        <f>IF(ISNA(VLOOKUP($AV18,'Race 1'!$A$16:$D$24,4,FALSE)),"",VLOOKUP($AV18,'Race 1'!$A$16:$D$24,4,FALSE))</f>
        <v>13</v>
      </c>
      <c r="BI18" s="168">
        <f>IF(ISNA(VLOOKUP($AV18,'Race 2'!$A$16:$D$24,4,FALSE)),"",VLOOKUP($AV18,'Race 2'!$A$16:$D$24,4,FALSE))</f>
        <v>14</v>
      </c>
      <c r="BJ18" s="168">
        <f>IF(ISNA(VLOOKUP($AV18,'Race 3'!$A$16:$D$24,4,FALSE)),"",VLOOKUP($AV18,'Race 3'!$A$16:$D$24,4,FALSE))</f>
        <v>18</v>
      </c>
      <c r="BK18" s="168">
        <f>IF(ISNA(VLOOKUP($AV18,'Race 4'!$A$16:$D$24,4,FALSE)),"",VLOOKUP($AV18,'Race 4'!$A$16:$D$24,4,FALSE))</f>
        <v>13</v>
      </c>
      <c r="BL18" s="168" t="str">
        <f>IF(ISNA(VLOOKUP($AV18,'Race 5'!$A$16:$D$24,4,FALSE)),"",VLOOKUP($AV18,'Race 5'!$A$16:$D$24,4,FALSE))</f>
        <v/>
      </c>
      <c r="BM18" s="168" t="str">
        <f>IF(ISNA(VLOOKUP($AV18,'Race 6'!$A$16:$D$24,4,FALSE)),"",VLOOKUP($AV18,'Race 6'!$A$16:$D$24,4,FALSE))</f>
        <v/>
      </c>
      <c r="BN18" s="168" t="str">
        <f>IF(ISNA(VLOOKUP($AV18,'Race 7'!$A$16:$D$24,4,FALSE)),"",VLOOKUP($AV18,'Race 7'!$A$16:$D$24,4,FALSE))</f>
        <v/>
      </c>
      <c r="BO18" s="168" t="str">
        <f>IF(ISNA(VLOOKUP($AV18,'Race 8'!$A$16:$D$24,4,FALSE)),"",VLOOKUP($AV18,'Race 8'!$A$16:$D$24,4,FALSE))</f>
        <v/>
      </c>
      <c r="BP18" s="169">
        <f t="shared" si="33"/>
        <v>1.000000013</v>
      </c>
      <c r="BQ18" s="169">
        <f t="shared" si="34"/>
        <v>1.000000014</v>
      </c>
      <c r="BR18" s="169">
        <f t="shared" si="35"/>
        <v>1.0000000179999999</v>
      </c>
      <c r="BS18" s="169">
        <f t="shared" si="36"/>
        <v>1.000000013</v>
      </c>
      <c r="BT18" s="169" t="str">
        <f t="shared" si="37"/>
        <v/>
      </c>
      <c r="BU18" s="169" t="str">
        <f t="shared" si="38"/>
        <v/>
      </c>
      <c r="BV18" s="169" t="str">
        <f t="shared" si="39"/>
        <v/>
      </c>
      <c r="BW18" s="169" t="str">
        <f t="shared" si="39"/>
        <v/>
      </c>
      <c r="BX18" s="154">
        <f t="shared" si="61"/>
        <v>958.00000035804896</v>
      </c>
      <c r="BY18" s="160">
        <f t="shared" si="62"/>
        <v>1</v>
      </c>
      <c r="BZ18" s="154">
        <f>(COUNTIF($BY$15:BY18,BY18)-1)*0.1+BY18</f>
        <v>1</v>
      </c>
    </row>
    <row r="19" spans="1:78" x14ac:dyDescent="0.25">
      <c r="A19" s="160">
        <v>4</v>
      </c>
      <c r="B19" s="160">
        <f t="shared" si="63"/>
        <v>4</v>
      </c>
      <c r="C19" s="160">
        <f t="shared" si="40"/>
        <v>4</v>
      </c>
      <c r="D19" s="154" t="str">
        <f t="shared" si="41"/>
        <v>Orion Harriers</v>
      </c>
      <c r="E19" s="154" t="str">
        <f t="shared" si="42"/>
        <v>18</v>
      </c>
      <c r="F19" s="154" t="str">
        <f t="shared" si="43"/>
        <v>355</v>
      </c>
      <c r="G19" s="154" t="str">
        <f t="shared" si="44"/>
        <v>5</v>
      </c>
      <c r="H19" s="154" t="str">
        <f t="shared" si="45"/>
        <v>131</v>
      </c>
      <c r="I19" s="154" t="str">
        <f t="shared" si="46"/>
        <v>6</v>
      </c>
      <c r="J19" s="154" t="str">
        <f t="shared" si="47"/>
        <v>119</v>
      </c>
      <c r="K19" s="154" t="str">
        <f t="shared" si="48"/>
        <v>3</v>
      </c>
      <c r="L19" s="154" t="str">
        <f t="shared" si="49"/>
        <v>41</v>
      </c>
      <c r="M19" s="154" t="str">
        <f t="shared" si="50"/>
        <v>4</v>
      </c>
      <c r="N19" s="154" t="str">
        <f t="shared" si="51"/>
        <v>64</v>
      </c>
      <c r="O19" s="154" t="str">
        <f t="shared" si="52"/>
        <v/>
      </c>
      <c r="P19" s="154" t="str">
        <f t="shared" si="53"/>
        <v/>
      </c>
      <c r="Q19" s="154" t="str">
        <f t="shared" si="54"/>
        <v/>
      </c>
      <c r="R19" s="154" t="str">
        <f t="shared" si="55"/>
        <v/>
      </c>
      <c r="S19" s="154" t="str">
        <f t="shared" si="56"/>
        <v/>
      </c>
      <c r="T19" s="154" t="str">
        <f t="shared" si="57"/>
        <v/>
      </c>
      <c r="U19" s="154" t="str">
        <f t="shared" si="58"/>
        <v/>
      </c>
      <c r="V19" s="154" t="str">
        <f t="shared" si="59"/>
        <v/>
      </c>
      <c r="W19" s="160" t="s">
        <v>1233</v>
      </c>
      <c r="X19" t="s">
        <v>63</v>
      </c>
      <c r="Y19">
        <v>4</v>
      </c>
      <c r="Z19">
        <v>4</v>
      </c>
      <c r="AA19">
        <v>113</v>
      </c>
      <c r="AB19" t="s">
        <v>2211</v>
      </c>
      <c r="AC19" t="s">
        <v>1813</v>
      </c>
      <c r="AD19">
        <v>11</v>
      </c>
      <c r="AE19" t="s">
        <v>2147</v>
      </c>
      <c r="AF19" t="s">
        <v>1813</v>
      </c>
      <c r="AG19">
        <v>28</v>
      </c>
      <c r="AH19" t="s">
        <v>251</v>
      </c>
      <c r="AI19" t="s">
        <v>1814</v>
      </c>
      <c r="AJ19">
        <v>29</v>
      </c>
      <c r="AK19" t="s">
        <v>1182</v>
      </c>
      <c r="AL19" t="s">
        <v>1814</v>
      </c>
      <c r="AM19">
        <v>45</v>
      </c>
      <c r="AU19" s="154" t="str">
        <f t="shared" si="60"/>
        <v>F2</v>
      </c>
      <c r="AV19" s="162" t="s">
        <v>154</v>
      </c>
      <c r="AW19" s="154">
        <f>IF(ISNUMBER(SUM(SMALL(AZ19:BG19,{1,2,3,4,5,6}))),SUM(SMALL(AZ19:BG19,{1,2,3,4,5,6})),SUM(AZ19:BG19))</f>
        <v>8</v>
      </c>
      <c r="AX19" s="154">
        <f>IF(ISNUMBER(SUM(SMALL(BP19:BW19,{1,2,3,4,5,6}))),SUM(SMALL(BP19:BW19,{1,2,3,4,5,6})),SUM(BP19:BW19))</f>
        <v>8.0000001259999998</v>
      </c>
      <c r="AY19" s="167">
        <f t="shared" si="32"/>
        <v>125.99999976714571</v>
      </c>
      <c r="AZ19" s="168">
        <f>IF(ISNA(VLOOKUP($AV19,'Race 1'!$A$16:$D$24,2,FALSE)),"",VLOOKUP($AV19,'Race 1'!$A$16:$D$24,2,FALSE))</f>
        <v>2</v>
      </c>
      <c r="BA19" s="168">
        <f>IF(ISNA(VLOOKUP($AV19,'Race 2'!$A$16:$D$24,2,FALSE)),"",VLOOKUP($AV19,'Race 2'!$A$16:$D$24,2,FALSE))</f>
        <v>2</v>
      </c>
      <c r="BB19" s="168">
        <f>IF(ISNA(VLOOKUP($AV19,'Race 3'!$A$16:$D$24,2,FALSE)),"",VLOOKUP($AV19,'Race 3'!$A$16:$D$24,2,FALSE))</f>
        <v>2</v>
      </c>
      <c r="BC19" s="168">
        <f>IF(ISNA(VLOOKUP($AV19,'Race 4'!$A$16:$D$24,2,FALSE)),"",VLOOKUP($AV19,'Race 4'!$A$16:$D$24,2,FALSE))</f>
        <v>2</v>
      </c>
      <c r="BD19" s="168" t="str">
        <f>IF(ISNA(VLOOKUP($AV19,'Race 5'!$A$16:$D$24,2,FALSE)),"",VLOOKUP($AV19,'Race 5'!$A$16:$D$24,2,FALSE))</f>
        <v/>
      </c>
      <c r="BE19" s="168" t="str">
        <f>IF(ISNA(VLOOKUP($AV19,'Race 6'!$A$16:$D$24,2,FALSE)),"",VLOOKUP($AV19,'Race 6'!$A$16:$D$24,2,FALSE))</f>
        <v/>
      </c>
      <c r="BF19" s="168" t="str">
        <f>IF(ISNA(VLOOKUP($AV19,'Race 7'!$A$16:$D$24,2,FALSE)),"",VLOOKUP($AV19,'Race 7'!$A$16:$D$24,2,FALSE))</f>
        <v/>
      </c>
      <c r="BG19" s="168" t="str">
        <f>IF(ISNA(VLOOKUP($AV19,'Race 8'!$A$16:$D$24,2,FALSE)),"",VLOOKUP($AV19,'Race 8'!$A$16:$D$24,2,FALSE))</f>
        <v/>
      </c>
      <c r="BH19" s="168">
        <f>IF(ISNA(VLOOKUP($AV19,'Race 1'!$A$16:$D$24,4,FALSE)),"",VLOOKUP($AV19,'Race 1'!$A$16:$D$24,4,FALSE))</f>
        <v>25</v>
      </c>
      <c r="BI19" s="168">
        <f>IF(ISNA(VLOOKUP($AV19,'Race 2'!$A$16:$D$24,4,FALSE)),"",VLOOKUP($AV19,'Race 2'!$A$16:$D$24,4,FALSE))</f>
        <v>33</v>
      </c>
      <c r="BJ19" s="168">
        <f>IF(ISNA(VLOOKUP($AV19,'Race 3'!$A$16:$D$24,4,FALSE)),"",VLOOKUP($AV19,'Race 3'!$A$16:$D$24,4,FALSE))</f>
        <v>32</v>
      </c>
      <c r="BK19" s="168">
        <f>IF(ISNA(VLOOKUP($AV19,'Race 4'!$A$16:$D$24,4,FALSE)),"",VLOOKUP($AV19,'Race 4'!$A$16:$D$24,4,FALSE))</f>
        <v>36</v>
      </c>
      <c r="BL19" s="168" t="str">
        <f>IF(ISNA(VLOOKUP($AV19,'Race 5'!$A$16:$D$24,4,FALSE)),"",VLOOKUP($AV19,'Race 5'!$A$16:$D$24,4,FALSE))</f>
        <v/>
      </c>
      <c r="BM19" s="168" t="str">
        <f>IF(ISNA(VLOOKUP($AV19,'Race 6'!$A$16:$D$24,4,FALSE)),"",VLOOKUP($AV19,'Race 6'!$A$16:$D$24,4,FALSE))</f>
        <v/>
      </c>
      <c r="BN19" s="168" t="str">
        <f>IF(ISNA(VLOOKUP($AV19,'Race 7'!$A$16:$D$24,4,FALSE)),"",VLOOKUP($AV19,'Race 7'!$A$16:$D$24,4,FALSE))</f>
        <v/>
      </c>
      <c r="BO19" s="168" t="str">
        <f>IF(ISNA(VLOOKUP($AV19,'Race 8'!$A$16:$D$24,4,FALSE)),"",VLOOKUP($AV19,'Race 8'!$A$16:$D$24,4,FALSE))</f>
        <v/>
      </c>
      <c r="BP19" s="169">
        <f t="shared" si="33"/>
        <v>2.0000000249999998</v>
      </c>
      <c r="BQ19" s="169">
        <f t="shared" si="34"/>
        <v>2.0000000330000001</v>
      </c>
      <c r="BR19" s="169">
        <f t="shared" si="35"/>
        <v>2.000000032</v>
      </c>
      <c r="BS19" s="169">
        <f t="shared" si="36"/>
        <v>2.0000000359999999</v>
      </c>
      <c r="BT19" s="169" t="str">
        <f t="shared" si="37"/>
        <v/>
      </c>
      <c r="BU19" s="169" t="str">
        <f t="shared" si="38"/>
        <v/>
      </c>
      <c r="BV19" s="169" t="str">
        <f t="shared" si="39"/>
        <v/>
      </c>
      <c r="BW19" s="169" t="str">
        <f t="shared" si="39"/>
        <v/>
      </c>
      <c r="BX19" s="154">
        <f t="shared" si="61"/>
        <v>8125.9999997671403</v>
      </c>
      <c r="BY19" s="160">
        <f t="shared" si="62"/>
        <v>2</v>
      </c>
      <c r="BZ19" s="154">
        <f>(COUNTIF($BY$15:BY19,BY19)-1)*0.1+BY19</f>
        <v>2</v>
      </c>
    </row>
    <row r="20" spans="1:78" x14ac:dyDescent="0.25">
      <c r="A20" s="160">
        <v>5</v>
      </c>
      <c r="B20" s="160">
        <f t="shared" si="63"/>
        <v>5</v>
      </c>
      <c r="C20" s="160">
        <f t="shared" si="40"/>
        <v>5</v>
      </c>
      <c r="D20" s="154" t="str">
        <f t="shared" si="41"/>
        <v>East End Road Runners</v>
      </c>
      <c r="E20" s="154" t="str">
        <f t="shared" si="42"/>
        <v>18</v>
      </c>
      <c r="F20" s="154" t="str">
        <f t="shared" si="43"/>
        <v>409</v>
      </c>
      <c r="G20" s="154" t="str">
        <f t="shared" si="44"/>
        <v>4</v>
      </c>
      <c r="H20" s="154" t="str">
        <f t="shared" si="45"/>
        <v>113</v>
      </c>
      <c r="I20" s="154" t="str">
        <f t="shared" si="46"/>
        <v>4</v>
      </c>
      <c r="J20" s="154" t="str">
        <f t="shared" si="47"/>
        <v>77</v>
      </c>
      <c r="K20" s="154" t="str">
        <f t="shared" si="48"/>
        <v>5</v>
      </c>
      <c r="L20" s="154" t="str">
        <f t="shared" si="49"/>
        <v>109</v>
      </c>
      <c r="M20" s="154" t="str">
        <f t="shared" si="50"/>
        <v>5</v>
      </c>
      <c r="N20" s="154" t="str">
        <f t="shared" si="51"/>
        <v>110</v>
      </c>
      <c r="O20" s="154" t="str">
        <f t="shared" si="52"/>
        <v/>
      </c>
      <c r="P20" s="154" t="str">
        <f t="shared" si="53"/>
        <v/>
      </c>
      <c r="Q20" s="154" t="str">
        <f t="shared" si="54"/>
        <v/>
      </c>
      <c r="R20" s="154" t="str">
        <f t="shared" si="55"/>
        <v/>
      </c>
      <c r="S20" s="154" t="str">
        <f t="shared" si="56"/>
        <v/>
      </c>
      <c r="T20" s="154" t="str">
        <f t="shared" si="57"/>
        <v/>
      </c>
      <c r="U20" s="154" t="str">
        <f t="shared" si="58"/>
        <v/>
      </c>
      <c r="V20" s="154" t="str">
        <f t="shared" si="59"/>
        <v/>
      </c>
      <c r="W20" s="160" t="s">
        <v>1233</v>
      </c>
      <c r="X20" t="s">
        <v>1805</v>
      </c>
      <c r="Y20">
        <v>5</v>
      </c>
      <c r="Z20">
        <v>4</v>
      </c>
      <c r="AA20">
        <v>131</v>
      </c>
      <c r="AB20" t="s">
        <v>2216</v>
      </c>
      <c r="AC20" t="s">
        <v>1813</v>
      </c>
      <c r="AD20">
        <v>16</v>
      </c>
      <c r="AE20" t="s">
        <v>2218</v>
      </c>
      <c r="AF20" t="s">
        <v>1814</v>
      </c>
      <c r="AG20">
        <v>23</v>
      </c>
      <c r="AH20" t="s">
        <v>2222</v>
      </c>
      <c r="AI20" t="s">
        <v>1813</v>
      </c>
      <c r="AJ20">
        <v>30</v>
      </c>
      <c r="AK20" t="s">
        <v>2234</v>
      </c>
      <c r="AL20" t="s">
        <v>1814</v>
      </c>
      <c r="AM20">
        <v>62</v>
      </c>
      <c r="AU20" s="154" t="str">
        <f t="shared" si="60"/>
        <v>F8</v>
      </c>
      <c r="AV20" s="162" t="s">
        <v>38</v>
      </c>
      <c r="AW20" s="154">
        <f>IF(ISNUMBER(SUM(SMALL(AZ20:BG20,{1,2,3,4,5,6}))),SUM(SMALL(AZ20:BG20,{1,2,3,4,5,6})),SUM(AZ20:BG20))</f>
        <v>29</v>
      </c>
      <c r="AX20" s="154">
        <f>IF(ISNUMBER(SUM(SMALL(BP20:BW20,{1,2,3,4,5,6}))),SUM(SMALL(BP20:BW20,{1,2,3,4,5,6})),SUM(BP20:BW20))</f>
        <v>29.000000943999996</v>
      </c>
      <c r="AY20" s="167">
        <f t="shared" si="32"/>
        <v>943.99999639449561</v>
      </c>
      <c r="AZ20" s="168">
        <f>IF(ISNA(VLOOKUP($AV20,'Race 1'!$A$16:$D$24,2,FALSE)),"",VLOOKUP($AV20,'Race 1'!$A$16:$D$24,2,FALSE))</f>
        <v>7</v>
      </c>
      <c r="BA20" s="168">
        <f>IF(ISNA(VLOOKUP($AV20,'Race 2'!$A$16:$D$24,2,FALSE)),"",VLOOKUP($AV20,'Race 2'!$A$16:$D$24,2,FALSE))</f>
        <v>7</v>
      </c>
      <c r="BB20" s="168">
        <f>IF(ISNA(VLOOKUP($AV20,'Race 3'!$A$16:$D$24,2,FALSE)),"",VLOOKUP($AV20,'Race 3'!$A$16:$D$24,2,FALSE))</f>
        <v>8</v>
      </c>
      <c r="BC20" s="168">
        <f>IF(ISNA(VLOOKUP($AV20,'Race 4'!$A$16:$D$24,2,FALSE)),"",VLOOKUP($AV20,'Race 4'!$A$16:$D$24,2,FALSE))</f>
        <v>7</v>
      </c>
      <c r="BD20" s="168" t="str">
        <f>IF(ISNA(VLOOKUP($AV20,'Race 5'!$A$16:$D$24,2,FALSE)),"",VLOOKUP($AV20,'Race 5'!$A$16:$D$24,2,FALSE))</f>
        <v/>
      </c>
      <c r="BE20" s="168" t="str">
        <f>IF(ISNA(VLOOKUP($AV20,'Race 6'!$A$16:$D$24,2,FALSE)),"",VLOOKUP($AV20,'Race 6'!$A$16:$D$24,2,FALSE))</f>
        <v/>
      </c>
      <c r="BF20" s="168" t="str">
        <f>IF(ISNA(VLOOKUP($AV20,'Race 7'!$A$16:$D$24,2,FALSE)),"",VLOOKUP($AV20,'Race 7'!$A$16:$D$24,2,FALSE))</f>
        <v/>
      </c>
      <c r="BG20" s="168" t="str">
        <f>IF(ISNA(VLOOKUP($AV20,'Race 8'!$A$16:$D$24,2,FALSE)),"",VLOOKUP($AV20,'Race 8'!$A$16:$D$24,2,FALSE))</f>
        <v/>
      </c>
      <c r="BH20" s="168">
        <f>IF(ISNA(VLOOKUP($AV20,'Race 1'!$A$16:$D$24,4,FALSE)),"",VLOOKUP($AV20,'Race 1'!$A$16:$D$24,4,FALSE))</f>
        <v>195</v>
      </c>
      <c r="BI20" s="168">
        <f>IF(ISNA(VLOOKUP($AV20,'Race 2'!$A$16:$D$24,4,FALSE)),"",VLOOKUP($AV20,'Race 2'!$A$16:$D$24,4,FALSE))</f>
        <v>136</v>
      </c>
      <c r="BJ20" s="168">
        <f>IF(ISNA(VLOOKUP($AV20,'Race 3'!$A$16:$D$24,4,FALSE)),"",VLOOKUP($AV20,'Race 3'!$A$16:$D$24,4,FALSE))</f>
        <v>321</v>
      </c>
      <c r="BK20" s="168">
        <f>IF(ISNA(VLOOKUP($AV20,'Race 4'!$A$16:$D$24,4,FALSE)),"",VLOOKUP($AV20,'Race 4'!$A$16:$D$24,4,FALSE))</f>
        <v>292</v>
      </c>
      <c r="BL20" s="168" t="str">
        <f>IF(ISNA(VLOOKUP($AV20,'Race 5'!$A$16:$D$24,4,FALSE)),"",VLOOKUP($AV20,'Race 5'!$A$16:$D$24,4,FALSE))</f>
        <v/>
      </c>
      <c r="BM20" s="168" t="str">
        <f>IF(ISNA(VLOOKUP($AV20,'Race 6'!$A$16:$D$24,4,FALSE)),"",VLOOKUP($AV20,'Race 6'!$A$16:$D$24,4,FALSE))</f>
        <v/>
      </c>
      <c r="BN20" s="168" t="str">
        <f>IF(ISNA(VLOOKUP($AV20,'Race 7'!$A$16:$D$24,4,FALSE)),"",VLOOKUP($AV20,'Race 7'!$A$16:$D$24,4,FALSE))</f>
        <v/>
      </c>
      <c r="BO20" s="168" t="str">
        <f>IF(ISNA(VLOOKUP($AV20,'Race 8'!$A$16:$D$24,4,FALSE)),"",VLOOKUP($AV20,'Race 8'!$A$16:$D$24,4,FALSE))</f>
        <v/>
      </c>
      <c r="BP20" s="169">
        <f t="shared" si="33"/>
        <v>7.0000001950000001</v>
      </c>
      <c r="BQ20" s="169">
        <f t="shared" si="34"/>
        <v>7.0000001359999997</v>
      </c>
      <c r="BR20" s="169">
        <f t="shared" si="35"/>
        <v>8.0000003209999999</v>
      </c>
      <c r="BS20" s="169">
        <f t="shared" si="36"/>
        <v>7.0000002920000002</v>
      </c>
      <c r="BT20" s="169" t="str">
        <f t="shared" si="37"/>
        <v/>
      </c>
      <c r="BU20" s="169" t="str">
        <f t="shared" si="38"/>
        <v/>
      </c>
      <c r="BV20" s="169" t="str">
        <f t="shared" si="39"/>
        <v/>
      </c>
      <c r="BW20" s="169" t="str">
        <f t="shared" si="39"/>
        <v/>
      </c>
      <c r="BX20" s="154">
        <f t="shared" si="61"/>
        <v>2943.9999963944902</v>
      </c>
      <c r="BY20" s="160">
        <f t="shared" si="62"/>
        <v>8</v>
      </c>
      <c r="BZ20" s="154">
        <f>(COUNTIF($BY$15:BY20,BY20)-1)*0.1+BY20</f>
        <v>8</v>
      </c>
    </row>
    <row r="21" spans="1:78" x14ac:dyDescent="0.25">
      <c r="A21" s="160">
        <v>6</v>
      </c>
      <c r="B21" s="160">
        <f t="shared" si="63"/>
        <v>6</v>
      </c>
      <c r="C21" s="160">
        <f t="shared" si="40"/>
        <v>6</v>
      </c>
      <c r="D21" s="154" t="str">
        <f t="shared" si="41"/>
        <v>Harold Wood Running Club</v>
      </c>
      <c r="E21" s="154" t="str">
        <f t="shared" si="42"/>
        <v>25</v>
      </c>
      <c r="F21" s="154" t="str">
        <f t="shared" si="43"/>
        <v>647</v>
      </c>
      <c r="G21" s="154" t="str">
        <f t="shared" si="44"/>
        <v>5</v>
      </c>
      <c r="H21" s="154" t="str">
        <f t="shared" si="45"/>
        <v>131</v>
      </c>
      <c r="I21" s="154" t="str">
        <f t="shared" si="46"/>
        <v>5</v>
      </c>
      <c r="J21" s="154" t="str">
        <f t="shared" si="47"/>
        <v>88</v>
      </c>
      <c r="K21" s="154" t="str">
        <f t="shared" si="48"/>
        <v>6</v>
      </c>
      <c r="L21" s="154" t="str">
        <f t="shared" si="49"/>
        <v>187</v>
      </c>
      <c r="M21" s="154" t="str">
        <f t="shared" si="50"/>
        <v>9</v>
      </c>
      <c r="N21" s="154" t="str">
        <f t="shared" si="51"/>
        <v>241</v>
      </c>
      <c r="O21" s="154" t="str">
        <f t="shared" si="52"/>
        <v/>
      </c>
      <c r="P21" s="154" t="str">
        <f t="shared" si="53"/>
        <v/>
      </c>
      <c r="Q21" s="154" t="str">
        <f t="shared" si="54"/>
        <v/>
      </c>
      <c r="R21" s="154" t="str">
        <f t="shared" si="55"/>
        <v/>
      </c>
      <c r="S21" s="154" t="str">
        <f t="shared" si="56"/>
        <v/>
      </c>
      <c r="T21" s="154" t="str">
        <f t="shared" si="57"/>
        <v/>
      </c>
      <c r="U21" s="154" t="str">
        <f t="shared" si="58"/>
        <v/>
      </c>
      <c r="V21" s="154" t="str">
        <f t="shared" si="59"/>
        <v/>
      </c>
      <c r="W21" s="160" t="s">
        <v>1233</v>
      </c>
      <c r="X21" t="s">
        <v>14</v>
      </c>
      <c r="Y21">
        <v>5</v>
      </c>
      <c r="Z21">
        <v>4</v>
      </c>
      <c r="AA21">
        <v>131</v>
      </c>
      <c r="AB21" t="s">
        <v>1794</v>
      </c>
      <c r="AC21" t="s">
        <v>1814</v>
      </c>
      <c r="AD21">
        <v>17</v>
      </c>
      <c r="AE21" t="s">
        <v>1005</v>
      </c>
      <c r="AF21" t="s">
        <v>1814</v>
      </c>
      <c r="AG21">
        <v>18</v>
      </c>
      <c r="AH21" t="s">
        <v>749</v>
      </c>
      <c r="AI21" t="s">
        <v>1814</v>
      </c>
      <c r="AJ21">
        <v>41</v>
      </c>
      <c r="AK21" t="s">
        <v>1677</v>
      </c>
      <c r="AL21" t="s">
        <v>1814</v>
      </c>
      <c r="AM21">
        <v>55</v>
      </c>
      <c r="AU21" s="154" t="str">
        <f t="shared" si="60"/>
        <v>F3</v>
      </c>
      <c r="AV21" s="163" t="s">
        <v>108</v>
      </c>
      <c r="AW21" s="154">
        <f>IF(ISNUMBER(SUM(SMALL(AZ21:BG21,{1,2,3,4,5,6}))),SUM(SMALL(AZ21:BG21,{1,2,3,4,5,6})),SUM(AZ21:BG21))</f>
        <v>13</v>
      </c>
      <c r="AX21" s="154">
        <f>IF(ISNUMBER(SUM(SMALL(BP21:BW21,{1,2,3,4,5,6}))),SUM(SMALL(BP21:BW21,{1,2,3,4,5,6})),SUM(BP21:BW21))</f>
        <v>13.000000228999999</v>
      </c>
      <c r="AY21" s="167">
        <f t="shared" si="32"/>
        <v>228.99999940761973</v>
      </c>
      <c r="AZ21" s="168">
        <f>IF(ISNA(VLOOKUP($AV21,'Race 1'!$A$16:$D$24,2,FALSE)),"",VLOOKUP($AV21,'Race 1'!$A$16:$D$24,2,FALSE))</f>
        <v>3</v>
      </c>
      <c r="BA21" s="168">
        <f>IF(ISNA(VLOOKUP($AV21,'Race 2'!$A$16:$D$24,2,FALSE)),"",VLOOKUP($AV21,'Race 2'!$A$16:$D$24,2,FALSE))</f>
        <v>3</v>
      </c>
      <c r="BB21" s="168">
        <f>IF(ISNA(VLOOKUP($AV21,'Race 3'!$A$16:$D$24,2,FALSE)),"",VLOOKUP($AV21,'Race 3'!$A$16:$D$24,2,FALSE))</f>
        <v>4</v>
      </c>
      <c r="BC21" s="168">
        <f>IF(ISNA(VLOOKUP($AV21,'Race 4'!$A$16:$D$24,2,FALSE)),"",VLOOKUP($AV21,'Race 4'!$A$16:$D$24,2,FALSE))</f>
        <v>3</v>
      </c>
      <c r="BD21" s="168" t="str">
        <f>IF(ISNA(VLOOKUP($AV21,'Race 5'!$A$16:$D$24,2,FALSE)),"",VLOOKUP($AV21,'Race 5'!$A$16:$D$24,2,FALSE))</f>
        <v/>
      </c>
      <c r="BE21" s="168" t="str">
        <f>IF(ISNA(VLOOKUP($AV21,'Race 6'!$A$16:$D$24,2,FALSE)),"",VLOOKUP($AV21,'Race 6'!$A$16:$D$24,2,FALSE))</f>
        <v/>
      </c>
      <c r="BF21" s="168" t="str">
        <f>IF(ISNA(VLOOKUP($AV21,'Race 7'!$A$16:$D$24,2,FALSE)),"",VLOOKUP($AV21,'Race 7'!$A$16:$D$24,2,FALSE))</f>
        <v/>
      </c>
      <c r="BG21" s="168" t="str">
        <f>IF(ISNA(VLOOKUP($AV21,'Race 8'!$A$16:$D$24,2,FALSE)),"",VLOOKUP($AV21,'Race 8'!$A$16:$D$24,2,FALSE))</f>
        <v/>
      </c>
      <c r="BH21" s="168">
        <f>IF(ISNA(VLOOKUP($AV21,'Race 1'!$A$16:$D$24,4,FALSE)),"",VLOOKUP($AV21,'Race 1'!$A$16:$D$24,4,FALSE))</f>
        <v>43</v>
      </c>
      <c r="BI21" s="168">
        <f>IF(ISNA(VLOOKUP($AV21,'Race 2'!$A$16:$D$24,4,FALSE)),"",VLOOKUP($AV21,'Race 2'!$A$16:$D$24,4,FALSE))</f>
        <v>68</v>
      </c>
      <c r="BJ21" s="168">
        <f>IF(ISNA(VLOOKUP($AV21,'Race 3'!$A$16:$D$24,4,FALSE)),"",VLOOKUP($AV21,'Race 3'!$A$16:$D$24,4,FALSE))</f>
        <v>61</v>
      </c>
      <c r="BK21" s="168">
        <f>IF(ISNA(VLOOKUP($AV21,'Race 4'!$A$16:$D$24,4,FALSE)),"",VLOOKUP($AV21,'Race 4'!$A$16:$D$24,4,FALSE))</f>
        <v>57</v>
      </c>
      <c r="BL21" s="168" t="str">
        <f>IF(ISNA(VLOOKUP($AV21,'Race 5'!$A$16:$D$24,4,FALSE)),"",VLOOKUP($AV21,'Race 5'!$A$16:$D$24,4,FALSE))</f>
        <v/>
      </c>
      <c r="BM21" s="168" t="str">
        <f>IF(ISNA(VLOOKUP($AV21,'Race 6'!$A$16:$D$24,4,FALSE)),"",VLOOKUP($AV21,'Race 6'!$A$16:$D$24,4,FALSE))</f>
        <v/>
      </c>
      <c r="BN21" s="168" t="str">
        <f>IF(ISNA(VLOOKUP($AV21,'Race 7'!$A$16:$D$24,4,FALSE)),"",VLOOKUP($AV21,'Race 7'!$A$16:$D$24,4,FALSE))</f>
        <v/>
      </c>
      <c r="BO21" s="168" t="str">
        <f>IF(ISNA(VLOOKUP($AV21,'Race 8'!$A$16:$D$24,4,FALSE)),"",VLOOKUP($AV21,'Race 8'!$A$16:$D$24,4,FALSE))</f>
        <v/>
      </c>
      <c r="BP21" s="169">
        <f t="shared" si="33"/>
        <v>3.000000043</v>
      </c>
      <c r="BQ21" s="169">
        <f t="shared" si="34"/>
        <v>3.0000000679999999</v>
      </c>
      <c r="BR21" s="169">
        <f t="shared" si="35"/>
        <v>4.0000000609999997</v>
      </c>
      <c r="BS21" s="169">
        <f t="shared" si="36"/>
        <v>3.0000000569999998</v>
      </c>
      <c r="BT21" s="169" t="str">
        <f t="shared" si="37"/>
        <v/>
      </c>
      <c r="BU21" s="169" t="str">
        <f t="shared" si="38"/>
        <v/>
      </c>
      <c r="BV21" s="169" t="str">
        <f t="shared" si="39"/>
        <v/>
      </c>
      <c r="BW21" s="169" t="str">
        <f t="shared" si="39"/>
        <v/>
      </c>
      <c r="BX21" s="154">
        <f t="shared" si="61"/>
        <v>7228.9999994076197</v>
      </c>
      <c r="BY21" s="160">
        <f t="shared" si="62"/>
        <v>3</v>
      </c>
      <c r="BZ21" s="154">
        <f>(COUNTIF($BY$15:BY21,BY21)-1)*0.1+BY21</f>
        <v>3</v>
      </c>
    </row>
    <row r="22" spans="1:78" x14ac:dyDescent="0.25">
      <c r="A22" s="160">
        <v>7</v>
      </c>
      <c r="B22" s="160">
        <f t="shared" si="63"/>
        <v>7</v>
      </c>
      <c r="C22" s="160">
        <f t="shared" si="40"/>
        <v>7</v>
      </c>
      <c r="D22" s="154" t="str">
        <f t="shared" si="41"/>
        <v>Dagenham 88 Runners</v>
      </c>
      <c r="E22" s="154" t="str">
        <f t="shared" si="42"/>
        <v>29</v>
      </c>
      <c r="F22" s="154" t="str">
        <f t="shared" si="43"/>
        <v>791</v>
      </c>
      <c r="G22" s="154" t="str">
        <f t="shared" si="44"/>
        <v>8</v>
      </c>
      <c r="H22" s="154" t="str">
        <f t="shared" si="45"/>
        <v>217</v>
      </c>
      <c r="I22" s="154" t="str">
        <f t="shared" si="46"/>
        <v>8</v>
      </c>
      <c r="J22" s="154" t="str">
        <f t="shared" si="47"/>
        <v>168</v>
      </c>
      <c r="K22" s="154" t="str">
        <f t="shared" si="48"/>
        <v>7</v>
      </c>
      <c r="L22" s="154" t="str">
        <f t="shared" si="49"/>
        <v>249</v>
      </c>
      <c r="M22" s="154" t="str">
        <f t="shared" si="50"/>
        <v>6</v>
      </c>
      <c r="N22" s="154" t="str">
        <f t="shared" si="51"/>
        <v>157</v>
      </c>
      <c r="O22" s="154" t="str">
        <f t="shared" si="52"/>
        <v/>
      </c>
      <c r="P22" s="154" t="str">
        <f t="shared" si="53"/>
        <v/>
      </c>
      <c r="Q22" s="154" t="str">
        <f t="shared" si="54"/>
        <v/>
      </c>
      <c r="R22" s="154" t="str">
        <f t="shared" si="55"/>
        <v/>
      </c>
      <c r="S22" s="154" t="str">
        <f t="shared" si="56"/>
        <v/>
      </c>
      <c r="T22" s="154" t="str">
        <f t="shared" si="57"/>
        <v/>
      </c>
      <c r="U22" s="154" t="str">
        <f t="shared" si="58"/>
        <v/>
      </c>
      <c r="V22" s="154" t="str">
        <f t="shared" si="59"/>
        <v/>
      </c>
      <c r="W22" s="160" t="s">
        <v>1233</v>
      </c>
      <c r="X22" t="s">
        <v>38</v>
      </c>
      <c r="Y22">
        <v>7</v>
      </c>
      <c r="Z22">
        <v>4</v>
      </c>
      <c r="AA22">
        <v>195</v>
      </c>
      <c r="AB22" t="s">
        <v>2223</v>
      </c>
      <c r="AC22" t="s">
        <v>1814</v>
      </c>
      <c r="AD22">
        <v>31</v>
      </c>
      <c r="AE22" t="s">
        <v>2225</v>
      </c>
      <c r="AF22" t="s">
        <v>1814</v>
      </c>
      <c r="AG22">
        <v>34</v>
      </c>
      <c r="AH22" t="s">
        <v>1371</v>
      </c>
      <c r="AI22" t="s">
        <v>1814</v>
      </c>
      <c r="AJ22">
        <v>50</v>
      </c>
      <c r="AK22" t="s">
        <v>1742</v>
      </c>
      <c r="AL22" t="s">
        <v>1814</v>
      </c>
      <c r="AM22">
        <v>80</v>
      </c>
      <c r="AU22" s="154" t="str">
        <f t="shared" si="60"/>
        <v>F4</v>
      </c>
      <c r="AV22" s="163" t="s">
        <v>14</v>
      </c>
      <c r="AW22" s="154">
        <f>IF(ISNUMBER(SUM(SMALL(AZ22:BG22,{1,2,3,4,5,6}))),SUM(SMALL(AZ22:BG22,{1,2,3,4,5,6})),SUM(AZ22:BG22))</f>
        <v>18</v>
      </c>
      <c r="AX22" s="154">
        <f>IF(ISNUMBER(SUM(SMALL(BP22:BW22,{1,2,3,4,5,6}))),SUM(SMALL(BP22:BW22,{1,2,3,4,5,6})),SUM(BP22:BW22))</f>
        <v>18.000000354999997</v>
      </c>
      <c r="AY22" s="167">
        <f t="shared" si="32"/>
        <v>354.9999973984086</v>
      </c>
      <c r="AZ22" s="168">
        <f>IF(ISNA(VLOOKUP($AV22,'Race 1'!$A$16:$D$24,2,FALSE)),"",VLOOKUP($AV22,'Race 1'!$A$16:$D$24,2,FALSE))</f>
        <v>5</v>
      </c>
      <c r="BA22" s="168">
        <f>IF(ISNA(VLOOKUP($AV22,'Race 2'!$A$16:$D$24,2,FALSE)),"",VLOOKUP($AV22,'Race 2'!$A$16:$D$24,2,FALSE))</f>
        <v>6</v>
      </c>
      <c r="BB22" s="168">
        <f>IF(ISNA(VLOOKUP($AV22,'Race 3'!$A$16:$D$24,2,FALSE)),"",VLOOKUP($AV22,'Race 3'!$A$16:$D$24,2,FALSE))</f>
        <v>3</v>
      </c>
      <c r="BC22" s="168">
        <f>IF(ISNA(VLOOKUP($AV22,'Race 4'!$A$16:$D$24,2,FALSE)),"",VLOOKUP($AV22,'Race 4'!$A$16:$D$24,2,FALSE))</f>
        <v>4</v>
      </c>
      <c r="BD22" s="168" t="str">
        <f>IF(ISNA(VLOOKUP($AV22,'Race 5'!$A$16:$D$24,2,FALSE)),"",VLOOKUP($AV22,'Race 5'!$A$16:$D$24,2,FALSE))</f>
        <v/>
      </c>
      <c r="BE22" s="168" t="str">
        <f>IF(ISNA(VLOOKUP($AV22,'Race 6'!$A$16:$D$24,2,FALSE)),"",VLOOKUP($AV22,'Race 6'!$A$16:$D$24,2,FALSE))</f>
        <v/>
      </c>
      <c r="BF22" s="168" t="str">
        <f>IF(ISNA(VLOOKUP($AV22,'Race 7'!$A$16:$D$24,2,FALSE)),"",VLOOKUP($AV22,'Race 7'!$A$16:$D$24,2,FALSE))</f>
        <v/>
      </c>
      <c r="BG22" s="168" t="str">
        <f>IF(ISNA(VLOOKUP($AV22,'Race 8'!$A$16:$D$24,2,FALSE)),"",VLOOKUP($AV22,'Race 8'!$A$16:$D$24,2,FALSE))</f>
        <v/>
      </c>
      <c r="BH22" s="168">
        <f>IF(ISNA(VLOOKUP($AV22,'Race 1'!$A$16:$D$24,4,FALSE)),"",VLOOKUP($AV22,'Race 1'!$A$16:$D$24,4,FALSE))</f>
        <v>131</v>
      </c>
      <c r="BI22" s="168">
        <f>IF(ISNA(VLOOKUP($AV22,'Race 2'!$A$16:$D$24,4,FALSE)),"",VLOOKUP($AV22,'Race 2'!$A$16:$D$24,4,FALSE))</f>
        <v>119</v>
      </c>
      <c r="BJ22" s="168">
        <f>IF(ISNA(VLOOKUP($AV22,'Race 3'!$A$16:$D$24,4,FALSE)),"",VLOOKUP($AV22,'Race 3'!$A$16:$D$24,4,FALSE))</f>
        <v>41</v>
      </c>
      <c r="BK22" s="168">
        <f>IF(ISNA(VLOOKUP($AV22,'Race 4'!$A$16:$D$24,4,FALSE)),"",VLOOKUP($AV22,'Race 4'!$A$16:$D$24,4,FALSE))</f>
        <v>64</v>
      </c>
      <c r="BL22" s="168" t="str">
        <f>IF(ISNA(VLOOKUP($AV22,'Race 5'!$A$16:$D$24,4,FALSE)),"",VLOOKUP($AV22,'Race 5'!$A$16:$D$24,4,FALSE))</f>
        <v/>
      </c>
      <c r="BM22" s="168" t="str">
        <f>IF(ISNA(VLOOKUP($AV22,'Race 6'!$A$16:$D$24,4,FALSE)),"",VLOOKUP($AV22,'Race 6'!$A$16:$D$24,4,FALSE))</f>
        <v/>
      </c>
      <c r="BN22" s="168" t="str">
        <f>IF(ISNA(VLOOKUP($AV22,'Race 7'!$A$16:$D$24,4,FALSE)),"",VLOOKUP($AV22,'Race 7'!$A$16:$D$24,4,FALSE))</f>
        <v/>
      </c>
      <c r="BO22" s="168" t="str">
        <f>IF(ISNA(VLOOKUP($AV22,'Race 8'!$A$16:$D$24,4,FALSE)),"",VLOOKUP($AV22,'Race 8'!$A$16:$D$24,4,FALSE))</f>
        <v/>
      </c>
      <c r="BP22" s="169">
        <f t="shared" si="33"/>
        <v>5.0000001310000002</v>
      </c>
      <c r="BQ22" s="169">
        <f t="shared" si="34"/>
        <v>6.0000001190000001</v>
      </c>
      <c r="BR22" s="169">
        <f t="shared" si="35"/>
        <v>3.0000000409999998</v>
      </c>
      <c r="BS22" s="169">
        <f t="shared" si="36"/>
        <v>4.000000064</v>
      </c>
      <c r="BT22" s="169" t="str">
        <f t="shared" si="37"/>
        <v/>
      </c>
      <c r="BU22" s="169" t="str">
        <f t="shared" si="38"/>
        <v/>
      </c>
      <c r="BV22" s="169" t="str">
        <f t="shared" si="39"/>
        <v/>
      </c>
      <c r="BW22" s="169" t="str">
        <f t="shared" si="39"/>
        <v/>
      </c>
      <c r="BX22" s="154">
        <f t="shared" si="61"/>
        <v>5354.9999973984004</v>
      </c>
      <c r="BY22" s="160">
        <f t="shared" si="62"/>
        <v>4</v>
      </c>
      <c r="BZ22" s="154">
        <f>(COUNTIF($BY$15:BY22,BY22)-1)*0.1+BY22</f>
        <v>4</v>
      </c>
    </row>
    <row r="23" spans="1:78" x14ac:dyDescent="0.25">
      <c r="A23" s="160">
        <v>8</v>
      </c>
      <c r="B23" s="160">
        <f t="shared" si="63"/>
        <v>8</v>
      </c>
      <c r="C23" s="160">
        <f t="shared" si="40"/>
        <v>8</v>
      </c>
      <c r="D23" s="154" t="str">
        <f t="shared" si="41"/>
        <v>Havering 90 Joggers</v>
      </c>
      <c r="E23" s="154" t="str">
        <f t="shared" si="42"/>
        <v>29</v>
      </c>
      <c r="F23" s="154" t="str">
        <f t="shared" si="43"/>
        <v>944</v>
      </c>
      <c r="G23" s="154" t="str">
        <f t="shared" si="44"/>
        <v>7</v>
      </c>
      <c r="H23" s="154" t="str">
        <f t="shared" si="45"/>
        <v>195</v>
      </c>
      <c r="I23" s="154" t="str">
        <f t="shared" si="46"/>
        <v>7</v>
      </c>
      <c r="J23" s="154" t="str">
        <f t="shared" si="47"/>
        <v>136</v>
      </c>
      <c r="K23" s="154" t="str">
        <f t="shared" si="48"/>
        <v>8</v>
      </c>
      <c r="L23" s="154" t="str">
        <f t="shared" si="49"/>
        <v>321</v>
      </c>
      <c r="M23" s="154" t="str">
        <f t="shared" si="50"/>
        <v>7</v>
      </c>
      <c r="N23" s="154" t="str">
        <f t="shared" si="51"/>
        <v>292</v>
      </c>
      <c r="O23" s="154" t="str">
        <f t="shared" si="52"/>
        <v/>
      </c>
      <c r="P23" s="154" t="str">
        <f t="shared" si="53"/>
        <v/>
      </c>
      <c r="Q23" s="154" t="str">
        <f t="shared" si="54"/>
        <v/>
      </c>
      <c r="R23" s="154" t="str">
        <f t="shared" si="55"/>
        <v/>
      </c>
      <c r="S23" s="154" t="str">
        <f t="shared" si="56"/>
        <v/>
      </c>
      <c r="T23" s="154" t="str">
        <f t="shared" si="57"/>
        <v/>
      </c>
      <c r="U23" s="154" t="str">
        <f t="shared" si="58"/>
        <v/>
      </c>
      <c r="V23" s="154" t="str">
        <f t="shared" si="59"/>
        <v/>
      </c>
      <c r="W23" s="154"/>
      <c r="X23" t="s">
        <v>155</v>
      </c>
      <c r="Y23">
        <v>8</v>
      </c>
      <c r="Z23">
        <v>4</v>
      </c>
      <c r="AA23">
        <v>217</v>
      </c>
      <c r="AB23" t="s">
        <v>281</v>
      </c>
      <c r="AC23" t="s">
        <v>1814</v>
      </c>
      <c r="AD23">
        <v>27</v>
      </c>
      <c r="AE23" t="s">
        <v>1159</v>
      </c>
      <c r="AF23" t="s">
        <v>1814</v>
      </c>
      <c r="AG23">
        <v>54</v>
      </c>
      <c r="AH23" t="s">
        <v>517</v>
      </c>
      <c r="AI23" t="s">
        <v>1814</v>
      </c>
      <c r="AJ23">
        <v>63</v>
      </c>
      <c r="AK23" t="s">
        <v>280</v>
      </c>
      <c r="AL23" t="s">
        <v>1814</v>
      </c>
      <c r="AM23">
        <v>73</v>
      </c>
      <c r="AU23" s="154" t="str">
        <f t="shared" si="60"/>
        <v>F6</v>
      </c>
      <c r="AV23" s="163" t="s">
        <v>1805</v>
      </c>
      <c r="AW23" s="154">
        <f>IF(ISNUMBER(SUM(SMALL(AZ23:BG23,{1,2,3,4,5,6}))),SUM(SMALL(AZ23:BG23,{1,2,3,4,5,6})),SUM(AZ23:BG23))</f>
        <v>25</v>
      </c>
      <c r="AX23" s="154">
        <f>IF(ISNUMBER(SUM(SMALL(BP23:BW23,{1,2,3,4,5,6}))),SUM(SMALL(BP23:BW23,{1,2,3,4,5,6})),SUM(BP23:BW23))</f>
        <v>25.000000647</v>
      </c>
      <c r="AY23" s="167">
        <f t="shared" si="32"/>
        <v>647.00000024231485</v>
      </c>
      <c r="AZ23" s="168">
        <f>IF(ISNA(VLOOKUP($AV23,'Race 1'!$A$16:$D$24,2,FALSE)),"",VLOOKUP($AV23,'Race 1'!$A$16:$D$24,2,FALSE))</f>
        <v>5</v>
      </c>
      <c r="BA23" s="168">
        <f>IF(ISNA(VLOOKUP($AV23,'Race 2'!$A$16:$D$24,2,FALSE)),"",VLOOKUP($AV23,'Race 2'!$A$16:$D$24,2,FALSE))</f>
        <v>5</v>
      </c>
      <c r="BB23" s="168">
        <f>IF(ISNA(VLOOKUP($AV23,'Race 3'!$A$16:$D$24,2,FALSE)),"",VLOOKUP($AV23,'Race 3'!$A$16:$D$24,2,FALSE))</f>
        <v>6</v>
      </c>
      <c r="BC23" s="168">
        <f>IF(ISNA(VLOOKUP($AV23,'Race 4'!$A$16:$D$24,2,FALSE)),"",VLOOKUP($AV23,'Race 4'!$A$16:$D$24,2,FALSE))</f>
        <v>9</v>
      </c>
      <c r="BD23" s="168" t="str">
        <f>IF(ISNA(VLOOKUP($AV23,'Race 5'!$A$16:$D$24,2,FALSE)),"",VLOOKUP($AV23,'Race 5'!$A$16:$D$24,2,FALSE))</f>
        <v/>
      </c>
      <c r="BE23" s="168" t="str">
        <f>IF(ISNA(VLOOKUP($AV23,'Race 6'!$A$16:$D$24,2,FALSE)),"",VLOOKUP($AV23,'Race 6'!$A$16:$D$24,2,FALSE))</f>
        <v/>
      </c>
      <c r="BF23" s="168" t="str">
        <f>IF(ISNA(VLOOKUP($AV23,'Race 7'!$A$16:$D$24,2,FALSE)),"",VLOOKUP($AV23,'Race 7'!$A$16:$D$24,2,FALSE))</f>
        <v/>
      </c>
      <c r="BG23" s="168" t="str">
        <f>IF(ISNA(VLOOKUP($AV23,'Race 8'!$A$16:$D$24,2,FALSE)),"",VLOOKUP($AV23,'Race 8'!$A$16:$D$24,2,FALSE))</f>
        <v/>
      </c>
      <c r="BH23" s="168">
        <f>IF(ISNA(VLOOKUP($AV23,'Race 1'!$A$16:$D$24,4,FALSE)),"",VLOOKUP($AV23,'Race 1'!$A$16:$D$24,4,FALSE))</f>
        <v>131</v>
      </c>
      <c r="BI23" s="168">
        <f>IF(ISNA(VLOOKUP($AV23,'Race 2'!$A$16:$D$24,4,FALSE)),"",VLOOKUP($AV23,'Race 2'!$A$16:$D$24,4,FALSE))</f>
        <v>88</v>
      </c>
      <c r="BJ23" s="168">
        <f>IF(ISNA(VLOOKUP($AV23,'Race 3'!$A$16:$D$24,4,FALSE)),"",VLOOKUP($AV23,'Race 3'!$A$16:$D$24,4,FALSE))</f>
        <v>187</v>
      </c>
      <c r="BK23" s="168">
        <f>IF(ISNA(VLOOKUP($AV23,'Race 4'!$A$16:$D$24,4,FALSE)),"",VLOOKUP($AV23,'Race 4'!$A$16:$D$24,4,FALSE))</f>
        <v>241</v>
      </c>
      <c r="BL23" s="168" t="str">
        <f>IF(ISNA(VLOOKUP($AV23,'Race 5'!$A$16:$D$24,4,FALSE)),"",VLOOKUP($AV23,'Race 5'!$A$16:$D$24,4,FALSE))</f>
        <v/>
      </c>
      <c r="BM23" s="168" t="str">
        <f>IF(ISNA(VLOOKUP($AV23,'Race 6'!$A$16:$D$24,4,FALSE)),"",VLOOKUP($AV23,'Race 6'!$A$16:$D$24,4,FALSE))</f>
        <v/>
      </c>
      <c r="BN23" s="168" t="str">
        <f>IF(ISNA(VLOOKUP($AV23,'Race 7'!$A$16:$D$24,4,FALSE)),"",VLOOKUP($AV23,'Race 7'!$A$16:$D$24,4,FALSE))</f>
        <v/>
      </c>
      <c r="BO23" s="168" t="str">
        <f>IF(ISNA(VLOOKUP($AV23,'Race 8'!$A$16:$D$24,4,FALSE)),"",VLOOKUP($AV23,'Race 8'!$A$16:$D$24,4,FALSE))</f>
        <v/>
      </c>
      <c r="BP23" s="169">
        <f t="shared" si="33"/>
        <v>5.0000001310000002</v>
      </c>
      <c r="BQ23" s="169">
        <f t="shared" si="34"/>
        <v>5.0000000880000002</v>
      </c>
      <c r="BR23" s="169">
        <f t="shared" si="35"/>
        <v>6.0000001870000004</v>
      </c>
      <c r="BS23" s="169">
        <f t="shared" si="36"/>
        <v>9.0000002410000004</v>
      </c>
      <c r="BT23" s="169" t="str">
        <f t="shared" si="37"/>
        <v/>
      </c>
      <c r="BU23" s="169" t="str">
        <f t="shared" si="38"/>
        <v/>
      </c>
      <c r="BV23" s="169" t="str">
        <f t="shared" si="39"/>
        <v/>
      </c>
      <c r="BW23" s="169" t="str">
        <f t="shared" si="39"/>
        <v/>
      </c>
      <c r="BX23" s="154">
        <f t="shared" si="61"/>
        <v>4647.0000002423103</v>
      </c>
      <c r="BY23" s="160">
        <f t="shared" si="62"/>
        <v>6</v>
      </c>
      <c r="BZ23" s="154">
        <f>(COUNTIF($BY$15:BY23,BY23)-1)*0.1+BY23</f>
        <v>6</v>
      </c>
    </row>
    <row r="24" spans="1:78" x14ac:dyDescent="0.25">
      <c r="A24" s="154">
        <v>9</v>
      </c>
      <c r="B24" s="160">
        <f t="shared" si="63"/>
        <v>9</v>
      </c>
      <c r="C24" s="160">
        <f t="shared" si="40"/>
        <v>9</v>
      </c>
      <c r="D24" s="154" t="str">
        <f t="shared" si="41"/>
        <v>Barking Road Runners</v>
      </c>
      <c r="E24" s="154" t="str">
        <f t="shared" si="42"/>
        <v>35</v>
      </c>
      <c r="F24" s="154" t="str">
        <f t="shared" si="43"/>
        <v>1347</v>
      </c>
      <c r="G24" s="154" t="str">
        <f t="shared" si="44"/>
        <v>9</v>
      </c>
      <c r="H24" s="154" t="str">
        <f t="shared" si="45"/>
        <v>285</v>
      </c>
      <c r="I24" s="154" t="str">
        <f t="shared" si="46"/>
        <v>9</v>
      </c>
      <c r="J24" s="154" t="str">
        <f t="shared" si="47"/>
        <v>357</v>
      </c>
      <c r="K24" s="154" t="str">
        <f t="shared" si="48"/>
        <v>9</v>
      </c>
      <c r="L24" s="154" t="str">
        <f t="shared" si="49"/>
        <v>412</v>
      </c>
      <c r="M24" s="154" t="str">
        <f t="shared" si="50"/>
        <v>8</v>
      </c>
      <c r="N24" s="154" t="str">
        <f t="shared" si="51"/>
        <v>293</v>
      </c>
      <c r="O24" s="154" t="str">
        <f t="shared" si="52"/>
        <v/>
      </c>
      <c r="P24" s="154" t="str">
        <f t="shared" si="53"/>
        <v/>
      </c>
      <c r="Q24" s="154" t="str">
        <f t="shared" si="54"/>
        <v/>
      </c>
      <c r="R24" s="154" t="str">
        <f t="shared" si="55"/>
        <v/>
      </c>
      <c r="S24" s="154" t="str">
        <f t="shared" si="56"/>
        <v/>
      </c>
      <c r="T24" s="154" t="str">
        <f t="shared" si="57"/>
        <v/>
      </c>
      <c r="U24" s="154" t="str">
        <f t="shared" si="58"/>
        <v/>
      </c>
      <c r="V24" s="154" t="str">
        <f t="shared" si="59"/>
        <v/>
      </c>
      <c r="W24" s="154"/>
      <c r="X24" t="s">
        <v>43</v>
      </c>
      <c r="Y24">
        <v>9</v>
      </c>
      <c r="Z24">
        <v>3</v>
      </c>
      <c r="AA24">
        <v>285</v>
      </c>
      <c r="AB24" t="s">
        <v>578</v>
      </c>
      <c r="AC24" t="s">
        <v>1814</v>
      </c>
      <c r="AD24">
        <v>38</v>
      </c>
      <c r="AE24" t="s">
        <v>380</v>
      </c>
      <c r="AF24" t="s">
        <v>1814</v>
      </c>
      <c r="AG24">
        <v>43</v>
      </c>
      <c r="AH24" t="s">
        <v>1761</v>
      </c>
      <c r="AI24" t="s">
        <v>1814</v>
      </c>
      <c r="AJ24">
        <v>91</v>
      </c>
      <c r="AK24" t="s">
        <v>1815</v>
      </c>
      <c r="AM24">
        <v>113</v>
      </c>
      <c r="AU24" s="154"/>
      <c r="AV24" s="154"/>
      <c r="AW24" s="154"/>
      <c r="AX24" s="154"/>
      <c r="AY24" s="167"/>
      <c r="AZ24" s="168"/>
      <c r="BA24" s="168"/>
      <c r="BB24" s="168"/>
      <c r="BC24" s="168"/>
      <c r="BD24" s="168"/>
      <c r="BE24" s="168"/>
      <c r="BF24" s="168"/>
      <c r="BG24" s="168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</row>
    <row r="25" spans="1:78" x14ac:dyDescent="0.2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AU25" s="154"/>
      <c r="AV25" s="154"/>
      <c r="AW25" s="154"/>
      <c r="AX25" s="154"/>
      <c r="AY25" s="167"/>
      <c r="AZ25" s="168"/>
      <c r="BA25" s="168"/>
      <c r="BB25" s="168"/>
      <c r="BC25" s="168"/>
      <c r="BD25" s="168"/>
      <c r="BE25" s="168"/>
      <c r="BF25" s="168"/>
      <c r="BG25" s="168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</row>
    <row r="26" spans="1:78" x14ac:dyDescent="0.2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AU26" s="154"/>
      <c r="AV26" s="154"/>
      <c r="AW26" s="154"/>
      <c r="AX26" s="154"/>
      <c r="AY26" s="167"/>
      <c r="AZ26" s="168"/>
      <c r="BA26" s="168"/>
      <c r="BB26" s="168"/>
      <c r="BC26" s="168"/>
      <c r="BD26" s="168"/>
      <c r="BE26" s="168"/>
      <c r="BF26" s="168"/>
      <c r="BG26" s="168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</row>
    <row r="27" spans="1:78" x14ac:dyDescent="0.2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AU27" s="154"/>
      <c r="AV27" s="154"/>
      <c r="AW27" s="154"/>
      <c r="AX27" s="154"/>
      <c r="AY27" s="167"/>
      <c r="AZ27" s="168"/>
      <c r="BA27" s="168"/>
      <c r="BB27" s="168"/>
      <c r="BC27" s="168"/>
      <c r="BD27" s="168"/>
      <c r="BE27" s="168"/>
      <c r="BF27" s="168"/>
      <c r="BG27" s="168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</row>
    <row r="28" spans="1:78" x14ac:dyDescent="0.2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14" t="s">
        <v>1317</v>
      </c>
      <c r="Y28" s="114"/>
      <c r="Z28" s="114"/>
      <c r="AU28" s="154"/>
      <c r="AV28" s="154"/>
      <c r="AW28" s="154"/>
      <c r="AX28" s="154"/>
      <c r="AY28" s="167"/>
      <c r="AZ28" s="168"/>
      <c r="BA28" s="168"/>
      <c r="BB28" s="168"/>
      <c r="BC28" s="168"/>
      <c r="BD28" s="168"/>
      <c r="BE28" s="168"/>
      <c r="BF28" s="168"/>
      <c r="BG28" s="168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</row>
    <row r="29" spans="1:78" x14ac:dyDescent="0.2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14" t="s">
        <v>2184</v>
      </c>
      <c r="Y29" s="114"/>
      <c r="Z29" s="114"/>
      <c r="AU29" s="154"/>
      <c r="AV29" s="154"/>
      <c r="AW29" s="154"/>
      <c r="AX29" s="154"/>
      <c r="AY29" s="167"/>
      <c r="AZ29" s="168"/>
      <c r="BA29" s="168"/>
      <c r="BB29" s="168"/>
      <c r="BC29" s="168"/>
      <c r="BD29" s="168"/>
      <c r="BE29" s="168"/>
      <c r="BF29" s="168"/>
      <c r="BG29" s="168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</row>
    <row r="30" spans="1:78" x14ac:dyDescent="0.2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14" t="s">
        <v>153</v>
      </c>
      <c r="Y30" s="114" t="s">
        <v>0</v>
      </c>
      <c r="Z30" s="114" t="s">
        <v>1205</v>
      </c>
      <c r="AA30" s="114" t="s">
        <v>1206</v>
      </c>
      <c r="AB30" s="114" t="s">
        <v>148</v>
      </c>
      <c r="AC30" s="114" t="s">
        <v>587</v>
      </c>
      <c r="AD30" s="114" t="s">
        <v>0</v>
      </c>
      <c r="AE30" s="114" t="s">
        <v>1207</v>
      </c>
      <c r="AF30" s="114" t="s">
        <v>587</v>
      </c>
      <c r="AG30" s="114" t="s">
        <v>0</v>
      </c>
      <c r="AH30" s="114" t="s">
        <v>150</v>
      </c>
      <c r="AI30" s="114" t="s">
        <v>587</v>
      </c>
      <c r="AJ30" s="114" t="s">
        <v>0</v>
      </c>
      <c r="AK30" s="114" t="s">
        <v>151</v>
      </c>
      <c r="AL30" s="114" t="s">
        <v>587</v>
      </c>
      <c r="AM30" s="114" t="s">
        <v>0</v>
      </c>
      <c r="AN30" s="114" t="s">
        <v>1208</v>
      </c>
      <c r="AO30" s="114" t="s">
        <v>587</v>
      </c>
      <c r="AP30" s="114" t="s">
        <v>0</v>
      </c>
      <c r="AQ30" s="114" t="s">
        <v>1209</v>
      </c>
      <c r="AR30" s="114" t="s">
        <v>587</v>
      </c>
      <c r="AS30" s="114" t="s">
        <v>0</v>
      </c>
      <c r="AU30" s="154" t="s">
        <v>0</v>
      </c>
      <c r="AV30" s="154"/>
      <c r="AW30" s="154"/>
      <c r="AX30" s="154"/>
      <c r="AY30" s="167"/>
      <c r="AZ30" s="168"/>
      <c r="BA30" s="168"/>
      <c r="BB30" s="168"/>
      <c r="BC30" s="168"/>
      <c r="BD30" s="168"/>
      <c r="BE30" s="168"/>
      <c r="BF30" s="168"/>
      <c r="BG30" s="168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</row>
    <row r="31" spans="1:78" x14ac:dyDescent="0.2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AU31" s="154"/>
      <c r="AV31" s="154"/>
      <c r="AW31" s="154"/>
      <c r="AX31" s="154"/>
      <c r="AY31" s="167"/>
      <c r="AZ31" s="168"/>
      <c r="BA31" s="168"/>
      <c r="BB31" s="168"/>
      <c r="BC31" s="168"/>
      <c r="BD31" s="168"/>
      <c r="BE31" s="168"/>
      <c r="BF31" s="168"/>
      <c r="BG31" s="168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</row>
    <row r="32" spans="1:78" x14ac:dyDescent="0.2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t="s">
        <v>1277</v>
      </c>
      <c r="AU32" s="154"/>
      <c r="AV32" s="154"/>
      <c r="AW32" s="154"/>
      <c r="AX32" s="154"/>
      <c r="AY32" s="167"/>
      <c r="AZ32" s="168"/>
      <c r="BA32" s="168"/>
      <c r="BB32" s="168"/>
      <c r="BC32" s="168"/>
      <c r="BD32" s="168"/>
      <c r="BE32" s="168"/>
      <c r="BF32" s="168"/>
      <c r="BG32" s="168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</row>
    <row r="33" spans="1:78" x14ac:dyDescent="0.2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t="s">
        <v>12</v>
      </c>
      <c r="Y33">
        <v>1</v>
      </c>
      <c r="Z33">
        <v>6</v>
      </c>
      <c r="AA33">
        <v>46</v>
      </c>
      <c r="AB33" t="s">
        <v>335</v>
      </c>
      <c r="AC33" t="s">
        <v>1813</v>
      </c>
      <c r="AD33">
        <v>1</v>
      </c>
      <c r="AE33" t="s">
        <v>364</v>
      </c>
      <c r="AF33" t="s">
        <v>1813</v>
      </c>
      <c r="AG33">
        <v>3</v>
      </c>
      <c r="AH33" t="s">
        <v>596</v>
      </c>
      <c r="AI33" t="s">
        <v>1813</v>
      </c>
      <c r="AJ33">
        <v>4</v>
      </c>
      <c r="AK33" t="s">
        <v>363</v>
      </c>
      <c r="AL33" t="s">
        <v>1814</v>
      </c>
      <c r="AM33">
        <v>8</v>
      </c>
      <c r="AN33" t="s">
        <v>2286</v>
      </c>
      <c r="AO33" t="s">
        <v>1814</v>
      </c>
      <c r="AP33">
        <v>14</v>
      </c>
      <c r="AQ33" t="s">
        <v>895</v>
      </c>
      <c r="AR33" t="s">
        <v>1814</v>
      </c>
      <c r="AS33">
        <v>16</v>
      </c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</row>
    <row r="34" spans="1:78" x14ac:dyDescent="0.2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t="s">
        <v>108</v>
      </c>
      <c r="Y34">
        <v>2</v>
      </c>
      <c r="Z34">
        <v>6</v>
      </c>
      <c r="AA34">
        <v>113</v>
      </c>
      <c r="AB34" t="s">
        <v>302</v>
      </c>
      <c r="AC34" t="s">
        <v>1814</v>
      </c>
      <c r="AD34">
        <v>6</v>
      </c>
      <c r="AE34" t="s">
        <v>1389</v>
      </c>
      <c r="AF34" t="s">
        <v>1814</v>
      </c>
      <c r="AG34">
        <v>7</v>
      </c>
      <c r="AH34" t="s">
        <v>1808</v>
      </c>
      <c r="AI34" t="s">
        <v>1813</v>
      </c>
      <c r="AJ34">
        <v>17</v>
      </c>
      <c r="AK34" t="s">
        <v>1682</v>
      </c>
      <c r="AL34" t="s">
        <v>1813</v>
      </c>
      <c r="AM34">
        <v>20</v>
      </c>
      <c r="AN34" t="s">
        <v>2196</v>
      </c>
      <c r="AO34" t="s">
        <v>1814</v>
      </c>
      <c r="AP34">
        <v>27</v>
      </c>
      <c r="AQ34" t="s">
        <v>337</v>
      </c>
      <c r="AR34" t="s">
        <v>1814</v>
      </c>
      <c r="AS34">
        <v>36</v>
      </c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</row>
    <row r="35" spans="1:78" x14ac:dyDescent="0.2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t="s">
        <v>43</v>
      </c>
      <c r="Y35">
        <v>3</v>
      </c>
      <c r="Z35">
        <v>6</v>
      </c>
      <c r="AA35">
        <v>198</v>
      </c>
      <c r="AB35" t="s">
        <v>565</v>
      </c>
      <c r="AC35" t="s">
        <v>1813</v>
      </c>
      <c r="AD35">
        <v>2</v>
      </c>
      <c r="AE35" t="s">
        <v>1789</v>
      </c>
      <c r="AF35" t="s">
        <v>1814</v>
      </c>
      <c r="AG35">
        <v>29</v>
      </c>
      <c r="AH35" t="s">
        <v>239</v>
      </c>
      <c r="AI35" t="s">
        <v>1814</v>
      </c>
      <c r="AJ35">
        <v>32</v>
      </c>
      <c r="AK35" t="s">
        <v>1119</v>
      </c>
      <c r="AL35" t="s">
        <v>1813</v>
      </c>
      <c r="AM35">
        <v>38</v>
      </c>
      <c r="AN35" t="s">
        <v>353</v>
      </c>
      <c r="AO35" t="s">
        <v>1814</v>
      </c>
      <c r="AP35">
        <v>44</v>
      </c>
      <c r="AQ35" t="s">
        <v>2275</v>
      </c>
      <c r="AR35" t="s">
        <v>1813</v>
      </c>
      <c r="AS35">
        <v>53</v>
      </c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</row>
    <row r="36" spans="1:78" x14ac:dyDescent="0.2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t="s">
        <v>38</v>
      </c>
      <c r="Y36">
        <v>4</v>
      </c>
      <c r="Z36">
        <v>6</v>
      </c>
      <c r="AA36">
        <v>324</v>
      </c>
      <c r="AB36" t="s">
        <v>2198</v>
      </c>
      <c r="AC36" t="s">
        <v>1813</v>
      </c>
      <c r="AD36">
        <v>25</v>
      </c>
      <c r="AE36" t="s">
        <v>2276</v>
      </c>
      <c r="AF36" t="s">
        <v>1813</v>
      </c>
      <c r="AG36">
        <v>42</v>
      </c>
      <c r="AH36" t="s">
        <v>2202</v>
      </c>
      <c r="AI36" t="s">
        <v>1814</v>
      </c>
      <c r="AJ36">
        <v>45</v>
      </c>
      <c r="AK36" t="s">
        <v>2205</v>
      </c>
      <c r="AL36" t="s">
        <v>1814</v>
      </c>
      <c r="AM36">
        <v>51</v>
      </c>
      <c r="AN36" t="s">
        <v>204</v>
      </c>
      <c r="AO36" t="s">
        <v>1814</v>
      </c>
      <c r="AP36">
        <v>79</v>
      </c>
      <c r="AQ36" t="s">
        <v>2212</v>
      </c>
      <c r="AR36" t="s">
        <v>1814</v>
      </c>
      <c r="AS36">
        <v>82</v>
      </c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</row>
    <row r="37" spans="1:78" x14ac:dyDescent="0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t="s">
        <v>1805</v>
      </c>
      <c r="Y37">
        <v>5</v>
      </c>
      <c r="Z37">
        <v>6</v>
      </c>
      <c r="AA37">
        <v>346</v>
      </c>
      <c r="AB37" t="s">
        <v>2193</v>
      </c>
      <c r="AC37" t="s">
        <v>1813</v>
      </c>
      <c r="AD37">
        <v>12</v>
      </c>
      <c r="AE37" t="s">
        <v>1822</v>
      </c>
      <c r="AF37" t="s">
        <v>1813</v>
      </c>
      <c r="AG37">
        <v>26</v>
      </c>
      <c r="AH37" t="s">
        <v>2197</v>
      </c>
      <c r="AI37" t="s">
        <v>1813</v>
      </c>
      <c r="AJ37">
        <v>31</v>
      </c>
      <c r="AK37" t="s">
        <v>2310</v>
      </c>
      <c r="AL37" t="s">
        <v>1814</v>
      </c>
      <c r="AM37">
        <v>77</v>
      </c>
      <c r="AN37" t="s">
        <v>2214</v>
      </c>
      <c r="AO37" t="s">
        <v>1814</v>
      </c>
      <c r="AP37">
        <v>98</v>
      </c>
      <c r="AQ37" t="s">
        <v>2217</v>
      </c>
      <c r="AR37" t="s">
        <v>1814</v>
      </c>
      <c r="AS37">
        <v>102</v>
      </c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</row>
    <row r="38" spans="1:78" x14ac:dyDescent="0.2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t="s">
        <v>14</v>
      </c>
      <c r="Y38">
        <v>6</v>
      </c>
      <c r="Z38">
        <v>6</v>
      </c>
      <c r="AA38">
        <v>366</v>
      </c>
      <c r="AB38" t="s">
        <v>1522</v>
      </c>
      <c r="AC38" t="s">
        <v>1814</v>
      </c>
      <c r="AD38">
        <v>35</v>
      </c>
      <c r="AE38" t="s">
        <v>1911</v>
      </c>
      <c r="AF38" t="s">
        <v>1814</v>
      </c>
      <c r="AG38">
        <v>52</v>
      </c>
      <c r="AH38" t="s">
        <v>2148</v>
      </c>
      <c r="AI38" t="s">
        <v>1814</v>
      </c>
      <c r="AJ38">
        <v>54</v>
      </c>
      <c r="AK38" t="s">
        <v>1662</v>
      </c>
      <c r="AL38" t="s">
        <v>1814</v>
      </c>
      <c r="AM38">
        <v>68</v>
      </c>
      <c r="AN38" t="s">
        <v>549</v>
      </c>
      <c r="AO38" t="s">
        <v>1814</v>
      </c>
      <c r="AP38">
        <v>76</v>
      </c>
      <c r="AQ38" t="s">
        <v>2289</v>
      </c>
      <c r="AR38" t="s">
        <v>1814</v>
      </c>
      <c r="AS38">
        <v>81</v>
      </c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</row>
    <row r="39" spans="1:78" x14ac:dyDescent="0.2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t="s">
        <v>154</v>
      </c>
      <c r="Y39">
        <v>7</v>
      </c>
      <c r="Z39">
        <v>6</v>
      </c>
      <c r="AA39">
        <v>400</v>
      </c>
      <c r="AB39" t="s">
        <v>311</v>
      </c>
      <c r="AC39" t="s">
        <v>1814</v>
      </c>
      <c r="AD39">
        <v>13</v>
      </c>
      <c r="AE39" t="s">
        <v>1903</v>
      </c>
      <c r="AF39" t="s">
        <v>1813</v>
      </c>
      <c r="AG39">
        <v>15</v>
      </c>
      <c r="AH39" t="s">
        <v>301</v>
      </c>
      <c r="AI39" t="s">
        <v>1814</v>
      </c>
      <c r="AJ39">
        <v>37</v>
      </c>
      <c r="AK39" t="s">
        <v>1699</v>
      </c>
      <c r="AL39" t="s">
        <v>1814</v>
      </c>
      <c r="AM39">
        <v>61</v>
      </c>
      <c r="AN39" t="s">
        <v>2141</v>
      </c>
      <c r="AO39" t="s">
        <v>1814</v>
      </c>
      <c r="AP39">
        <v>128</v>
      </c>
      <c r="AQ39" t="s">
        <v>456</v>
      </c>
      <c r="AR39" t="s">
        <v>1814</v>
      </c>
      <c r="AS39">
        <v>146</v>
      </c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</row>
    <row r="40" spans="1:78" x14ac:dyDescent="0.2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t="s">
        <v>155</v>
      </c>
      <c r="Y40">
        <v>8</v>
      </c>
      <c r="Z40">
        <v>6</v>
      </c>
      <c r="AA40">
        <v>429</v>
      </c>
      <c r="AB40" t="s">
        <v>414</v>
      </c>
      <c r="AC40" t="s">
        <v>1814</v>
      </c>
      <c r="AD40">
        <v>34</v>
      </c>
      <c r="AE40" t="s">
        <v>1406</v>
      </c>
      <c r="AF40" t="s">
        <v>1813</v>
      </c>
      <c r="AG40">
        <v>69</v>
      </c>
      <c r="AH40" t="s">
        <v>2277</v>
      </c>
      <c r="AI40" t="s">
        <v>1813</v>
      </c>
      <c r="AJ40">
        <v>74</v>
      </c>
      <c r="AK40" t="s">
        <v>1370</v>
      </c>
      <c r="AL40" t="s">
        <v>1814</v>
      </c>
      <c r="AM40">
        <v>78</v>
      </c>
      <c r="AN40" t="s">
        <v>872</v>
      </c>
      <c r="AO40" t="s">
        <v>1814</v>
      </c>
      <c r="AP40">
        <v>83</v>
      </c>
      <c r="AQ40" t="s">
        <v>1404</v>
      </c>
      <c r="AR40" t="s">
        <v>1813</v>
      </c>
      <c r="AS40">
        <v>91</v>
      </c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</row>
    <row r="41" spans="1:78" x14ac:dyDescent="0.2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t="s">
        <v>63</v>
      </c>
      <c r="Y41">
        <v>9</v>
      </c>
      <c r="Z41">
        <v>6</v>
      </c>
      <c r="AA41">
        <v>457</v>
      </c>
      <c r="AB41" t="s">
        <v>408</v>
      </c>
      <c r="AC41" t="s">
        <v>1813</v>
      </c>
      <c r="AD41">
        <v>19</v>
      </c>
      <c r="AE41" t="s">
        <v>2194</v>
      </c>
      <c r="AF41" t="s">
        <v>1813</v>
      </c>
      <c r="AG41">
        <v>22</v>
      </c>
      <c r="AH41" t="s">
        <v>2304</v>
      </c>
      <c r="AI41" t="s">
        <v>1813</v>
      </c>
      <c r="AJ41">
        <v>43</v>
      </c>
      <c r="AK41" t="s">
        <v>1410</v>
      </c>
      <c r="AL41" t="s">
        <v>1814</v>
      </c>
      <c r="AM41">
        <v>96</v>
      </c>
      <c r="AN41" t="s">
        <v>2294</v>
      </c>
      <c r="AO41" t="s">
        <v>1814</v>
      </c>
      <c r="AP41">
        <v>130</v>
      </c>
      <c r="AQ41" t="s">
        <v>1322</v>
      </c>
      <c r="AR41" t="s">
        <v>1814</v>
      </c>
      <c r="AS41">
        <v>147</v>
      </c>
      <c r="AU41" s="154"/>
      <c r="AV41" s="154"/>
      <c r="AW41" s="154"/>
      <c r="AX41" s="154"/>
      <c r="AY41" s="167"/>
      <c r="AZ41" s="168"/>
      <c r="BA41" s="168"/>
      <c r="BB41" s="168"/>
      <c r="BC41" s="168"/>
      <c r="BD41" s="168"/>
      <c r="BE41" s="168"/>
      <c r="BF41" s="168"/>
      <c r="BG41" s="168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</row>
    <row r="42" spans="1:78" x14ac:dyDescent="0.2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t="s">
        <v>1278</v>
      </c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</row>
    <row r="43" spans="1:78" x14ac:dyDescent="0.2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t="s">
        <v>12</v>
      </c>
      <c r="Y43">
        <v>1</v>
      </c>
      <c r="Z43">
        <v>4</v>
      </c>
      <c r="AA43">
        <v>14</v>
      </c>
      <c r="AB43" t="s">
        <v>901</v>
      </c>
      <c r="AC43" t="s">
        <v>1813</v>
      </c>
      <c r="AD43">
        <v>1</v>
      </c>
      <c r="AE43" t="s">
        <v>260</v>
      </c>
      <c r="AF43" t="s">
        <v>1814</v>
      </c>
      <c r="AG43">
        <v>3</v>
      </c>
      <c r="AH43" t="s">
        <v>1323</v>
      </c>
      <c r="AI43" t="s">
        <v>1813</v>
      </c>
      <c r="AJ43">
        <v>4</v>
      </c>
      <c r="AK43" t="s">
        <v>271</v>
      </c>
      <c r="AL43" t="s">
        <v>1814</v>
      </c>
      <c r="AM43">
        <v>6</v>
      </c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</row>
    <row r="44" spans="1:78" x14ac:dyDescent="0.2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t="s">
        <v>154</v>
      </c>
      <c r="Y44">
        <v>2</v>
      </c>
      <c r="Z44">
        <v>4</v>
      </c>
      <c r="AA44">
        <v>33</v>
      </c>
      <c r="AB44" t="s">
        <v>1956</v>
      </c>
      <c r="AC44" t="s">
        <v>1814</v>
      </c>
      <c r="AD44">
        <v>2</v>
      </c>
      <c r="AE44" t="s">
        <v>1883</v>
      </c>
      <c r="AF44" t="s">
        <v>1814</v>
      </c>
      <c r="AG44">
        <v>5</v>
      </c>
      <c r="AH44" t="s">
        <v>365</v>
      </c>
      <c r="AI44" t="s">
        <v>1814</v>
      </c>
      <c r="AJ44">
        <v>11</v>
      </c>
      <c r="AK44" t="s">
        <v>1059</v>
      </c>
      <c r="AL44" t="s">
        <v>1814</v>
      </c>
      <c r="AM44">
        <v>15</v>
      </c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</row>
    <row r="45" spans="1:78" x14ac:dyDescent="0.2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t="s">
        <v>108</v>
      </c>
      <c r="Y45">
        <v>3</v>
      </c>
      <c r="Z45">
        <v>4</v>
      </c>
      <c r="AA45">
        <v>68</v>
      </c>
      <c r="AB45" t="s">
        <v>229</v>
      </c>
      <c r="AC45" t="s">
        <v>1814</v>
      </c>
      <c r="AD45">
        <v>9</v>
      </c>
      <c r="AE45" t="s">
        <v>1833</v>
      </c>
      <c r="AF45" t="s">
        <v>1813</v>
      </c>
      <c r="AG45">
        <v>10</v>
      </c>
      <c r="AH45" t="s">
        <v>375</v>
      </c>
      <c r="AI45" t="s">
        <v>1814</v>
      </c>
      <c r="AJ45">
        <v>17</v>
      </c>
      <c r="AK45" t="s">
        <v>188</v>
      </c>
      <c r="AL45" t="s">
        <v>1813</v>
      </c>
      <c r="AM45">
        <v>32</v>
      </c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</row>
    <row r="46" spans="1:78" x14ac:dyDescent="0.2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t="s">
        <v>63</v>
      </c>
      <c r="Y46">
        <v>4</v>
      </c>
      <c r="Z46">
        <v>4</v>
      </c>
      <c r="AA46">
        <v>77</v>
      </c>
      <c r="AB46" t="s">
        <v>1767</v>
      </c>
      <c r="AC46" t="s">
        <v>1813</v>
      </c>
      <c r="AD46">
        <v>12</v>
      </c>
      <c r="AE46" t="s">
        <v>1335</v>
      </c>
      <c r="AF46" t="s">
        <v>1814</v>
      </c>
      <c r="AG46">
        <v>18</v>
      </c>
      <c r="AH46" t="s">
        <v>2211</v>
      </c>
      <c r="AI46" t="s">
        <v>1813</v>
      </c>
      <c r="AJ46">
        <v>19</v>
      </c>
      <c r="AK46" t="s">
        <v>1182</v>
      </c>
      <c r="AL46" t="s">
        <v>1814</v>
      </c>
      <c r="AM46">
        <v>28</v>
      </c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</row>
    <row r="47" spans="1:78" x14ac:dyDescent="0.2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t="s">
        <v>1805</v>
      </c>
      <c r="Y47">
        <v>5</v>
      </c>
      <c r="Z47">
        <v>4</v>
      </c>
      <c r="AA47">
        <v>88</v>
      </c>
      <c r="AB47" t="s">
        <v>2278</v>
      </c>
      <c r="AC47" t="s">
        <v>1814</v>
      </c>
      <c r="AD47">
        <v>13</v>
      </c>
      <c r="AE47" t="s">
        <v>2216</v>
      </c>
      <c r="AF47" t="s">
        <v>1813</v>
      </c>
      <c r="AG47">
        <v>16</v>
      </c>
      <c r="AH47" t="s">
        <v>2218</v>
      </c>
      <c r="AI47" t="s">
        <v>1814</v>
      </c>
      <c r="AJ47">
        <v>25</v>
      </c>
      <c r="AK47" t="s">
        <v>2306</v>
      </c>
      <c r="AL47" t="s">
        <v>1814</v>
      </c>
      <c r="AM47">
        <v>34</v>
      </c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</row>
    <row r="48" spans="1:78" x14ac:dyDescent="0.2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t="s">
        <v>14</v>
      </c>
      <c r="Y48">
        <v>6</v>
      </c>
      <c r="Z48">
        <v>4</v>
      </c>
      <c r="AA48">
        <v>119</v>
      </c>
      <c r="AB48" t="s">
        <v>991</v>
      </c>
      <c r="AC48" t="s">
        <v>1814</v>
      </c>
      <c r="AD48">
        <v>14</v>
      </c>
      <c r="AE48" t="s">
        <v>1005</v>
      </c>
      <c r="AF48" t="s">
        <v>1814</v>
      </c>
      <c r="AG48">
        <v>20</v>
      </c>
      <c r="AH48" t="s">
        <v>749</v>
      </c>
      <c r="AI48" t="s">
        <v>1814</v>
      </c>
      <c r="AJ48">
        <v>36</v>
      </c>
      <c r="AK48" t="s">
        <v>1677</v>
      </c>
      <c r="AL48" t="s">
        <v>1814</v>
      </c>
      <c r="AM48">
        <v>49</v>
      </c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</row>
    <row r="49" spans="1:78" x14ac:dyDescent="0.2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t="s">
        <v>38</v>
      </c>
      <c r="Y49">
        <v>7</v>
      </c>
      <c r="Z49">
        <v>4</v>
      </c>
      <c r="AA49">
        <v>136</v>
      </c>
      <c r="AB49" t="s">
        <v>1418</v>
      </c>
      <c r="AC49" t="s">
        <v>1813</v>
      </c>
      <c r="AD49">
        <v>26</v>
      </c>
      <c r="AE49" t="s">
        <v>2223</v>
      </c>
      <c r="AF49" t="s">
        <v>1814</v>
      </c>
      <c r="AG49">
        <v>27</v>
      </c>
      <c r="AH49" t="s">
        <v>2225</v>
      </c>
      <c r="AI49" t="s">
        <v>1814</v>
      </c>
      <c r="AJ49">
        <v>35</v>
      </c>
      <c r="AK49" t="s">
        <v>1191</v>
      </c>
      <c r="AL49" t="s">
        <v>1814</v>
      </c>
      <c r="AM49">
        <v>48</v>
      </c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</row>
    <row r="50" spans="1:78" x14ac:dyDescent="0.2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t="s">
        <v>155</v>
      </c>
      <c r="Y50">
        <v>8</v>
      </c>
      <c r="Z50">
        <v>4</v>
      </c>
      <c r="AA50">
        <v>168</v>
      </c>
      <c r="AB50" t="s">
        <v>281</v>
      </c>
      <c r="AC50" t="s">
        <v>1814</v>
      </c>
      <c r="AD50">
        <v>29</v>
      </c>
      <c r="AE50" t="s">
        <v>377</v>
      </c>
      <c r="AF50" t="s">
        <v>1814</v>
      </c>
      <c r="AG50">
        <v>42</v>
      </c>
      <c r="AH50" t="s">
        <v>2274</v>
      </c>
      <c r="AI50" t="s">
        <v>1814</v>
      </c>
      <c r="AJ50">
        <v>47</v>
      </c>
      <c r="AK50" t="s">
        <v>1835</v>
      </c>
      <c r="AL50" t="s">
        <v>1813</v>
      </c>
      <c r="AM50">
        <v>50</v>
      </c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</row>
    <row r="51" spans="1:78" x14ac:dyDescent="0.2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t="s">
        <v>43</v>
      </c>
      <c r="Y51">
        <v>9</v>
      </c>
      <c r="Z51">
        <v>2</v>
      </c>
      <c r="AA51">
        <v>357</v>
      </c>
      <c r="AB51" t="s">
        <v>380</v>
      </c>
      <c r="AC51" t="s">
        <v>1814</v>
      </c>
      <c r="AD51">
        <v>44</v>
      </c>
      <c r="AE51" t="s">
        <v>1761</v>
      </c>
      <c r="AF51" t="s">
        <v>1814</v>
      </c>
      <c r="AG51">
        <v>88</v>
      </c>
      <c r="AH51" t="s">
        <v>1815</v>
      </c>
      <c r="AJ51">
        <v>112</v>
      </c>
      <c r="AK51" t="s">
        <v>1815</v>
      </c>
      <c r="AM51">
        <v>113</v>
      </c>
      <c r="AU51" s="154"/>
      <c r="AV51" s="154"/>
      <c r="AW51" s="154"/>
      <c r="AX51" s="154"/>
      <c r="AY51" s="167"/>
      <c r="AZ51" s="168"/>
      <c r="BA51" s="168"/>
      <c r="BB51" s="168"/>
      <c r="BC51" s="168"/>
      <c r="BD51" s="168"/>
      <c r="BE51" s="168"/>
      <c r="BF51" s="168"/>
      <c r="BG51" s="168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</row>
    <row r="52" spans="1:78" x14ac:dyDescent="0.2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AU52" s="154"/>
      <c r="AV52" s="154"/>
      <c r="AW52" s="154"/>
      <c r="AX52" s="154"/>
      <c r="AY52" s="167"/>
      <c r="AZ52" s="168"/>
      <c r="BA52" s="168"/>
      <c r="BB52" s="168"/>
      <c r="BC52" s="168"/>
      <c r="BD52" s="168"/>
      <c r="BE52" s="168"/>
      <c r="BF52" s="168"/>
      <c r="BG52" s="168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</row>
    <row r="53" spans="1:78" x14ac:dyDescent="0.2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AU53" s="154"/>
      <c r="AV53" s="154"/>
      <c r="AW53" s="154"/>
      <c r="AX53" s="154"/>
      <c r="AY53" s="167"/>
      <c r="AZ53" s="168"/>
      <c r="BA53" s="168"/>
      <c r="BB53" s="168"/>
      <c r="BC53" s="168"/>
      <c r="BD53" s="168"/>
      <c r="BE53" s="168"/>
      <c r="BF53" s="168"/>
      <c r="BG53" s="168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</row>
    <row r="54" spans="1:78" x14ac:dyDescent="0.2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AU54" s="154"/>
      <c r="AV54" s="154"/>
      <c r="AW54" s="154"/>
      <c r="AX54" s="154"/>
      <c r="AY54" s="167"/>
      <c r="AZ54" s="168"/>
      <c r="BA54" s="168"/>
      <c r="BB54" s="168"/>
      <c r="BC54" s="168"/>
      <c r="BD54" s="168"/>
      <c r="BE54" s="168"/>
      <c r="BF54" s="168"/>
      <c r="BG54" s="168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</row>
    <row r="55" spans="1:78" x14ac:dyDescent="0.2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14" t="s">
        <v>1318</v>
      </c>
      <c r="Y55" s="114"/>
      <c r="Z55" s="11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</row>
    <row r="56" spans="1:78" x14ac:dyDescent="0.2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14" t="s">
        <v>2185</v>
      </c>
      <c r="Y56" s="114"/>
      <c r="Z56" s="11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</row>
    <row r="57" spans="1:78" x14ac:dyDescent="0.2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14" t="s">
        <v>153</v>
      </c>
      <c r="Y57" s="114" t="s">
        <v>0</v>
      </c>
      <c r="Z57" s="114" t="s">
        <v>1205</v>
      </c>
      <c r="AA57" s="114" t="s">
        <v>1206</v>
      </c>
      <c r="AB57" s="114" t="s">
        <v>148</v>
      </c>
      <c r="AC57" s="114" t="s">
        <v>587</v>
      </c>
      <c r="AD57" s="114" t="s">
        <v>0</v>
      </c>
      <c r="AE57" s="114" t="s">
        <v>1207</v>
      </c>
      <c r="AF57" s="114" t="s">
        <v>587</v>
      </c>
      <c r="AG57" s="114" t="s">
        <v>0</v>
      </c>
      <c r="AH57" s="114" t="s">
        <v>150</v>
      </c>
      <c r="AI57" s="114" t="s">
        <v>587</v>
      </c>
      <c r="AJ57" s="114" t="s">
        <v>0</v>
      </c>
      <c r="AK57" s="114" t="s">
        <v>151</v>
      </c>
      <c r="AL57" s="114" t="s">
        <v>587</v>
      </c>
      <c r="AM57" s="114" t="s">
        <v>0</v>
      </c>
      <c r="AN57" s="114" t="s">
        <v>1208</v>
      </c>
      <c r="AO57" s="114" t="s">
        <v>587</v>
      </c>
      <c r="AP57" s="114" t="s">
        <v>0</v>
      </c>
      <c r="AQ57" s="114" t="s">
        <v>1209</v>
      </c>
      <c r="AR57" s="114" t="s">
        <v>587</v>
      </c>
      <c r="AS57" s="114" t="s">
        <v>0</v>
      </c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</row>
    <row r="58" spans="1:78" x14ac:dyDescent="0.2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AU58" s="154"/>
      <c r="AV58" s="154"/>
      <c r="AW58" s="154"/>
      <c r="AX58" s="154"/>
      <c r="AY58" s="167"/>
      <c r="AZ58" s="168"/>
      <c r="BA58" s="168"/>
      <c r="BB58" s="168"/>
      <c r="BC58" s="168"/>
      <c r="BD58" s="168"/>
      <c r="BE58" s="168"/>
      <c r="BF58" s="168"/>
      <c r="BG58" s="168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</row>
    <row r="59" spans="1:78" x14ac:dyDescent="0.2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t="s">
        <v>1277</v>
      </c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</row>
    <row r="60" spans="1:78" x14ac:dyDescent="0.2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t="s">
        <v>12</v>
      </c>
      <c r="Y60">
        <v>1</v>
      </c>
      <c r="Z60">
        <v>6</v>
      </c>
      <c r="AA60">
        <v>70</v>
      </c>
      <c r="AB60" t="s">
        <v>354</v>
      </c>
      <c r="AC60" t="s">
        <v>1813</v>
      </c>
      <c r="AD60">
        <v>1</v>
      </c>
      <c r="AE60" t="s">
        <v>596</v>
      </c>
      <c r="AF60" t="s">
        <v>1813</v>
      </c>
      <c r="AG60">
        <v>3</v>
      </c>
      <c r="AH60" t="s">
        <v>364</v>
      </c>
      <c r="AI60" t="s">
        <v>1813</v>
      </c>
      <c r="AJ60">
        <v>5</v>
      </c>
      <c r="AK60" t="s">
        <v>322</v>
      </c>
      <c r="AL60" t="s">
        <v>1814</v>
      </c>
      <c r="AM60">
        <v>16</v>
      </c>
      <c r="AN60" t="s">
        <v>2286</v>
      </c>
      <c r="AO60" t="s">
        <v>1814</v>
      </c>
      <c r="AP60">
        <v>17</v>
      </c>
      <c r="AQ60" t="s">
        <v>2309</v>
      </c>
      <c r="AR60" t="s">
        <v>1814</v>
      </c>
      <c r="AS60">
        <v>28</v>
      </c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</row>
    <row r="61" spans="1:78" x14ac:dyDescent="0.2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t="s">
        <v>108</v>
      </c>
      <c r="Y61">
        <v>2</v>
      </c>
      <c r="Z61">
        <v>6</v>
      </c>
      <c r="AA61">
        <v>149</v>
      </c>
      <c r="AB61" t="s">
        <v>302</v>
      </c>
      <c r="AC61" t="s">
        <v>1814</v>
      </c>
      <c r="AD61">
        <v>8</v>
      </c>
      <c r="AE61" t="s">
        <v>1389</v>
      </c>
      <c r="AF61" t="s">
        <v>1814</v>
      </c>
      <c r="AG61">
        <v>9</v>
      </c>
      <c r="AH61" t="s">
        <v>1808</v>
      </c>
      <c r="AI61" t="s">
        <v>1813</v>
      </c>
      <c r="AJ61">
        <v>13</v>
      </c>
      <c r="AK61" t="s">
        <v>2196</v>
      </c>
      <c r="AL61" t="s">
        <v>1814</v>
      </c>
      <c r="AM61">
        <v>31</v>
      </c>
      <c r="AN61" t="s">
        <v>337</v>
      </c>
      <c r="AO61" t="s">
        <v>1814</v>
      </c>
      <c r="AP61">
        <v>42</v>
      </c>
      <c r="AQ61" t="s">
        <v>2324</v>
      </c>
      <c r="AR61" t="s">
        <v>1813</v>
      </c>
      <c r="AS61">
        <v>46</v>
      </c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</row>
    <row r="62" spans="1:78" x14ac:dyDescent="0.2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t="s">
        <v>154</v>
      </c>
      <c r="Y62">
        <v>3</v>
      </c>
      <c r="Z62">
        <v>6</v>
      </c>
      <c r="AA62">
        <v>187</v>
      </c>
      <c r="AB62" t="s">
        <v>311</v>
      </c>
      <c r="AC62" t="s">
        <v>1814</v>
      </c>
      <c r="AD62">
        <v>10</v>
      </c>
      <c r="AE62" t="s">
        <v>1921</v>
      </c>
      <c r="AF62" t="s">
        <v>1813</v>
      </c>
      <c r="AG62">
        <v>20</v>
      </c>
      <c r="AH62" t="s">
        <v>2319</v>
      </c>
      <c r="AI62" t="s">
        <v>1813</v>
      </c>
      <c r="AJ62">
        <v>22</v>
      </c>
      <c r="AK62" t="s">
        <v>1720</v>
      </c>
      <c r="AL62" t="s">
        <v>1813</v>
      </c>
      <c r="AM62">
        <v>29</v>
      </c>
      <c r="AN62" t="s">
        <v>301</v>
      </c>
      <c r="AO62" t="s">
        <v>1814</v>
      </c>
      <c r="AP62">
        <v>39</v>
      </c>
      <c r="AQ62" t="s">
        <v>1050</v>
      </c>
      <c r="AR62" t="s">
        <v>1814</v>
      </c>
      <c r="AS62">
        <v>67</v>
      </c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</row>
    <row r="63" spans="1:78" x14ac:dyDescent="0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t="s">
        <v>63</v>
      </c>
      <c r="Y63">
        <v>4</v>
      </c>
      <c r="Z63">
        <v>6</v>
      </c>
      <c r="AA63">
        <v>188</v>
      </c>
      <c r="AB63" t="s">
        <v>2192</v>
      </c>
      <c r="AC63" t="s">
        <v>1813</v>
      </c>
      <c r="AD63">
        <v>4</v>
      </c>
      <c r="AE63" t="s">
        <v>2194</v>
      </c>
      <c r="AF63" t="s">
        <v>1813</v>
      </c>
      <c r="AG63">
        <v>12</v>
      </c>
      <c r="AH63" t="s">
        <v>2151</v>
      </c>
      <c r="AI63" t="s">
        <v>1813</v>
      </c>
      <c r="AJ63">
        <v>18</v>
      </c>
      <c r="AK63" t="s">
        <v>1361</v>
      </c>
      <c r="AL63" t="s">
        <v>1814</v>
      </c>
      <c r="AM63">
        <v>21</v>
      </c>
      <c r="AN63" t="s">
        <v>955</v>
      </c>
      <c r="AO63" t="s">
        <v>1814</v>
      </c>
      <c r="AP63">
        <v>50</v>
      </c>
      <c r="AQ63" t="s">
        <v>2333</v>
      </c>
      <c r="AR63" t="s">
        <v>1814</v>
      </c>
      <c r="AS63">
        <v>83</v>
      </c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</row>
    <row r="64" spans="1:78" x14ac:dyDescent="0.2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t="s">
        <v>14</v>
      </c>
      <c r="Y64">
        <v>5</v>
      </c>
      <c r="Z64">
        <v>6</v>
      </c>
      <c r="AA64">
        <v>290</v>
      </c>
      <c r="AB64" t="s">
        <v>1533</v>
      </c>
      <c r="AC64" t="s">
        <v>1813</v>
      </c>
      <c r="AD64">
        <v>14</v>
      </c>
      <c r="AE64" t="s">
        <v>2317</v>
      </c>
      <c r="AF64" t="s">
        <v>1813</v>
      </c>
      <c r="AG64">
        <v>15</v>
      </c>
      <c r="AH64" t="s">
        <v>1522</v>
      </c>
      <c r="AI64" t="s">
        <v>1814</v>
      </c>
      <c r="AJ64">
        <v>49</v>
      </c>
      <c r="AK64" t="s">
        <v>1553</v>
      </c>
      <c r="AL64" t="s">
        <v>1814</v>
      </c>
      <c r="AM64">
        <v>58</v>
      </c>
      <c r="AN64" t="s">
        <v>2148</v>
      </c>
      <c r="AO64" t="s">
        <v>1814</v>
      </c>
      <c r="AP64">
        <v>73</v>
      </c>
      <c r="AQ64" t="s">
        <v>551</v>
      </c>
      <c r="AR64" t="s">
        <v>1814</v>
      </c>
      <c r="AS64">
        <v>81</v>
      </c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</row>
    <row r="65" spans="1:78" x14ac:dyDescent="0.2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t="s">
        <v>43</v>
      </c>
      <c r="Y65">
        <v>6</v>
      </c>
      <c r="Z65">
        <v>6</v>
      </c>
      <c r="AA65">
        <v>379</v>
      </c>
      <c r="AB65" t="s">
        <v>1122</v>
      </c>
      <c r="AC65" t="s">
        <v>1814</v>
      </c>
      <c r="AD65">
        <v>32</v>
      </c>
      <c r="AE65" t="s">
        <v>353</v>
      </c>
      <c r="AF65" t="s">
        <v>1814</v>
      </c>
      <c r="AG65">
        <v>57</v>
      </c>
      <c r="AH65" t="s">
        <v>1119</v>
      </c>
      <c r="AI65" t="s">
        <v>1813</v>
      </c>
      <c r="AJ65">
        <v>63</v>
      </c>
      <c r="AK65" t="s">
        <v>1152</v>
      </c>
      <c r="AL65" t="s">
        <v>1814</v>
      </c>
      <c r="AM65">
        <v>69</v>
      </c>
      <c r="AN65" t="s">
        <v>609</v>
      </c>
      <c r="AO65" t="s">
        <v>1814</v>
      </c>
      <c r="AP65">
        <v>76</v>
      </c>
      <c r="AQ65" t="s">
        <v>300</v>
      </c>
      <c r="AR65" t="s">
        <v>1814</v>
      </c>
      <c r="AS65">
        <v>82</v>
      </c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</row>
    <row r="66" spans="1:78" x14ac:dyDescent="0.2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t="s">
        <v>38</v>
      </c>
      <c r="Y66">
        <v>7</v>
      </c>
      <c r="Z66">
        <v>6</v>
      </c>
      <c r="AA66">
        <v>435</v>
      </c>
      <c r="AB66" t="s">
        <v>2322</v>
      </c>
      <c r="AC66" t="s">
        <v>1813</v>
      </c>
      <c r="AD66">
        <v>40</v>
      </c>
      <c r="AE66" t="s">
        <v>2276</v>
      </c>
      <c r="AF66" t="s">
        <v>1813</v>
      </c>
      <c r="AG66">
        <v>45</v>
      </c>
      <c r="AH66" t="s">
        <v>2202</v>
      </c>
      <c r="AI66" t="s">
        <v>1814</v>
      </c>
      <c r="AJ66">
        <v>55</v>
      </c>
      <c r="AK66" t="s">
        <v>2205</v>
      </c>
      <c r="AL66" t="s">
        <v>1814</v>
      </c>
      <c r="AM66">
        <v>62</v>
      </c>
      <c r="AN66" t="s">
        <v>973</v>
      </c>
      <c r="AO66" t="s">
        <v>1814</v>
      </c>
      <c r="AP66">
        <v>116</v>
      </c>
      <c r="AQ66" t="s">
        <v>2117</v>
      </c>
      <c r="AR66" t="s">
        <v>1814</v>
      </c>
      <c r="AS66">
        <v>117</v>
      </c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</row>
    <row r="67" spans="1:78" x14ac:dyDescent="0.2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t="s">
        <v>155</v>
      </c>
      <c r="Y67">
        <v>8</v>
      </c>
      <c r="Z67">
        <v>6</v>
      </c>
      <c r="AA67">
        <v>440</v>
      </c>
      <c r="AB67" t="s">
        <v>282</v>
      </c>
      <c r="AC67" t="s">
        <v>1813</v>
      </c>
      <c r="AD67">
        <v>26</v>
      </c>
      <c r="AE67" t="s">
        <v>2323</v>
      </c>
      <c r="AF67" t="s">
        <v>1813</v>
      </c>
      <c r="AG67">
        <v>44</v>
      </c>
      <c r="AH67" t="s">
        <v>584</v>
      </c>
      <c r="AI67" t="s">
        <v>1814</v>
      </c>
      <c r="AJ67">
        <v>68</v>
      </c>
      <c r="AK67" t="s">
        <v>1406</v>
      </c>
      <c r="AL67" t="s">
        <v>1813</v>
      </c>
      <c r="AM67">
        <v>88</v>
      </c>
      <c r="AN67" t="s">
        <v>1370</v>
      </c>
      <c r="AO67" t="s">
        <v>1814</v>
      </c>
      <c r="AP67">
        <v>106</v>
      </c>
      <c r="AQ67" t="s">
        <v>872</v>
      </c>
      <c r="AR67" t="s">
        <v>1814</v>
      </c>
      <c r="AS67">
        <v>108</v>
      </c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</row>
    <row r="68" spans="1:78" x14ac:dyDescent="0.2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t="s">
        <v>1805</v>
      </c>
      <c r="Y68">
        <v>9</v>
      </c>
      <c r="Z68">
        <v>6</v>
      </c>
      <c r="AA68">
        <v>471</v>
      </c>
      <c r="AB68" t="s">
        <v>1822</v>
      </c>
      <c r="AC68" t="s">
        <v>1813</v>
      </c>
      <c r="AD68">
        <v>25</v>
      </c>
      <c r="AE68" t="s">
        <v>2028</v>
      </c>
      <c r="AF68" t="s">
        <v>1813</v>
      </c>
      <c r="AG68">
        <v>33</v>
      </c>
      <c r="AH68" t="s">
        <v>2197</v>
      </c>
      <c r="AI68" t="s">
        <v>1813</v>
      </c>
      <c r="AJ68">
        <v>38</v>
      </c>
      <c r="AK68" t="s">
        <v>2335</v>
      </c>
      <c r="AL68" t="s">
        <v>1814</v>
      </c>
      <c r="AM68">
        <v>105</v>
      </c>
      <c r="AN68" t="s">
        <v>2217</v>
      </c>
      <c r="AO68" t="s">
        <v>1814</v>
      </c>
      <c r="AP68">
        <v>133</v>
      </c>
      <c r="AQ68" t="s">
        <v>2214</v>
      </c>
      <c r="AR68" t="s">
        <v>1814</v>
      </c>
      <c r="AS68">
        <v>137</v>
      </c>
      <c r="AU68" s="154"/>
      <c r="AV68" s="154"/>
      <c r="AW68" s="154"/>
      <c r="AX68" s="154"/>
      <c r="AY68" s="167"/>
      <c r="AZ68" s="168"/>
      <c r="BA68" s="168"/>
      <c r="BB68" s="168"/>
      <c r="BC68" s="168"/>
      <c r="BD68" s="168"/>
      <c r="BE68" s="168"/>
      <c r="BF68" s="168"/>
      <c r="BG68" s="168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</row>
    <row r="69" spans="1:78" x14ac:dyDescent="0.2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t="s">
        <v>1278</v>
      </c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</row>
    <row r="70" spans="1:78" x14ac:dyDescent="0.2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t="s">
        <v>12</v>
      </c>
      <c r="Y70">
        <v>1</v>
      </c>
      <c r="Z70">
        <v>4</v>
      </c>
      <c r="AA70">
        <v>18</v>
      </c>
      <c r="AB70" t="s">
        <v>901</v>
      </c>
      <c r="AC70" t="s">
        <v>1813</v>
      </c>
      <c r="AD70">
        <v>1</v>
      </c>
      <c r="AE70" t="s">
        <v>2124</v>
      </c>
      <c r="AF70" t="s">
        <v>1814</v>
      </c>
      <c r="AG70">
        <v>4</v>
      </c>
      <c r="AH70" t="s">
        <v>1323</v>
      </c>
      <c r="AI70" t="s">
        <v>1813</v>
      </c>
      <c r="AJ70">
        <v>6</v>
      </c>
      <c r="AK70" t="s">
        <v>271</v>
      </c>
      <c r="AL70" t="s">
        <v>1814</v>
      </c>
      <c r="AM70">
        <v>7</v>
      </c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</row>
    <row r="71" spans="1:78" x14ac:dyDescent="0.2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t="s">
        <v>154</v>
      </c>
      <c r="Y71">
        <v>2</v>
      </c>
      <c r="Z71">
        <v>4</v>
      </c>
      <c r="AA71">
        <v>32</v>
      </c>
      <c r="AB71" t="s">
        <v>1956</v>
      </c>
      <c r="AC71" t="s">
        <v>1814</v>
      </c>
      <c r="AD71">
        <v>2</v>
      </c>
      <c r="AE71" t="s">
        <v>1883</v>
      </c>
      <c r="AF71" t="s">
        <v>1814</v>
      </c>
      <c r="AG71">
        <v>5</v>
      </c>
      <c r="AH71" t="s">
        <v>2330</v>
      </c>
      <c r="AI71" t="s">
        <v>1813</v>
      </c>
      <c r="AJ71">
        <v>9</v>
      </c>
      <c r="AK71" t="s">
        <v>1059</v>
      </c>
      <c r="AL71" t="s">
        <v>1814</v>
      </c>
      <c r="AM71">
        <v>16</v>
      </c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</row>
    <row r="72" spans="1:78" x14ac:dyDescent="0.2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t="s">
        <v>14</v>
      </c>
      <c r="Y72">
        <v>3</v>
      </c>
      <c r="Z72">
        <v>4</v>
      </c>
      <c r="AA72">
        <v>41</v>
      </c>
      <c r="AB72" t="s">
        <v>2326</v>
      </c>
      <c r="AC72" t="s">
        <v>1813</v>
      </c>
      <c r="AD72">
        <v>3</v>
      </c>
      <c r="AE72" t="s">
        <v>575</v>
      </c>
      <c r="AF72" t="s">
        <v>1814</v>
      </c>
      <c r="AG72">
        <v>11</v>
      </c>
      <c r="AH72" t="s">
        <v>1688</v>
      </c>
      <c r="AI72" t="s">
        <v>1814</v>
      </c>
      <c r="AJ72">
        <v>12</v>
      </c>
      <c r="AK72" t="s">
        <v>991</v>
      </c>
      <c r="AL72" t="s">
        <v>1814</v>
      </c>
      <c r="AM72">
        <v>15</v>
      </c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</row>
    <row r="73" spans="1:78" x14ac:dyDescent="0.2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t="s">
        <v>108</v>
      </c>
      <c r="Y73">
        <v>4</v>
      </c>
      <c r="Z73">
        <v>4</v>
      </c>
      <c r="AA73">
        <v>61</v>
      </c>
      <c r="AB73" t="s">
        <v>2332</v>
      </c>
      <c r="AC73" t="s">
        <v>1813</v>
      </c>
      <c r="AD73">
        <v>10</v>
      </c>
      <c r="AE73" t="s">
        <v>229</v>
      </c>
      <c r="AF73" t="s">
        <v>1814</v>
      </c>
      <c r="AG73">
        <v>13</v>
      </c>
      <c r="AH73" t="s">
        <v>1833</v>
      </c>
      <c r="AI73" t="s">
        <v>1813</v>
      </c>
      <c r="AJ73">
        <v>18</v>
      </c>
      <c r="AK73" t="s">
        <v>2157</v>
      </c>
      <c r="AL73" t="s">
        <v>1814</v>
      </c>
      <c r="AM73">
        <v>20</v>
      </c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</row>
    <row r="74" spans="1:78" x14ac:dyDescent="0.2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t="s">
        <v>63</v>
      </c>
      <c r="Y74">
        <v>5</v>
      </c>
      <c r="Z74">
        <v>4</v>
      </c>
      <c r="AA74">
        <v>109</v>
      </c>
      <c r="AB74" t="s">
        <v>1767</v>
      </c>
      <c r="AC74" t="s">
        <v>1813</v>
      </c>
      <c r="AD74">
        <v>14</v>
      </c>
      <c r="AE74" t="s">
        <v>2338</v>
      </c>
      <c r="AF74" t="s">
        <v>1813</v>
      </c>
      <c r="AG74">
        <v>17</v>
      </c>
      <c r="AH74" t="s">
        <v>1335</v>
      </c>
      <c r="AI74" t="s">
        <v>1814</v>
      </c>
      <c r="AJ74">
        <v>21</v>
      </c>
      <c r="AK74" t="s">
        <v>2356</v>
      </c>
      <c r="AL74" t="s">
        <v>1814</v>
      </c>
      <c r="AM74">
        <v>57</v>
      </c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</row>
    <row r="75" spans="1:78" x14ac:dyDescent="0.2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t="s">
        <v>1805</v>
      </c>
      <c r="Y75">
        <v>6</v>
      </c>
      <c r="Z75">
        <v>4</v>
      </c>
      <c r="AA75">
        <v>187</v>
      </c>
      <c r="AB75" t="s">
        <v>2216</v>
      </c>
      <c r="AC75" t="s">
        <v>1813</v>
      </c>
      <c r="AD75">
        <v>22</v>
      </c>
      <c r="AE75" t="s">
        <v>2222</v>
      </c>
      <c r="AF75" t="s">
        <v>1813</v>
      </c>
      <c r="AG75">
        <v>38</v>
      </c>
      <c r="AH75" t="s">
        <v>2218</v>
      </c>
      <c r="AI75" t="s">
        <v>1814</v>
      </c>
      <c r="AJ75">
        <v>41</v>
      </c>
      <c r="AK75" t="s">
        <v>2236</v>
      </c>
      <c r="AL75" t="s">
        <v>1814</v>
      </c>
      <c r="AM75">
        <v>86</v>
      </c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</row>
    <row r="76" spans="1:78" x14ac:dyDescent="0.2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t="s">
        <v>155</v>
      </c>
      <c r="Y76">
        <v>7</v>
      </c>
      <c r="Z76">
        <v>4</v>
      </c>
      <c r="AA76">
        <v>249</v>
      </c>
      <c r="AB76" t="s">
        <v>1511</v>
      </c>
      <c r="AC76" t="s">
        <v>1814</v>
      </c>
      <c r="AD76">
        <v>40</v>
      </c>
      <c r="AE76" t="s">
        <v>281</v>
      </c>
      <c r="AF76" t="s">
        <v>1814</v>
      </c>
      <c r="AG76">
        <v>54</v>
      </c>
      <c r="AH76" t="s">
        <v>2274</v>
      </c>
      <c r="AI76" t="s">
        <v>1814</v>
      </c>
      <c r="AJ76">
        <v>72</v>
      </c>
      <c r="AK76" t="s">
        <v>280</v>
      </c>
      <c r="AL76" t="s">
        <v>1814</v>
      </c>
      <c r="AM76">
        <v>83</v>
      </c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</row>
    <row r="77" spans="1:78" x14ac:dyDescent="0.2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t="s">
        <v>38</v>
      </c>
      <c r="Y77">
        <v>8</v>
      </c>
      <c r="Z77">
        <v>4</v>
      </c>
      <c r="AA77">
        <v>321</v>
      </c>
      <c r="AB77" t="s">
        <v>2223</v>
      </c>
      <c r="AC77" t="s">
        <v>1814</v>
      </c>
      <c r="AD77">
        <v>53</v>
      </c>
      <c r="AE77" t="s">
        <v>2225</v>
      </c>
      <c r="AF77" t="s">
        <v>1814</v>
      </c>
      <c r="AG77">
        <v>58</v>
      </c>
      <c r="AH77" t="s">
        <v>2279</v>
      </c>
      <c r="AI77" t="s">
        <v>1814</v>
      </c>
      <c r="AJ77">
        <v>97</v>
      </c>
      <c r="AK77" t="s">
        <v>1742</v>
      </c>
      <c r="AL77" t="s">
        <v>1814</v>
      </c>
      <c r="AM77">
        <v>113</v>
      </c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</row>
    <row r="78" spans="1:78" x14ac:dyDescent="0.2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t="s">
        <v>43</v>
      </c>
      <c r="Y78">
        <v>9</v>
      </c>
      <c r="Z78">
        <v>4</v>
      </c>
      <c r="AA78">
        <v>412</v>
      </c>
      <c r="AB78" t="s">
        <v>193</v>
      </c>
      <c r="AC78" t="s">
        <v>1814</v>
      </c>
      <c r="AD78">
        <v>34</v>
      </c>
      <c r="AE78" t="s">
        <v>380</v>
      </c>
      <c r="AF78" t="s">
        <v>1814</v>
      </c>
      <c r="AG78">
        <v>91</v>
      </c>
      <c r="AH78" t="s">
        <v>578</v>
      </c>
      <c r="AI78" t="s">
        <v>1814</v>
      </c>
      <c r="AJ78">
        <v>139</v>
      </c>
      <c r="AK78" t="s">
        <v>1761</v>
      </c>
      <c r="AL78" t="s">
        <v>1814</v>
      </c>
      <c r="AM78">
        <v>148</v>
      </c>
      <c r="AU78" s="154"/>
      <c r="AV78" s="154"/>
      <c r="AW78" s="154"/>
      <c r="AX78" s="154"/>
      <c r="AY78" s="167"/>
      <c r="AZ78" s="168"/>
      <c r="BA78" s="168"/>
      <c r="BB78" s="168"/>
      <c r="BC78" s="168"/>
      <c r="BD78" s="168"/>
      <c r="BE78" s="168"/>
      <c r="BF78" s="168"/>
      <c r="BG78" s="168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</row>
    <row r="79" spans="1:78" x14ac:dyDescent="0.2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AU79" s="154"/>
      <c r="AV79" s="154"/>
      <c r="AW79" s="154"/>
      <c r="AX79" s="154"/>
      <c r="AY79" s="167"/>
      <c r="AZ79" s="168"/>
      <c r="BA79" s="168"/>
      <c r="BB79" s="168"/>
      <c r="BC79" s="168"/>
      <c r="BD79" s="168"/>
      <c r="BE79" s="168"/>
      <c r="BF79" s="168"/>
      <c r="BG79" s="168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</row>
    <row r="80" spans="1:78" x14ac:dyDescent="0.2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AU80" s="154"/>
      <c r="AV80" s="154"/>
      <c r="AW80" s="154"/>
      <c r="AX80" s="154"/>
      <c r="AY80" s="167"/>
      <c r="AZ80" s="168"/>
      <c r="BA80" s="168"/>
      <c r="BB80" s="168"/>
      <c r="BC80" s="168"/>
      <c r="BD80" s="168"/>
      <c r="BE80" s="168"/>
      <c r="BF80" s="168"/>
      <c r="BG80" s="168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</row>
    <row r="81" spans="1:78" x14ac:dyDescent="0.2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AU81" s="154"/>
      <c r="AV81" s="154"/>
      <c r="AW81" s="154"/>
      <c r="AX81" s="154"/>
      <c r="AY81" s="167"/>
      <c r="AZ81" s="168"/>
      <c r="BA81" s="168"/>
      <c r="BB81" s="168"/>
      <c r="BC81" s="168"/>
      <c r="BD81" s="168"/>
      <c r="BE81" s="168"/>
      <c r="BF81" s="168"/>
      <c r="BG81" s="168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</row>
    <row r="82" spans="1:78" x14ac:dyDescent="0.2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14" t="s">
        <v>1319</v>
      </c>
      <c r="Y82" s="114"/>
      <c r="Z82" s="114"/>
      <c r="AA82" s="11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</row>
    <row r="83" spans="1:78" x14ac:dyDescent="0.2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14" t="s">
        <v>2186</v>
      </c>
      <c r="Y83" s="114"/>
      <c r="Z83" s="114"/>
      <c r="AA83" s="11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</row>
    <row r="84" spans="1:78" x14ac:dyDescent="0.2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14" t="s">
        <v>153</v>
      </c>
      <c r="Y84" s="114" t="s">
        <v>0</v>
      </c>
      <c r="Z84" s="114" t="s">
        <v>1205</v>
      </c>
      <c r="AA84" s="114" t="s">
        <v>1206</v>
      </c>
      <c r="AB84" s="114" t="s">
        <v>148</v>
      </c>
      <c r="AC84" s="114" t="s">
        <v>587</v>
      </c>
      <c r="AD84" s="114" t="s">
        <v>0</v>
      </c>
      <c r="AE84" s="114" t="s">
        <v>1207</v>
      </c>
      <c r="AF84" s="114" t="s">
        <v>587</v>
      </c>
      <c r="AG84" s="114" t="s">
        <v>0</v>
      </c>
      <c r="AH84" s="114" t="s">
        <v>150</v>
      </c>
      <c r="AI84" s="114" t="s">
        <v>587</v>
      </c>
      <c r="AJ84" s="114" t="s">
        <v>0</v>
      </c>
      <c r="AK84" s="114" t="s">
        <v>151</v>
      </c>
      <c r="AL84" s="114" t="s">
        <v>587</v>
      </c>
      <c r="AM84" s="114" t="s">
        <v>0</v>
      </c>
      <c r="AN84" s="114" t="s">
        <v>1208</v>
      </c>
      <c r="AO84" s="114" t="s">
        <v>587</v>
      </c>
      <c r="AP84" s="114" t="s">
        <v>0</v>
      </c>
      <c r="AQ84" s="114" t="s">
        <v>1209</v>
      </c>
      <c r="AR84" s="114" t="s">
        <v>587</v>
      </c>
      <c r="AS84" s="114" t="s">
        <v>0</v>
      </c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</row>
    <row r="85" spans="1:78" x14ac:dyDescent="0.2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AU85" s="154"/>
      <c r="AV85" s="154"/>
      <c r="AW85" s="154"/>
      <c r="AX85" s="154"/>
      <c r="AY85" s="167"/>
      <c r="AZ85" s="168"/>
      <c r="BA85" s="168"/>
      <c r="BB85" s="168"/>
      <c r="BC85" s="168"/>
      <c r="BD85" s="168"/>
      <c r="BE85" s="168"/>
      <c r="BF85" s="168"/>
      <c r="BG85" s="168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</row>
    <row r="86" spans="1:78" x14ac:dyDescent="0.2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t="s">
        <v>1277</v>
      </c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</row>
    <row r="87" spans="1:78" x14ac:dyDescent="0.2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t="s">
        <v>108</v>
      </c>
      <c r="Y87">
        <v>1</v>
      </c>
      <c r="Z87">
        <v>6</v>
      </c>
      <c r="AA87">
        <v>59</v>
      </c>
      <c r="AB87" t="s">
        <v>336</v>
      </c>
      <c r="AC87" t="s">
        <v>1813</v>
      </c>
      <c r="AD87">
        <v>1</v>
      </c>
      <c r="AE87" t="s">
        <v>1389</v>
      </c>
      <c r="AF87" t="s">
        <v>1814</v>
      </c>
      <c r="AG87">
        <v>4</v>
      </c>
      <c r="AH87" t="s">
        <v>302</v>
      </c>
      <c r="AI87" t="s">
        <v>1814</v>
      </c>
      <c r="AJ87">
        <v>6</v>
      </c>
      <c r="AK87" t="s">
        <v>1808</v>
      </c>
      <c r="AL87" t="s">
        <v>1813</v>
      </c>
      <c r="AM87">
        <v>12</v>
      </c>
      <c r="AN87" t="s">
        <v>1682</v>
      </c>
      <c r="AO87" t="s">
        <v>1813</v>
      </c>
      <c r="AP87">
        <v>15</v>
      </c>
      <c r="AQ87" t="s">
        <v>2196</v>
      </c>
      <c r="AR87" t="s">
        <v>1814</v>
      </c>
      <c r="AS87">
        <v>21</v>
      </c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</row>
    <row r="88" spans="1:78" x14ac:dyDescent="0.2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t="s">
        <v>12</v>
      </c>
      <c r="Y88">
        <v>2</v>
      </c>
      <c r="Z88">
        <v>6</v>
      </c>
      <c r="AA88">
        <v>63</v>
      </c>
      <c r="AB88" t="s">
        <v>596</v>
      </c>
      <c r="AC88" t="s">
        <v>1813</v>
      </c>
      <c r="AD88">
        <v>2</v>
      </c>
      <c r="AE88" t="s">
        <v>1357</v>
      </c>
      <c r="AF88" t="s">
        <v>1813</v>
      </c>
      <c r="AG88">
        <v>3</v>
      </c>
      <c r="AH88" t="s">
        <v>363</v>
      </c>
      <c r="AI88" t="s">
        <v>1814</v>
      </c>
      <c r="AJ88">
        <v>11</v>
      </c>
      <c r="AK88" t="s">
        <v>895</v>
      </c>
      <c r="AL88" t="s">
        <v>1814</v>
      </c>
      <c r="AM88">
        <v>13</v>
      </c>
      <c r="AN88" t="s">
        <v>2444</v>
      </c>
      <c r="AO88" t="s">
        <v>1814</v>
      </c>
      <c r="AP88">
        <v>16</v>
      </c>
      <c r="AQ88" t="s">
        <v>1745</v>
      </c>
      <c r="AR88" t="s">
        <v>1813</v>
      </c>
      <c r="AS88">
        <v>18</v>
      </c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</row>
    <row r="89" spans="1:78" x14ac:dyDescent="0.2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t="s">
        <v>14</v>
      </c>
      <c r="Y89">
        <v>3</v>
      </c>
      <c r="Z89">
        <v>6</v>
      </c>
      <c r="AA89">
        <v>181</v>
      </c>
      <c r="AB89" t="s">
        <v>2479</v>
      </c>
      <c r="AC89" t="s">
        <v>1814</v>
      </c>
      <c r="AD89">
        <v>5</v>
      </c>
      <c r="AE89" t="s">
        <v>935</v>
      </c>
      <c r="AF89" t="s">
        <v>1813</v>
      </c>
      <c r="AG89">
        <v>8</v>
      </c>
      <c r="AH89" t="s">
        <v>2469</v>
      </c>
      <c r="AI89" t="s">
        <v>1814</v>
      </c>
      <c r="AJ89">
        <v>17</v>
      </c>
      <c r="AK89" t="s">
        <v>1905</v>
      </c>
      <c r="AL89" t="s">
        <v>1813</v>
      </c>
      <c r="AM89">
        <v>37</v>
      </c>
      <c r="AN89" t="s">
        <v>1522</v>
      </c>
      <c r="AO89" t="s">
        <v>1814</v>
      </c>
      <c r="AP89">
        <v>53</v>
      </c>
      <c r="AQ89" t="s">
        <v>1911</v>
      </c>
      <c r="AR89" t="s">
        <v>1814</v>
      </c>
      <c r="AS89">
        <v>61</v>
      </c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</row>
    <row r="90" spans="1:78" x14ac:dyDescent="0.2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t="s">
        <v>63</v>
      </c>
      <c r="Y90">
        <v>4</v>
      </c>
      <c r="Z90">
        <v>6</v>
      </c>
      <c r="AA90">
        <v>235</v>
      </c>
      <c r="AB90" t="s">
        <v>2465</v>
      </c>
      <c r="AC90" t="s">
        <v>1814</v>
      </c>
      <c r="AD90">
        <v>22</v>
      </c>
      <c r="AE90" t="s">
        <v>2320</v>
      </c>
      <c r="AF90" t="s">
        <v>1813</v>
      </c>
      <c r="AG90">
        <v>25</v>
      </c>
      <c r="AH90" t="s">
        <v>408</v>
      </c>
      <c r="AI90" t="s">
        <v>1813</v>
      </c>
      <c r="AJ90">
        <v>26</v>
      </c>
      <c r="AK90" t="s">
        <v>2307</v>
      </c>
      <c r="AL90" t="s">
        <v>1814</v>
      </c>
      <c r="AM90">
        <v>30</v>
      </c>
      <c r="AN90" t="s">
        <v>277</v>
      </c>
      <c r="AO90" t="s">
        <v>1813</v>
      </c>
      <c r="AP90">
        <v>31</v>
      </c>
      <c r="AQ90" t="s">
        <v>1751</v>
      </c>
      <c r="AR90" t="s">
        <v>1814</v>
      </c>
      <c r="AS90">
        <v>101</v>
      </c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</row>
    <row r="91" spans="1:78" x14ac:dyDescent="0.2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t="s">
        <v>43</v>
      </c>
      <c r="Y91">
        <v>5</v>
      </c>
      <c r="Z91">
        <v>6</v>
      </c>
      <c r="AA91">
        <v>305</v>
      </c>
      <c r="AB91" t="s">
        <v>1122</v>
      </c>
      <c r="AC91" t="s">
        <v>1814</v>
      </c>
      <c r="AD91">
        <v>24</v>
      </c>
      <c r="AE91" t="s">
        <v>239</v>
      </c>
      <c r="AF91" t="s">
        <v>1814</v>
      </c>
      <c r="AG91">
        <v>33</v>
      </c>
      <c r="AH91" t="s">
        <v>609</v>
      </c>
      <c r="AI91" t="s">
        <v>1814</v>
      </c>
      <c r="AJ91">
        <v>55</v>
      </c>
      <c r="AK91" t="s">
        <v>353</v>
      </c>
      <c r="AL91" t="s">
        <v>1814</v>
      </c>
      <c r="AM91">
        <v>56</v>
      </c>
      <c r="AN91" t="s">
        <v>1155</v>
      </c>
      <c r="AO91" t="s">
        <v>1813</v>
      </c>
      <c r="AP91">
        <v>68</v>
      </c>
      <c r="AQ91" t="s">
        <v>2275</v>
      </c>
      <c r="AR91" t="s">
        <v>1813</v>
      </c>
      <c r="AS91">
        <v>69</v>
      </c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</row>
    <row r="92" spans="1:78" x14ac:dyDescent="0.2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t="s">
        <v>38</v>
      </c>
      <c r="Y92">
        <v>6</v>
      </c>
      <c r="Z92">
        <v>6</v>
      </c>
      <c r="AA92">
        <v>401</v>
      </c>
      <c r="AB92" t="s">
        <v>1819</v>
      </c>
      <c r="AC92" t="s">
        <v>1813</v>
      </c>
      <c r="AD92">
        <v>10</v>
      </c>
      <c r="AE92" t="s">
        <v>2322</v>
      </c>
      <c r="AF92" t="s">
        <v>1813</v>
      </c>
      <c r="AG92">
        <v>54</v>
      </c>
      <c r="AH92" t="s">
        <v>2205</v>
      </c>
      <c r="AI92" t="s">
        <v>1814</v>
      </c>
      <c r="AJ92">
        <v>65</v>
      </c>
      <c r="AK92" t="s">
        <v>2212</v>
      </c>
      <c r="AL92" t="s">
        <v>1814</v>
      </c>
      <c r="AM92">
        <v>84</v>
      </c>
      <c r="AN92" t="s">
        <v>2435</v>
      </c>
      <c r="AO92" t="s">
        <v>1814</v>
      </c>
      <c r="AP92">
        <v>93</v>
      </c>
      <c r="AQ92" t="s">
        <v>204</v>
      </c>
      <c r="AR92" t="s">
        <v>1814</v>
      </c>
      <c r="AS92">
        <v>95</v>
      </c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</row>
    <row r="93" spans="1:78" x14ac:dyDescent="0.2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t="s">
        <v>1805</v>
      </c>
      <c r="Y93">
        <v>7</v>
      </c>
      <c r="Z93">
        <v>6</v>
      </c>
      <c r="AA93">
        <v>493</v>
      </c>
      <c r="AB93" t="s">
        <v>2193</v>
      </c>
      <c r="AC93" t="s">
        <v>1813</v>
      </c>
      <c r="AD93">
        <v>27</v>
      </c>
      <c r="AE93" t="s">
        <v>2197</v>
      </c>
      <c r="AF93" t="s">
        <v>1813</v>
      </c>
      <c r="AG93">
        <v>28</v>
      </c>
      <c r="AH93" t="s">
        <v>2028</v>
      </c>
      <c r="AI93" t="s">
        <v>1813</v>
      </c>
      <c r="AJ93">
        <v>34</v>
      </c>
      <c r="AK93" t="s">
        <v>2217</v>
      </c>
      <c r="AL93" t="s">
        <v>1814</v>
      </c>
      <c r="AM93">
        <v>114</v>
      </c>
      <c r="AN93" t="s">
        <v>1792</v>
      </c>
      <c r="AO93" t="s">
        <v>1814</v>
      </c>
      <c r="AP93">
        <v>141</v>
      </c>
      <c r="AQ93" t="s">
        <v>2440</v>
      </c>
      <c r="AR93" t="s">
        <v>1814</v>
      </c>
      <c r="AS93">
        <v>149</v>
      </c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</row>
    <row r="94" spans="1:78" x14ac:dyDescent="0.2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t="s">
        <v>155</v>
      </c>
      <c r="Y94">
        <v>8</v>
      </c>
      <c r="Z94">
        <v>6</v>
      </c>
      <c r="AA94">
        <v>527</v>
      </c>
      <c r="AB94" t="s">
        <v>768</v>
      </c>
      <c r="AC94" t="s">
        <v>1814</v>
      </c>
      <c r="AD94">
        <v>20</v>
      </c>
      <c r="AE94" t="s">
        <v>1404</v>
      </c>
      <c r="AF94" t="s">
        <v>1813</v>
      </c>
      <c r="AG94">
        <v>72</v>
      </c>
      <c r="AH94" t="s">
        <v>1406</v>
      </c>
      <c r="AI94" t="s">
        <v>1813</v>
      </c>
      <c r="AJ94">
        <v>76</v>
      </c>
      <c r="AK94" t="s">
        <v>371</v>
      </c>
      <c r="AL94" t="s">
        <v>1814</v>
      </c>
      <c r="AM94">
        <v>111</v>
      </c>
      <c r="AN94" t="s">
        <v>283</v>
      </c>
      <c r="AO94" t="s">
        <v>1814</v>
      </c>
      <c r="AP94">
        <v>112</v>
      </c>
      <c r="AQ94" t="s">
        <v>2441</v>
      </c>
      <c r="AR94" t="s">
        <v>1813</v>
      </c>
      <c r="AS94">
        <v>136</v>
      </c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</row>
    <row r="95" spans="1:78" x14ac:dyDescent="0.2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t="s">
        <v>154</v>
      </c>
      <c r="Y95">
        <v>9</v>
      </c>
      <c r="Z95">
        <v>5</v>
      </c>
      <c r="AA95">
        <v>430</v>
      </c>
      <c r="AB95" t="s">
        <v>311</v>
      </c>
      <c r="AC95" t="s">
        <v>1814</v>
      </c>
      <c r="AD95">
        <v>7</v>
      </c>
      <c r="AE95" t="s">
        <v>1903</v>
      </c>
      <c r="AF95" t="s">
        <v>1813</v>
      </c>
      <c r="AG95">
        <v>9</v>
      </c>
      <c r="AH95" t="s">
        <v>301</v>
      </c>
      <c r="AI95" t="s">
        <v>1814</v>
      </c>
      <c r="AJ95">
        <v>43</v>
      </c>
      <c r="AK95" t="s">
        <v>1699</v>
      </c>
      <c r="AL95" t="s">
        <v>1814</v>
      </c>
      <c r="AM95">
        <v>63</v>
      </c>
      <c r="AN95" t="s">
        <v>2436</v>
      </c>
      <c r="AO95" t="s">
        <v>1814</v>
      </c>
      <c r="AP95">
        <v>139</v>
      </c>
      <c r="AQ95" t="s">
        <v>1815</v>
      </c>
      <c r="AS95">
        <v>169</v>
      </c>
      <c r="AU95" s="154"/>
      <c r="AV95" s="154"/>
      <c r="AW95" s="154"/>
      <c r="AX95" s="154"/>
      <c r="AY95" s="167"/>
      <c r="AZ95" s="168"/>
      <c r="BA95" s="168"/>
      <c r="BB95" s="168"/>
      <c r="BC95" s="168"/>
      <c r="BD95" s="168"/>
      <c r="BE95" s="168"/>
      <c r="BF95" s="168"/>
      <c r="BG95" s="168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</row>
    <row r="96" spans="1:78" x14ac:dyDescent="0.2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t="s">
        <v>1278</v>
      </c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</row>
    <row r="97" spans="1:78" x14ac:dyDescent="0.2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t="s">
        <v>12</v>
      </c>
      <c r="Y97">
        <v>1</v>
      </c>
      <c r="Z97">
        <v>4</v>
      </c>
      <c r="AA97">
        <v>13</v>
      </c>
      <c r="AB97" t="s">
        <v>901</v>
      </c>
      <c r="AC97" t="s">
        <v>1813</v>
      </c>
      <c r="AD97">
        <v>1</v>
      </c>
      <c r="AE97" t="s">
        <v>260</v>
      </c>
      <c r="AF97" t="s">
        <v>1814</v>
      </c>
      <c r="AG97">
        <v>3</v>
      </c>
      <c r="AH97" t="s">
        <v>2124</v>
      </c>
      <c r="AI97" t="s">
        <v>1814</v>
      </c>
      <c r="AJ97">
        <v>4</v>
      </c>
      <c r="AK97" t="s">
        <v>2448</v>
      </c>
      <c r="AL97" t="s">
        <v>1813</v>
      </c>
      <c r="AM97">
        <v>5</v>
      </c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</row>
    <row r="98" spans="1:78" x14ac:dyDescent="0.2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t="s">
        <v>154</v>
      </c>
      <c r="Y98">
        <v>2</v>
      </c>
      <c r="Z98">
        <v>4</v>
      </c>
      <c r="AA98">
        <v>36</v>
      </c>
      <c r="AB98" t="s">
        <v>1956</v>
      </c>
      <c r="AC98" t="s">
        <v>1814</v>
      </c>
      <c r="AD98">
        <v>2</v>
      </c>
      <c r="AE98" t="s">
        <v>373</v>
      </c>
      <c r="AF98" t="s">
        <v>1814</v>
      </c>
      <c r="AG98">
        <v>7</v>
      </c>
      <c r="AH98" t="s">
        <v>560</v>
      </c>
      <c r="AI98" t="s">
        <v>1814</v>
      </c>
      <c r="AJ98">
        <v>13</v>
      </c>
      <c r="AK98" t="s">
        <v>1928</v>
      </c>
      <c r="AL98" t="s">
        <v>1814</v>
      </c>
      <c r="AM98">
        <v>14</v>
      </c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</row>
    <row r="99" spans="1:78" x14ac:dyDescent="0.2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t="s">
        <v>108</v>
      </c>
      <c r="Y99">
        <v>3</v>
      </c>
      <c r="Z99">
        <v>4</v>
      </c>
      <c r="AA99">
        <v>57</v>
      </c>
      <c r="AB99" t="s">
        <v>229</v>
      </c>
      <c r="AC99" t="s">
        <v>1814</v>
      </c>
      <c r="AD99">
        <v>9</v>
      </c>
      <c r="AE99" t="s">
        <v>2215</v>
      </c>
      <c r="AF99" t="s">
        <v>1814</v>
      </c>
      <c r="AG99">
        <v>12</v>
      </c>
      <c r="AH99" t="s">
        <v>375</v>
      </c>
      <c r="AI99" t="s">
        <v>1814</v>
      </c>
      <c r="AJ99">
        <v>16</v>
      </c>
      <c r="AK99" t="s">
        <v>188</v>
      </c>
      <c r="AL99" t="s">
        <v>1813</v>
      </c>
      <c r="AM99">
        <v>20</v>
      </c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</row>
    <row r="100" spans="1:78" x14ac:dyDescent="0.2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t="s">
        <v>14</v>
      </c>
      <c r="Y100">
        <v>4</v>
      </c>
      <c r="Z100">
        <v>4</v>
      </c>
      <c r="AA100">
        <v>64</v>
      </c>
      <c r="AB100" t="s">
        <v>575</v>
      </c>
      <c r="AC100" t="s">
        <v>1814</v>
      </c>
      <c r="AD100">
        <v>8</v>
      </c>
      <c r="AE100" t="s">
        <v>1566</v>
      </c>
      <c r="AF100" t="s">
        <v>1813</v>
      </c>
      <c r="AG100">
        <v>17</v>
      </c>
      <c r="AH100" t="s">
        <v>436</v>
      </c>
      <c r="AI100" t="s">
        <v>1814</v>
      </c>
      <c r="AJ100">
        <v>18</v>
      </c>
      <c r="AK100" t="s">
        <v>1005</v>
      </c>
      <c r="AL100" t="s">
        <v>1814</v>
      </c>
      <c r="AM100">
        <v>21</v>
      </c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</row>
    <row r="101" spans="1:78" x14ac:dyDescent="0.2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t="s">
        <v>63</v>
      </c>
      <c r="Y101">
        <v>5</v>
      </c>
      <c r="Z101">
        <v>4</v>
      </c>
      <c r="AA101">
        <v>110</v>
      </c>
      <c r="AB101" t="s">
        <v>2211</v>
      </c>
      <c r="AC101" t="s">
        <v>1813</v>
      </c>
      <c r="AD101">
        <v>10</v>
      </c>
      <c r="AE101" t="s">
        <v>251</v>
      </c>
      <c r="AF101" t="s">
        <v>1814</v>
      </c>
      <c r="AG101">
        <v>31</v>
      </c>
      <c r="AH101" t="s">
        <v>1182</v>
      </c>
      <c r="AI101" t="s">
        <v>1814</v>
      </c>
      <c r="AJ101">
        <v>34</v>
      </c>
      <c r="AK101" t="s">
        <v>2147</v>
      </c>
      <c r="AL101" t="s">
        <v>1813</v>
      </c>
      <c r="AM101">
        <v>35</v>
      </c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</row>
    <row r="102" spans="1:78" x14ac:dyDescent="0.2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t="s">
        <v>155</v>
      </c>
      <c r="Y102">
        <v>6</v>
      </c>
      <c r="Z102">
        <v>4</v>
      </c>
      <c r="AA102">
        <v>157</v>
      </c>
      <c r="AB102" t="s">
        <v>1511</v>
      </c>
      <c r="AC102" t="s">
        <v>1814</v>
      </c>
      <c r="AD102">
        <v>28</v>
      </c>
      <c r="AE102" t="s">
        <v>281</v>
      </c>
      <c r="AF102" t="s">
        <v>1814</v>
      </c>
      <c r="AG102">
        <v>36</v>
      </c>
      <c r="AH102" t="s">
        <v>1835</v>
      </c>
      <c r="AI102" t="s">
        <v>1813</v>
      </c>
      <c r="AJ102">
        <v>42</v>
      </c>
      <c r="AK102" t="s">
        <v>2274</v>
      </c>
      <c r="AL102" t="s">
        <v>1814</v>
      </c>
      <c r="AM102">
        <v>51</v>
      </c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</row>
    <row r="103" spans="1:78" x14ac:dyDescent="0.2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t="s">
        <v>38</v>
      </c>
      <c r="Y103">
        <v>7</v>
      </c>
      <c r="Z103">
        <v>4</v>
      </c>
      <c r="AA103">
        <v>292</v>
      </c>
      <c r="AB103" t="s">
        <v>1371</v>
      </c>
      <c r="AC103" t="s">
        <v>1814</v>
      </c>
      <c r="AD103">
        <v>62</v>
      </c>
      <c r="AE103" t="s">
        <v>1742</v>
      </c>
      <c r="AF103" t="s">
        <v>1814</v>
      </c>
      <c r="AG103">
        <v>71</v>
      </c>
      <c r="AH103" t="s">
        <v>1366</v>
      </c>
      <c r="AI103" t="s">
        <v>1814</v>
      </c>
      <c r="AJ103">
        <v>79</v>
      </c>
      <c r="AK103" t="s">
        <v>2242</v>
      </c>
      <c r="AL103" t="s">
        <v>1814</v>
      </c>
      <c r="AM103">
        <v>80</v>
      </c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</row>
    <row r="104" spans="1:78" x14ac:dyDescent="0.2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t="s">
        <v>43</v>
      </c>
      <c r="Y104">
        <v>8</v>
      </c>
      <c r="Z104">
        <v>4</v>
      </c>
      <c r="AA104">
        <v>293</v>
      </c>
      <c r="AB104" t="s">
        <v>380</v>
      </c>
      <c r="AC104" t="s">
        <v>1814</v>
      </c>
      <c r="AD104">
        <v>43</v>
      </c>
      <c r="AE104" t="s">
        <v>578</v>
      </c>
      <c r="AF104" t="s">
        <v>1814</v>
      </c>
      <c r="AG104">
        <v>75</v>
      </c>
      <c r="AH104" t="s">
        <v>1761</v>
      </c>
      <c r="AI104" t="s">
        <v>1814</v>
      </c>
      <c r="AJ104">
        <v>82</v>
      </c>
      <c r="AK104" t="s">
        <v>189</v>
      </c>
      <c r="AL104" t="s">
        <v>1814</v>
      </c>
      <c r="AM104">
        <v>93</v>
      </c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</row>
    <row r="105" spans="1:78" x14ac:dyDescent="0.2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t="s">
        <v>1805</v>
      </c>
      <c r="Y105">
        <v>9</v>
      </c>
      <c r="Z105">
        <v>3</v>
      </c>
      <c r="AA105">
        <v>241</v>
      </c>
      <c r="AB105" t="s">
        <v>2218</v>
      </c>
      <c r="AC105" t="s">
        <v>1814</v>
      </c>
      <c r="AD105">
        <v>24</v>
      </c>
      <c r="AE105" t="s">
        <v>2236</v>
      </c>
      <c r="AF105" t="s">
        <v>1814</v>
      </c>
      <c r="AG105">
        <v>57</v>
      </c>
      <c r="AH105" t="s">
        <v>2234</v>
      </c>
      <c r="AI105" t="s">
        <v>1814</v>
      </c>
      <c r="AJ105">
        <v>61</v>
      </c>
      <c r="AK105" t="s">
        <v>1815</v>
      </c>
      <c r="AM105">
        <v>99</v>
      </c>
      <c r="AU105" s="154"/>
      <c r="AV105" s="154"/>
      <c r="AW105" s="154"/>
      <c r="AX105" s="154"/>
      <c r="AY105" s="167"/>
      <c r="AZ105" s="168"/>
      <c r="BA105" s="168"/>
      <c r="BB105" s="168"/>
      <c r="BC105" s="168"/>
      <c r="BD105" s="168"/>
      <c r="BE105" s="168"/>
      <c r="BF105" s="168"/>
      <c r="BG105" s="168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</row>
    <row r="106" spans="1:78" x14ac:dyDescent="0.2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AU106" s="154"/>
      <c r="AV106" s="154"/>
      <c r="AW106" s="154"/>
      <c r="AX106" s="154"/>
      <c r="AY106" s="167"/>
      <c r="AZ106" s="168"/>
      <c r="BA106" s="168"/>
      <c r="BB106" s="168"/>
      <c r="BC106" s="168"/>
      <c r="BD106" s="168"/>
      <c r="BE106" s="168"/>
      <c r="BF106" s="168"/>
      <c r="BG106" s="168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</row>
    <row r="107" spans="1:78" x14ac:dyDescent="0.2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AU107" s="154"/>
      <c r="AV107" s="154"/>
      <c r="AW107" s="154"/>
      <c r="AX107" s="154"/>
      <c r="AY107" s="167"/>
      <c r="AZ107" s="168"/>
      <c r="BA107" s="168"/>
      <c r="BB107" s="168"/>
      <c r="BC107" s="168"/>
      <c r="BD107" s="168"/>
      <c r="BE107" s="168"/>
      <c r="BF107" s="168"/>
      <c r="BG107" s="168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</row>
    <row r="108" spans="1:78" x14ac:dyDescent="0.2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AU108" s="154"/>
      <c r="AV108" s="154"/>
      <c r="AW108" s="154"/>
      <c r="AX108" s="154"/>
      <c r="AY108" s="167"/>
      <c r="AZ108" s="168"/>
      <c r="BA108" s="168"/>
      <c r="BB108" s="168"/>
      <c r="BC108" s="168"/>
      <c r="BD108" s="168"/>
      <c r="BE108" s="168"/>
      <c r="BF108" s="168"/>
      <c r="BG108" s="168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</row>
    <row r="109" spans="1:78" x14ac:dyDescent="0.2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14" t="s">
        <v>1320</v>
      </c>
      <c r="Y109" s="114"/>
      <c r="Z109" s="11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</row>
    <row r="110" spans="1:78" x14ac:dyDescent="0.2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14" t="s">
        <v>2187</v>
      </c>
      <c r="Y110" s="114"/>
      <c r="Z110" s="11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</row>
    <row r="111" spans="1:78" x14ac:dyDescent="0.2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14" t="s">
        <v>153</v>
      </c>
      <c r="Y111" s="114" t="s">
        <v>0</v>
      </c>
      <c r="Z111" s="114" t="s">
        <v>1205</v>
      </c>
      <c r="AA111" s="114" t="s">
        <v>1206</v>
      </c>
      <c r="AB111" s="114" t="s">
        <v>148</v>
      </c>
      <c r="AC111" s="114" t="s">
        <v>587</v>
      </c>
      <c r="AD111" s="114" t="s">
        <v>0</v>
      </c>
      <c r="AE111" s="114" t="s">
        <v>1207</v>
      </c>
      <c r="AF111" s="114" t="s">
        <v>587</v>
      </c>
      <c r="AG111" s="114" t="s">
        <v>0</v>
      </c>
      <c r="AH111" s="114" t="s">
        <v>150</v>
      </c>
      <c r="AI111" s="114" t="s">
        <v>587</v>
      </c>
      <c r="AJ111" s="114" t="s">
        <v>0</v>
      </c>
      <c r="AK111" s="114" t="s">
        <v>151</v>
      </c>
      <c r="AL111" s="114" t="s">
        <v>587</v>
      </c>
      <c r="AM111" s="114" t="s">
        <v>0</v>
      </c>
      <c r="AN111" s="114" t="s">
        <v>1208</v>
      </c>
      <c r="AO111" s="114" t="s">
        <v>587</v>
      </c>
      <c r="AP111" s="114" t="s">
        <v>0</v>
      </c>
      <c r="AQ111" s="114" t="s">
        <v>1209</v>
      </c>
      <c r="AR111" s="114" t="s">
        <v>587</v>
      </c>
      <c r="AS111" s="114" t="s">
        <v>0</v>
      </c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</row>
    <row r="112" spans="1:78" x14ac:dyDescent="0.2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AU112" s="154"/>
      <c r="AV112" s="154"/>
      <c r="AW112" s="154"/>
      <c r="AX112" s="154"/>
      <c r="AY112" s="167"/>
      <c r="AZ112" s="168"/>
      <c r="BA112" s="168"/>
      <c r="BB112" s="168"/>
      <c r="BC112" s="168"/>
      <c r="BD112" s="168"/>
      <c r="BE112" s="168"/>
      <c r="BF112" s="168"/>
      <c r="BG112" s="168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</row>
    <row r="113" spans="1:78" x14ac:dyDescent="0.2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</row>
    <row r="114" spans="1:78" x14ac:dyDescent="0.2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</row>
    <row r="115" spans="1:78" x14ac:dyDescent="0.2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</row>
    <row r="116" spans="1:78" x14ac:dyDescent="0.2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</row>
    <row r="117" spans="1:78" x14ac:dyDescent="0.2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</row>
    <row r="118" spans="1:78" x14ac:dyDescent="0.2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</row>
    <row r="119" spans="1:78" x14ac:dyDescent="0.2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</row>
    <row r="120" spans="1:78" x14ac:dyDescent="0.2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</row>
    <row r="121" spans="1:78" x14ac:dyDescent="0.2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</row>
    <row r="122" spans="1:78" x14ac:dyDescent="0.2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AU122" s="154"/>
      <c r="AV122" s="154"/>
      <c r="AW122" s="154"/>
      <c r="AX122" s="154"/>
      <c r="AY122" s="167"/>
      <c r="AZ122" s="168"/>
      <c r="BA122" s="168"/>
      <c r="BB122" s="168"/>
      <c r="BC122" s="168"/>
      <c r="BD122" s="168"/>
      <c r="BE122" s="168"/>
      <c r="BF122" s="168"/>
      <c r="BG122" s="168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</row>
    <row r="123" spans="1:78" x14ac:dyDescent="0.2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</row>
    <row r="124" spans="1:78" x14ac:dyDescent="0.2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</row>
    <row r="125" spans="1:78" x14ac:dyDescent="0.2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</row>
    <row r="126" spans="1:78" x14ac:dyDescent="0.2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</row>
    <row r="127" spans="1:78" x14ac:dyDescent="0.2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</row>
    <row r="128" spans="1:78" x14ac:dyDescent="0.2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</row>
    <row r="129" spans="1:78" x14ac:dyDescent="0.2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</row>
    <row r="130" spans="1:78" x14ac:dyDescent="0.2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</row>
    <row r="131" spans="1:78" x14ac:dyDescent="0.2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</row>
    <row r="132" spans="1:78" x14ac:dyDescent="0.2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AU132" s="154"/>
      <c r="AV132" s="154"/>
      <c r="AW132" s="154"/>
      <c r="AX132" s="154"/>
      <c r="AY132" s="167"/>
      <c r="AZ132" s="168"/>
      <c r="BA132" s="168"/>
      <c r="BB132" s="168"/>
      <c r="BC132" s="168"/>
      <c r="BD132" s="168"/>
      <c r="BE132" s="168"/>
      <c r="BF132" s="168"/>
      <c r="BG132" s="168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</row>
    <row r="133" spans="1:78" x14ac:dyDescent="0.2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AU133" s="154"/>
      <c r="AV133" s="154"/>
      <c r="AW133" s="154"/>
      <c r="AX133" s="154"/>
      <c r="AY133" s="167"/>
      <c r="AZ133" s="168"/>
      <c r="BA133" s="168"/>
      <c r="BB133" s="168"/>
      <c r="BC133" s="168"/>
      <c r="BD133" s="168"/>
      <c r="BE133" s="168"/>
      <c r="BF133" s="168"/>
      <c r="BG133" s="168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</row>
    <row r="134" spans="1:78" x14ac:dyDescent="0.2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AU134" s="154"/>
      <c r="AV134" s="154"/>
      <c r="AW134" s="154"/>
      <c r="AX134" s="154"/>
      <c r="AY134" s="167"/>
      <c r="AZ134" s="168"/>
      <c r="BA134" s="168"/>
      <c r="BB134" s="168"/>
      <c r="BC134" s="168"/>
      <c r="BD134" s="168"/>
      <c r="BE134" s="168"/>
      <c r="BF134" s="168"/>
      <c r="BG134" s="168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</row>
    <row r="135" spans="1:78" x14ac:dyDescent="0.2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AU135" s="154"/>
      <c r="AV135" s="154"/>
      <c r="AW135" s="154"/>
      <c r="AX135" s="154"/>
      <c r="AY135" s="167"/>
      <c r="AZ135" s="168"/>
      <c r="BA135" s="168"/>
      <c r="BB135" s="168"/>
      <c r="BC135" s="168"/>
      <c r="BD135" s="168"/>
      <c r="BE135" s="168"/>
      <c r="BF135" s="168"/>
      <c r="BG135" s="168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</row>
    <row r="136" spans="1:78" x14ac:dyDescent="0.2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14" t="s">
        <v>1321</v>
      </c>
      <c r="Y136" s="114"/>
      <c r="Z136" s="114"/>
      <c r="AA136" s="11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</row>
    <row r="137" spans="1:78" x14ac:dyDescent="0.2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14" t="s">
        <v>2188</v>
      </c>
      <c r="Y137" s="114"/>
      <c r="Z137" s="114"/>
      <c r="AA137" s="11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</row>
    <row r="138" spans="1:78" x14ac:dyDescent="0.2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14" t="s">
        <v>153</v>
      </c>
      <c r="Y138" s="114" t="s">
        <v>0</v>
      </c>
      <c r="Z138" s="114" t="s">
        <v>1205</v>
      </c>
      <c r="AA138" s="114" t="s">
        <v>1206</v>
      </c>
      <c r="AB138" s="114" t="s">
        <v>148</v>
      </c>
      <c r="AC138" s="114" t="s">
        <v>587</v>
      </c>
      <c r="AD138" s="114" t="s">
        <v>0</v>
      </c>
      <c r="AE138" s="114" t="s">
        <v>1207</v>
      </c>
      <c r="AF138" s="114" t="s">
        <v>587</v>
      </c>
      <c r="AG138" s="114" t="s">
        <v>0</v>
      </c>
      <c r="AH138" s="114" t="s">
        <v>150</v>
      </c>
      <c r="AI138" s="114" t="s">
        <v>587</v>
      </c>
      <c r="AJ138" s="114" t="s">
        <v>0</v>
      </c>
      <c r="AK138" s="114" t="s">
        <v>151</v>
      </c>
      <c r="AL138" s="114" t="s">
        <v>587</v>
      </c>
      <c r="AM138" s="114" t="s">
        <v>0</v>
      </c>
      <c r="AN138" s="114" t="s">
        <v>1208</v>
      </c>
      <c r="AO138" s="114" t="s">
        <v>587</v>
      </c>
      <c r="AP138" s="114" t="s">
        <v>0</v>
      </c>
      <c r="AQ138" s="114" t="s">
        <v>1209</v>
      </c>
      <c r="AR138" s="114" t="s">
        <v>587</v>
      </c>
      <c r="AS138" s="114" t="s">
        <v>0</v>
      </c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</row>
    <row r="139" spans="1:78" x14ac:dyDescent="0.2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AU139" s="154"/>
      <c r="AV139" s="154"/>
      <c r="AW139" s="154"/>
      <c r="AX139" s="154"/>
      <c r="AY139" s="167"/>
      <c r="AZ139" s="168"/>
      <c r="BA139" s="168"/>
      <c r="BB139" s="168"/>
      <c r="BC139" s="168"/>
      <c r="BD139" s="168"/>
      <c r="BE139" s="168"/>
      <c r="BF139" s="168"/>
      <c r="BG139" s="168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</row>
    <row r="140" spans="1:78" x14ac:dyDescent="0.2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</row>
    <row r="141" spans="1:78" x14ac:dyDescent="0.2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</row>
    <row r="142" spans="1:78" x14ac:dyDescent="0.2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</row>
    <row r="143" spans="1:78" x14ac:dyDescent="0.2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</row>
    <row r="144" spans="1:78" x14ac:dyDescent="0.2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</row>
    <row r="145" spans="1:78" x14ac:dyDescent="0.2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</row>
    <row r="146" spans="1:78" x14ac:dyDescent="0.2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</row>
    <row r="147" spans="1:78" x14ac:dyDescent="0.2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</row>
    <row r="148" spans="1:78" x14ac:dyDescent="0.2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</row>
    <row r="149" spans="1:78" x14ac:dyDescent="0.2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AU149" s="154"/>
      <c r="AV149" s="154"/>
      <c r="AW149" s="154"/>
      <c r="AX149" s="154"/>
      <c r="AY149" s="167"/>
      <c r="AZ149" s="168"/>
      <c r="BA149" s="168"/>
      <c r="BB149" s="168"/>
      <c r="BC149" s="168"/>
      <c r="BD149" s="168"/>
      <c r="BE149" s="168"/>
      <c r="BF149" s="168"/>
      <c r="BG149" s="168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</row>
    <row r="150" spans="1:78" x14ac:dyDescent="0.2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</row>
    <row r="151" spans="1:78" x14ac:dyDescent="0.2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</row>
    <row r="152" spans="1:78" x14ac:dyDescent="0.2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</row>
    <row r="153" spans="1:78" x14ac:dyDescent="0.2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</row>
    <row r="154" spans="1:78" x14ac:dyDescent="0.2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</row>
    <row r="155" spans="1:78" x14ac:dyDescent="0.2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</row>
    <row r="156" spans="1:78" x14ac:dyDescent="0.2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</row>
    <row r="157" spans="1:78" x14ac:dyDescent="0.2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</row>
    <row r="158" spans="1:78" x14ac:dyDescent="0.2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</row>
    <row r="159" spans="1:78" x14ac:dyDescent="0.2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AU159" s="154"/>
      <c r="AV159" s="154"/>
      <c r="AW159" s="154"/>
      <c r="AX159" s="154"/>
      <c r="AY159" s="167"/>
      <c r="AZ159" s="168"/>
      <c r="BA159" s="168"/>
      <c r="BB159" s="168"/>
      <c r="BC159" s="168"/>
      <c r="BD159" s="168"/>
      <c r="BE159" s="168"/>
      <c r="BF159" s="168"/>
      <c r="BG159" s="168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</row>
    <row r="160" spans="1:78" x14ac:dyDescent="0.2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AU160" s="154"/>
      <c r="AV160" s="154"/>
      <c r="AW160" s="154"/>
      <c r="AX160" s="154"/>
      <c r="AY160" s="167"/>
      <c r="AZ160" s="168"/>
      <c r="BA160" s="168"/>
      <c r="BB160" s="168"/>
      <c r="BC160" s="168"/>
      <c r="BD160" s="168"/>
      <c r="BE160" s="168"/>
      <c r="BF160" s="168"/>
      <c r="BG160" s="168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</row>
    <row r="161" spans="1:78" x14ac:dyDescent="0.2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AU161" s="154"/>
      <c r="AV161" s="154"/>
      <c r="AW161" s="154"/>
      <c r="AX161" s="154"/>
      <c r="AY161" s="167"/>
      <c r="AZ161" s="168"/>
      <c r="BA161" s="168"/>
      <c r="BB161" s="168"/>
      <c r="BC161" s="168"/>
      <c r="BD161" s="168"/>
      <c r="BE161" s="168"/>
      <c r="BF161" s="168"/>
      <c r="BG161" s="168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</row>
    <row r="162" spans="1:78" x14ac:dyDescent="0.2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AU162" s="154"/>
      <c r="AV162" s="154"/>
      <c r="AW162" s="154"/>
      <c r="AX162" s="154"/>
      <c r="AY162" s="167"/>
      <c r="AZ162" s="168"/>
      <c r="BA162" s="168"/>
      <c r="BB162" s="168"/>
      <c r="BC162" s="168"/>
      <c r="BD162" s="168"/>
      <c r="BE162" s="168"/>
      <c r="BF162" s="168"/>
      <c r="BG162" s="168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</row>
    <row r="163" spans="1:78" x14ac:dyDescent="0.2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14" t="s">
        <v>1316</v>
      </c>
      <c r="Y163" s="114"/>
      <c r="Z163" s="114"/>
      <c r="AA163" s="11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</row>
    <row r="164" spans="1:78" x14ac:dyDescent="0.2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14" t="s">
        <v>2189</v>
      </c>
      <c r="Y164" s="114"/>
      <c r="Z164" s="114"/>
      <c r="AA164" s="11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</row>
    <row r="165" spans="1:78" x14ac:dyDescent="0.2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14" t="s">
        <v>153</v>
      </c>
      <c r="Y165" s="114" t="s">
        <v>0</v>
      </c>
      <c r="Z165" s="114" t="s">
        <v>1205</v>
      </c>
      <c r="AA165" s="114" t="s">
        <v>1206</v>
      </c>
      <c r="AB165" s="114" t="s">
        <v>148</v>
      </c>
      <c r="AC165" s="114" t="s">
        <v>587</v>
      </c>
      <c r="AD165" s="114" t="s">
        <v>0</v>
      </c>
      <c r="AE165" s="114" t="s">
        <v>1207</v>
      </c>
      <c r="AF165" s="114" t="s">
        <v>587</v>
      </c>
      <c r="AG165" s="114" t="s">
        <v>0</v>
      </c>
      <c r="AH165" s="114" t="s">
        <v>150</v>
      </c>
      <c r="AI165" s="114" t="s">
        <v>587</v>
      </c>
      <c r="AJ165" s="114" t="s">
        <v>0</v>
      </c>
      <c r="AK165" s="114" t="s">
        <v>151</v>
      </c>
      <c r="AL165" s="114" t="s">
        <v>587</v>
      </c>
      <c r="AM165" s="114" t="s">
        <v>0</v>
      </c>
      <c r="AN165" s="114" t="s">
        <v>1208</v>
      </c>
      <c r="AO165" s="114" t="s">
        <v>587</v>
      </c>
      <c r="AP165" s="114" t="s">
        <v>0</v>
      </c>
      <c r="AQ165" s="114" t="s">
        <v>1209</v>
      </c>
      <c r="AR165" s="114" t="s">
        <v>587</v>
      </c>
      <c r="AS165" s="114" t="s">
        <v>0</v>
      </c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</row>
    <row r="166" spans="1:78" x14ac:dyDescent="0.2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AU166" s="154"/>
      <c r="AV166" s="154"/>
      <c r="AW166" s="154"/>
      <c r="AX166" s="154"/>
      <c r="AY166" s="167"/>
      <c r="AZ166" s="168"/>
      <c r="BA166" s="168"/>
      <c r="BB166" s="168"/>
      <c r="BC166" s="168"/>
      <c r="BD166" s="168"/>
      <c r="BE166" s="168"/>
      <c r="BF166" s="168"/>
      <c r="BG166" s="168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</row>
    <row r="167" spans="1:78" x14ac:dyDescent="0.2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</row>
    <row r="168" spans="1:78" x14ac:dyDescent="0.2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</row>
    <row r="169" spans="1:78" x14ac:dyDescent="0.2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</row>
    <row r="170" spans="1:78" x14ac:dyDescent="0.2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</row>
    <row r="171" spans="1:78" x14ac:dyDescent="0.2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</row>
    <row r="172" spans="1:78" x14ac:dyDescent="0.2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</row>
    <row r="173" spans="1:78" x14ac:dyDescent="0.2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</row>
    <row r="174" spans="1:78" x14ac:dyDescent="0.2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</row>
    <row r="175" spans="1:78" x14ac:dyDescent="0.2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</row>
    <row r="176" spans="1:78" x14ac:dyDescent="0.2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AU176" s="154"/>
      <c r="AV176" s="154"/>
      <c r="AW176" s="154"/>
      <c r="AX176" s="154"/>
      <c r="AY176" s="167"/>
      <c r="AZ176" s="168"/>
      <c r="BA176" s="168"/>
      <c r="BB176" s="168"/>
      <c r="BC176" s="168"/>
      <c r="BD176" s="168"/>
      <c r="BE176" s="168"/>
      <c r="BF176" s="168"/>
      <c r="BG176" s="168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</row>
    <row r="177" spans="1:78" x14ac:dyDescent="0.2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</row>
    <row r="178" spans="1:78" x14ac:dyDescent="0.2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</row>
    <row r="179" spans="1:78" x14ac:dyDescent="0.2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</row>
    <row r="180" spans="1:78" x14ac:dyDescent="0.2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</row>
    <row r="181" spans="1:78" x14ac:dyDescent="0.2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</row>
    <row r="182" spans="1:78" x14ac:dyDescent="0.2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</row>
    <row r="183" spans="1:78" x14ac:dyDescent="0.2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</row>
    <row r="184" spans="1:78" x14ac:dyDescent="0.2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</row>
    <row r="185" spans="1:78" x14ac:dyDescent="0.2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</row>
    <row r="186" spans="1:78" x14ac:dyDescent="0.2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AU186" s="154"/>
      <c r="AV186" s="154"/>
      <c r="AW186" s="154"/>
      <c r="AX186" s="154"/>
      <c r="AY186" s="167"/>
      <c r="AZ186" s="168"/>
      <c r="BA186" s="168"/>
      <c r="BB186" s="168"/>
      <c r="BC186" s="168"/>
      <c r="BD186" s="168"/>
      <c r="BE186" s="168"/>
      <c r="BF186" s="168"/>
      <c r="BG186" s="168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</row>
    <row r="190" spans="1:78" x14ac:dyDescent="0.25">
      <c r="X190" s="114" t="s">
        <v>2178</v>
      </c>
      <c r="Y190" s="114"/>
      <c r="Z190" s="114"/>
    </row>
    <row r="191" spans="1:78" x14ac:dyDescent="0.25">
      <c r="X191" s="114" t="s">
        <v>2190</v>
      </c>
      <c r="Y191" s="114"/>
      <c r="Z191" s="114"/>
      <c r="AA191" s="114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66"/>
      <c r="AS191" s="115"/>
    </row>
    <row r="192" spans="1:78" x14ac:dyDescent="0.25">
      <c r="X192" s="114" t="s">
        <v>153</v>
      </c>
      <c r="Y192" s="114" t="s">
        <v>0</v>
      </c>
      <c r="Z192" s="114" t="s">
        <v>1205</v>
      </c>
      <c r="AA192" s="114" t="s">
        <v>1206</v>
      </c>
      <c r="AB192" s="114" t="s">
        <v>148</v>
      </c>
      <c r="AC192" s="114" t="s">
        <v>587</v>
      </c>
      <c r="AD192" s="114" t="s">
        <v>0</v>
      </c>
      <c r="AE192" s="114" t="s">
        <v>1207</v>
      </c>
      <c r="AF192" s="114" t="s">
        <v>587</v>
      </c>
      <c r="AG192" s="114" t="s">
        <v>0</v>
      </c>
      <c r="AH192" s="114" t="s">
        <v>150</v>
      </c>
      <c r="AI192" s="114" t="s">
        <v>587</v>
      </c>
      <c r="AJ192" s="114" t="s">
        <v>0</v>
      </c>
      <c r="AK192" s="114" t="s">
        <v>151</v>
      </c>
      <c r="AL192" s="114" t="s">
        <v>587</v>
      </c>
      <c r="AM192" s="114" t="s">
        <v>0</v>
      </c>
      <c r="AN192" s="114" t="s">
        <v>1208</v>
      </c>
      <c r="AO192" s="114" t="s">
        <v>587</v>
      </c>
      <c r="AP192" s="114" t="s">
        <v>0</v>
      </c>
      <c r="AQ192" s="114" t="s">
        <v>1209</v>
      </c>
      <c r="AR192" s="114" t="s">
        <v>587</v>
      </c>
      <c r="AS192" s="114" t="s">
        <v>0</v>
      </c>
    </row>
  </sheetData>
  <sheetProtection password="CC06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theme="4" tint="0.79998168889431442"/>
  </sheetPr>
  <dimension ref="A1:AE1871"/>
  <sheetViews>
    <sheetView zoomScaleNormal="100" workbookViewId="0">
      <selection activeCell="G7" sqref="G7"/>
    </sheetView>
  </sheetViews>
  <sheetFormatPr defaultRowHeight="15.75" x14ac:dyDescent="0.25"/>
  <cols>
    <col min="1" max="1" width="21.5" customWidth="1"/>
    <col min="2" max="2" width="6" customWidth="1"/>
    <col min="12" max="13" width="9" customWidth="1"/>
    <col min="14" max="14" width="31.125" style="72" customWidth="1"/>
    <col min="15" max="16" width="9" customWidth="1"/>
    <col min="17" max="17" width="12.125" style="131" customWidth="1"/>
    <col min="18" max="18" width="9" customWidth="1"/>
    <col min="19" max="20" width="22.625" style="72" customWidth="1"/>
    <col min="21" max="21" width="17.125" customWidth="1"/>
    <col min="257" max="257" width="21.5" customWidth="1"/>
    <col min="258" max="258" width="6" customWidth="1"/>
    <col min="268" max="269" width="9" customWidth="1"/>
    <col min="270" max="270" width="31.125" customWidth="1"/>
    <col min="271" max="272" width="9" customWidth="1"/>
    <col min="273" max="273" width="12.125" customWidth="1"/>
    <col min="274" max="274" width="9" customWidth="1"/>
    <col min="275" max="276" width="22.625" customWidth="1"/>
    <col min="277" max="277" width="17.125" customWidth="1"/>
    <col min="513" max="513" width="21.5" customWidth="1"/>
    <col min="514" max="514" width="6" customWidth="1"/>
    <col min="524" max="525" width="9" customWidth="1"/>
    <col min="526" max="526" width="31.125" customWidth="1"/>
    <col min="527" max="528" width="9" customWidth="1"/>
    <col min="529" max="529" width="12.125" customWidth="1"/>
    <col min="530" max="530" width="9" customWidth="1"/>
    <col min="531" max="532" width="22.625" customWidth="1"/>
    <col min="533" max="533" width="17.125" customWidth="1"/>
    <col min="769" max="769" width="21.5" customWidth="1"/>
    <col min="770" max="770" width="6" customWidth="1"/>
    <col min="780" max="781" width="9" customWidth="1"/>
    <col min="782" max="782" width="31.125" customWidth="1"/>
    <col min="783" max="784" width="9" customWidth="1"/>
    <col min="785" max="785" width="12.125" customWidth="1"/>
    <col min="786" max="786" width="9" customWidth="1"/>
    <col min="787" max="788" width="22.625" customWidth="1"/>
    <col min="789" max="789" width="17.125" customWidth="1"/>
    <col min="1025" max="1025" width="21.5" customWidth="1"/>
    <col min="1026" max="1026" width="6" customWidth="1"/>
    <col min="1036" max="1037" width="9" customWidth="1"/>
    <col min="1038" max="1038" width="31.125" customWidth="1"/>
    <col min="1039" max="1040" width="9" customWidth="1"/>
    <col min="1041" max="1041" width="12.125" customWidth="1"/>
    <col min="1042" max="1042" width="9" customWidth="1"/>
    <col min="1043" max="1044" width="22.625" customWidth="1"/>
    <col min="1045" max="1045" width="17.125" customWidth="1"/>
    <col min="1281" max="1281" width="21.5" customWidth="1"/>
    <col min="1282" max="1282" width="6" customWidth="1"/>
    <col min="1292" max="1293" width="9" customWidth="1"/>
    <col min="1294" max="1294" width="31.125" customWidth="1"/>
    <col min="1295" max="1296" width="9" customWidth="1"/>
    <col min="1297" max="1297" width="12.125" customWidth="1"/>
    <col min="1298" max="1298" width="9" customWidth="1"/>
    <col min="1299" max="1300" width="22.625" customWidth="1"/>
    <col min="1301" max="1301" width="17.125" customWidth="1"/>
    <col min="1537" max="1537" width="21.5" customWidth="1"/>
    <col min="1538" max="1538" width="6" customWidth="1"/>
    <col min="1548" max="1549" width="9" customWidth="1"/>
    <col min="1550" max="1550" width="31.125" customWidth="1"/>
    <col min="1551" max="1552" width="9" customWidth="1"/>
    <col min="1553" max="1553" width="12.125" customWidth="1"/>
    <col min="1554" max="1554" width="9" customWidth="1"/>
    <col min="1555" max="1556" width="22.625" customWidth="1"/>
    <col min="1557" max="1557" width="17.125" customWidth="1"/>
    <col min="1793" max="1793" width="21.5" customWidth="1"/>
    <col min="1794" max="1794" width="6" customWidth="1"/>
    <col min="1804" max="1805" width="9" customWidth="1"/>
    <col min="1806" max="1806" width="31.125" customWidth="1"/>
    <col min="1807" max="1808" width="9" customWidth="1"/>
    <col min="1809" max="1809" width="12.125" customWidth="1"/>
    <col min="1810" max="1810" width="9" customWidth="1"/>
    <col min="1811" max="1812" width="22.625" customWidth="1"/>
    <col min="1813" max="1813" width="17.125" customWidth="1"/>
    <col min="2049" max="2049" width="21.5" customWidth="1"/>
    <col min="2050" max="2050" width="6" customWidth="1"/>
    <col min="2060" max="2061" width="9" customWidth="1"/>
    <col min="2062" max="2062" width="31.125" customWidth="1"/>
    <col min="2063" max="2064" width="9" customWidth="1"/>
    <col min="2065" max="2065" width="12.125" customWidth="1"/>
    <col min="2066" max="2066" width="9" customWidth="1"/>
    <col min="2067" max="2068" width="22.625" customWidth="1"/>
    <col min="2069" max="2069" width="17.125" customWidth="1"/>
    <col min="2305" max="2305" width="21.5" customWidth="1"/>
    <col min="2306" max="2306" width="6" customWidth="1"/>
    <col min="2316" max="2317" width="9" customWidth="1"/>
    <col min="2318" max="2318" width="31.125" customWidth="1"/>
    <col min="2319" max="2320" width="9" customWidth="1"/>
    <col min="2321" max="2321" width="12.125" customWidth="1"/>
    <col min="2322" max="2322" width="9" customWidth="1"/>
    <col min="2323" max="2324" width="22.625" customWidth="1"/>
    <col min="2325" max="2325" width="17.125" customWidth="1"/>
    <col min="2561" max="2561" width="21.5" customWidth="1"/>
    <col min="2562" max="2562" width="6" customWidth="1"/>
    <col min="2572" max="2573" width="9" customWidth="1"/>
    <col min="2574" max="2574" width="31.125" customWidth="1"/>
    <col min="2575" max="2576" width="9" customWidth="1"/>
    <col min="2577" max="2577" width="12.125" customWidth="1"/>
    <col min="2578" max="2578" width="9" customWidth="1"/>
    <col min="2579" max="2580" width="22.625" customWidth="1"/>
    <col min="2581" max="2581" width="17.125" customWidth="1"/>
    <col min="2817" max="2817" width="21.5" customWidth="1"/>
    <col min="2818" max="2818" width="6" customWidth="1"/>
    <col min="2828" max="2829" width="9" customWidth="1"/>
    <col min="2830" max="2830" width="31.125" customWidth="1"/>
    <col min="2831" max="2832" width="9" customWidth="1"/>
    <col min="2833" max="2833" width="12.125" customWidth="1"/>
    <col min="2834" max="2834" width="9" customWidth="1"/>
    <col min="2835" max="2836" width="22.625" customWidth="1"/>
    <col min="2837" max="2837" width="17.125" customWidth="1"/>
    <col min="3073" max="3073" width="21.5" customWidth="1"/>
    <col min="3074" max="3074" width="6" customWidth="1"/>
    <col min="3084" max="3085" width="9" customWidth="1"/>
    <col min="3086" max="3086" width="31.125" customWidth="1"/>
    <col min="3087" max="3088" width="9" customWidth="1"/>
    <col min="3089" max="3089" width="12.125" customWidth="1"/>
    <col min="3090" max="3090" width="9" customWidth="1"/>
    <col min="3091" max="3092" width="22.625" customWidth="1"/>
    <col min="3093" max="3093" width="17.125" customWidth="1"/>
    <col min="3329" max="3329" width="21.5" customWidth="1"/>
    <col min="3330" max="3330" width="6" customWidth="1"/>
    <col min="3340" max="3341" width="9" customWidth="1"/>
    <col min="3342" max="3342" width="31.125" customWidth="1"/>
    <col min="3343" max="3344" width="9" customWidth="1"/>
    <col min="3345" max="3345" width="12.125" customWidth="1"/>
    <col min="3346" max="3346" width="9" customWidth="1"/>
    <col min="3347" max="3348" width="22.625" customWidth="1"/>
    <col min="3349" max="3349" width="17.125" customWidth="1"/>
    <col min="3585" max="3585" width="21.5" customWidth="1"/>
    <col min="3586" max="3586" width="6" customWidth="1"/>
    <col min="3596" max="3597" width="9" customWidth="1"/>
    <col min="3598" max="3598" width="31.125" customWidth="1"/>
    <col min="3599" max="3600" width="9" customWidth="1"/>
    <col min="3601" max="3601" width="12.125" customWidth="1"/>
    <col min="3602" max="3602" width="9" customWidth="1"/>
    <col min="3603" max="3604" width="22.625" customWidth="1"/>
    <col min="3605" max="3605" width="17.125" customWidth="1"/>
    <col min="3841" max="3841" width="21.5" customWidth="1"/>
    <col min="3842" max="3842" width="6" customWidth="1"/>
    <col min="3852" max="3853" width="9" customWidth="1"/>
    <col min="3854" max="3854" width="31.125" customWidth="1"/>
    <col min="3855" max="3856" width="9" customWidth="1"/>
    <col min="3857" max="3857" width="12.125" customWidth="1"/>
    <col min="3858" max="3858" width="9" customWidth="1"/>
    <col min="3859" max="3860" width="22.625" customWidth="1"/>
    <col min="3861" max="3861" width="17.125" customWidth="1"/>
    <col min="4097" max="4097" width="21.5" customWidth="1"/>
    <col min="4098" max="4098" width="6" customWidth="1"/>
    <col min="4108" max="4109" width="9" customWidth="1"/>
    <col min="4110" max="4110" width="31.125" customWidth="1"/>
    <col min="4111" max="4112" width="9" customWidth="1"/>
    <col min="4113" max="4113" width="12.125" customWidth="1"/>
    <col min="4114" max="4114" width="9" customWidth="1"/>
    <col min="4115" max="4116" width="22.625" customWidth="1"/>
    <col min="4117" max="4117" width="17.125" customWidth="1"/>
    <col min="4353" max="4353" width="21.5" customWidth="1"/>
    <col min="4354" max="4354" width="6" customWidth="1"/>
    <col min="4364" max="4365" width="9" customWidth="1"/>
    <col min="4366" max="4366" width="31.125" customWidth="1"/>
    <col min="4367" max="4368" width="9" customWidth="1"/>
    <col min="4369" max="4369" width="12.125" customWidth="1"/>
    <col min="4370" max="4370" width="9" customWidth="1"/>
    <col min="4371" max="4372" width="22.625" customWidth="1"/>
    <col min="4373" max="4373" width="17.125" customWidth="1"/>
    <col min="4609" max="4609" width="21.5" customWidth="1"/>
    <col min="4610" max="4610" width="6" customWidth="1"/>
    <col min="4620" max="4621" width="9" customWidth="1"/>
    <col min="4622" max="4622" width="31.125" customWidth="1"/>
    <col min="4623" max="4624" width="9" customWidth="1"/>
    <col min="4625" max="4625" width="12.125" customWidth="1"/>
    <col min="4626" max="4626" width="9" customWidth="1"/>
    <col min="4627" max="4628" width="22.625" customWidth="1"/>
    <col min="4629" max="4629" width="17.125" customWidth="1"/>
    <col min="4865" max="4865" width="21.5" customWidth="1"/>
    <col min="4866" max="4866" width="6" customWidth="1"/>
    <col min="4876" max="4877" width="9" customWidth="1"/>
    <col min="4878" max="4878" width="31.125" customWidth="1"/>
    <col min="4879" max="4880" width="9" customWidth="1"/>
    <col min="4881" max="4881" width="12.125" customWidth="1"/>
    <col min="4882" max="4882" width="9" customWidth="1"/>
    <col min="4883" max="4884" width="22.625" customWidth="1"/>
    <col min="4885" max="4885" width="17.125" customWidth="1"/>
    <col min="5121" max="5121" width="21.5" customWidth="1"/>
    <col min="5122" max="5122" width="6" customWidth="1"/>
    <col min="5132" max="5133" width="9" customWidth="1"/>
    <col min="5134" max="5134" width="31.125" customWidth="1"/>
    <col min="5135" max="5136" width="9" customWidth="1"/>
    <col min="5137" max="5137" width="12.125" customWidth="1"/>
    <col min="5138" max="5138" width="9" customWidth="1"/>
    <col min="5139" max="5140" width="22.625" customWidth="1"/>
    <col min="5141" max="5141" width="17.125" customWidth="1"/>
    <col min="5377" max="5377" width="21.5" customWidth="1"/>
    <col min="5378" max="5378" width="6" customWidth="1"/>
    <col min="5388" max="5389" width="9" customWidth="1"/>
    <col min="5390" max="5390" width="31.125" customWidth="1"/>
    <col min="5391" max="5392" width="9" customWidth="1"/>
    <col min="5393" max="5393" width="12.125" customWidth="1"/>
    <col min="5394" max="5394" width="9" customWidth="1"/>
    <col min="5395" max="5396" width="22.625" customWidth="1"/>
    <col min="5397" max="5397" width="17.125" customWidth="1"/>
    <col min="5633" max="5633" width="21.5" customWidth="1"/>
    <col min="5634" max="5634" width="6" customWidth="1"/>
    <col min="5644" max="5645" width="9" customWidth="1"/>
    <col min="5646" max="5646" width="31.125" customWidth="1"/>
    <col min="5647" max="5648" width="9" customWidth="1"/>
    <col min="5649" max="5649" width="12.125" customWidth="1"/>
    <col min="5650" max="5650" width="9" customWidth="1"/>
    <col min="5651" max="5652" width="22.625" customWidth="1"/>
    <col min="5653" max="5653" width="17.125" customWidth="1"/>
    <col min="5889" max="5889" width="21.5" customWidth="1"/>
    <col min="5890" max="5890" width="6" customWidth="1"/>
    <col min="5900" max="5901" width="9" customWidth="1"/>
    <col min="5902" max="5902" width="31.125" customWidth="1"/>
    <col min="5903" max="5904" width="9" customWidth="1"/>
    <col min="5905" max="5905" width="12.125" customWidth="1"/>
    <col min="5906" max="5906" width="9" customWidth="1"/>
    <col min="5907" max="5908" width="22.625" customWidth="1"/>
    <col min="5909" max="5909" width="17.125" customWidth="1"/>
    <col min="6145" max="6145" width="21.5" customWidth="1"/>
    <col min="6146" max="6146" width="6" customWidth="1"/>
    <col min="6156" max="6157" width="9" customWidth="1"/>
    <col min="6158" max="6158" width="31.125" customWidth="1"/>
    <col min="6159" max="6160" width="9" customWidth="1"/>
    <col min="6161" max="6161" width="12.125" customWidth="1"/>
    <col min="6162" max="6162" width="9" customWidth="1"/>
    <col min="6163" max="6164" width="22.625" customWidth="1"/>
    <col min="6165" max="6165" width="17.125" customWidth="1"/>
    <col min="6401" max="6401" width="21.5" customWidth="1"/>
    <col min="6402" max="6402" width="6" customWidth="1"/>
    <col min="6412" max="6413" width="9" customWidth="1"/>
    <col min="6414" max="6414" width="31.125" customWidth="1"/>
    <col min="6415" max="6416" width="9" customWidth="1"/>
    <col min="6417" max="6417" width="12.125" customWidth="1"/>
    <col min="6418" max="6418" width="9" customWidth="1"/>
    <col min="6419" max="6420" width="22.625" customWidth="1"/>
    <col min="6421" max="6421" width="17.125" customWidth="1"/>
    <col min="6657" max="6657" width="21.5" customWidth="1"/>
    <col min="6658" max="6658" width="6" customWidth="1"/>
    <col min="6668" max="6669" width="9" customWidth="1"/>
    <col min="6670" max="6670" width="31.125" customWidth="1"/>
    <col min="6671" max="6672" width="9" customWidth="1"/>
    <col min="6673" max="6673" width="12.125" customWidth="1"/>
    <col min="6674" max="6674" width="9" customWidth="1"/>
    <col min="6675" max="6676" width="22.625" customWidth="1"/>
    <col min="6677" max="6677" width="17.125" customWidth="1"/>
    <col min="6913" max="6913" width="21.5" customWidth="1"/>
    <col min="6914" max="6914" width="6" customWidth="1"/>
    <col min="6924" max="6925" width="9" customWidth="1"/>
    <col min="6926" max="6926" width="31.125" customWidth="1"/>
    <col min="6927" max="6928" width="9" customWidth="1"/>
    <col min="6929" max="6929" width="12.125" customWidth="1"/>
    <col min="6930" max="6930" width="9" customWidth="1"/>
    <col min="6931" max="6932" width="22.625" customWidth="1"/>
    <col min="6933" max="6933" width="17.125" customWidth="1"/>
    <col min="7169" max="7169" width="21.5" customWidth="1"/>
    <col min="7170" max="7170" width="6" customWidth="1"/>
    <col min="7180" max="7181" width="9" customWidth="1"/>
    <col min="7182" max="7182" width="31.125" customWidth="1"/>
    <col min="7183" max="7184" width="9" customWidth="1"/>
    <col min="7185" max="7185" width="12.125" customWidth="1"/>
    <col min="7186" max="7186" width="9" customWidth="1"/>
    <col min="7187" max="7188" width="22.625" customWidth="1"/>
    <col min="7189" max="7189" width="17.125" customWidth="1"/>
    <col min="7425" max="7425" width="21.5" customWidth="1"/>
    <col min="7426" max="7426" width="6" customWidth="1"/>
    <col min="7436" max="7437" width="9" customWidth="1"/>
    <col min="7438" max="7438" width="31.125" customWidth="1"/>
    <col min="7439" max="7440" width="9" customWidth="1"/>
    <col min="7441" max="7441" width="12.125" customWidth="1"/>
    <col min="7442" max="7442" width="9" customWidth="1"/>
    <col min="7443" max="7444" width="22.625" customWidth="1"/>
    <col min="7445" max="7445" width="17.125" customWidth="1"/>
    <col min="7681" max="7681" width="21.5" customWidth="1"/>
    <col min="7682" max="7682" width="6" customWidth="1"/>
    <col min="7692" max="7693" width="9" customWidth="1"/>
    <col min="7694" max="7694" width="31.125" customWidth="1"/>
    <col min="7695" max="7696" width="9" customWidth="1"/>
    <col min="7697" max="7697" width="12.125" customWidth="1"/>
    <col min="7698" max="7698" width="9" customWidth="1"/>
    <col min="7699" max="7700" width="22.625" customWidth="1"/>
    <col min="7701" max="7701" width="17.125" customWidth="1"/>
    <col min="7937" max="7937" width="21.5" customWidth="1"/>
    <col min="7938" max="7938" width="6" customWidth="1"/>
    <col min="7948" max="7949" width="9" customWidth="1"/>
    <col min="7950" max="7950" width="31.125" customWidth="1"/>
    <col min="7951" max="7952" width="9" customWidth="1"/>
    <col min="7953" max="7953" width="12.125" customWidth="1"/>
    <col min="7954" max="7954" width="9" customWidth="1"/>
    <col min="7955" max="7956" width="22.625" customWidth="1"/>
    <col min="7957" max="7957" width="17.125" customWidth="1"/>
    <col min="8193" max="8193" width="21.5" customWidth="1"/>
    <col min="8194" max="8194" width="6" customWidth="1"/>
    <col min="8204" max="8205" width="9" customWidth="1"/>
    <col min="8206" max="8206" width="31.125" customWidth="1"/>
    <col min="8207" max="8208" width="9" customWidth="1"/>
    <col min="8209" max="8209" width="12.125" customWidth="1"/>
    <col min="8210" max="8210" width="9" customWidth="1"/>
    <col min="8211" max="8212" width="22.625" customWidth="1"/>
    <col min="8213" max="8213" width="17.125" customWidth="1"/>
    <col min="8449" max="8449" width="21.5" customWidth="1"/>
    <col min="8450" max="8450" width="6" customWidth="1"/>
    <col min="8460" max="8461" width="9" customWidth="1"/>
    <col min="8462" max="8462" width="31.125" customWidth="1"/>
    <col min="8463" max="8464" width="9" customWidth="1"/>
    <col min="8465" max="8465" width="12.125" customWidth="1"/>
    <col min="8466" max="8466" width="9" customWidth="1"/>
    <col min="8467" max="8468" width="22.625" customWidth="1"/>
    <col min="8469" max="8469" width="17.125" customWidth="1"/>
    <col min="8705" max="8705" width="21.5" customWidth="1"/>
    <col min="8706" max="8706" width="6" customWidth="1"/>
    <col min="8716" max="8717" width="9" customWidth="1"/>
    <col min="8718" max="8718" width="31.125" customWidth="1"/>
    <col min="8719" max="8720" width="9" customWidth="1"/>
    <col min="8721" max="8721" width="12.125" customWidth="1"/>
    <col min="8722" max="8722" width="9" customWidth="1"/>
    <col min="8723" max="8724" width="22.625" customWidth="1"/>
    <col min="8725" max="8725" width="17.125" customWidth="1"/>
    <col min="8961" max="8961" width="21.5" customWidth="1"/>
    <col min="8962" max="8962" width="6" customWidth="1"/>
    <col min="8972" max="8973" width="9" customWidth="1"/>
    <col min="8974" max="8974" width="31.125" customWidth="1"/>
    <col min="8975" max="8976" width="9" customWidth="1"/>
    <col min="8977" max="8977" width="12.125" customWidth="1"/>
    <col min="8978" max="8978" width="9" customWidth="1"/>
    <col min="8979" max="8980" width="22.625" customWidth="1"/>
    <col min="8981" max="8981" width="17.125" customWidth="1"/>
    <col min="9217" max="9217" width="21.5" customWidth="1"/>
    <col min="9218" max="9218" width="6" customWidth="1"/>
    <col min="9228" max="9229" width="9" customWidth="1"/>
    <col min="9230" max="9230" width="31.125" customWidth="1"/>
    <col min="9231" max="9232" width="9" customWidth="1"/>
    <col min="9233" max="9233" width="12.125" customWidth="1"/>
    <col min="9234" max="9234" width="9" customWidth="1"/>
    <col min="9235" max="9236" width="22.625" customWidth="1"/>
    <col min="9237" max="9237" width="17.125" customWidth="1"/>
    <col min="9473" max="9473" width="21.5" customWidth="1"/>
    <col min="9474" max="9474" width="6" customWidth="1"/>
    <col min="9484" max="9485" width="9" customWidth="1"/>
    <col min="9486" max="9486" width="31.125" customWidth="1"/>
    <col min="9487" max="9488" width="9" customWidth="1"/>
    <col min="9489" max="9489" width="12.125" customWidth="1"/>
    <col min="9490" max="9490" width="9" customWidth="1"/>
    <col min="9491" max="9492" width="22.625" customWidth="1"/>
    <col min="9493" max="9493" width="17.125" customWidth="1"/>
    <col min="9729" max="9729" width="21.5" customWidth="1"/>
    <col min="9730" max="9730" width="6" customWidth="1"/>
    <col min="9740" max="9741" width="9" customWidth="1"/>
    <col min="9742" max="9742" width="31.125" customWidth="1"/>
    <col min="9743" max="9744" width="9" customWidth="1"/>
    <col min="9745" max="9745" width="12.125" customWidth="1"/>
    <col min="9746" max="9746" width="9" customWidth="1"/>
    <col min="9747" max="9748" width="22.625" customWidth="1"/>
    <col min="9749" max="9749" width="17.125" customWidth="1"/>
    <col min="9985" max="9985" width="21.5" customWidth="1"/>
    <col min="9986" max="9986" width="6" customWidth="1"/>
    <col min="9996" max="9997" width="9" customWidth="1"/>
    <col min="9998" max="9998" width="31.125" customWidth="1"/>
    <col min="9999" max="10000" width="9" customWidth="1"/>
    <col min="10001" max="10001" width="12.125" customWidth="1"/>
    <col min="10002" max="10002" width="9" customWidth="1"/>
    <col min="10003" max="10004" width="22.625" customWidth="1"/>
    <col min="10005" max="10005" width="17.125" customWidth="1"/>
    <col min="10241" max="10241" width="21.5" customWidth="1"/>
    <col min="10242" max="10242" width="6" customWidth="1"/>
    <col min="10252" max="10253" width="9" customWidth="1"/>
    <col min="10254" max="10254" width="31.125" customWidth="1"/>
    <col min="10255" max="10256" width="9" customWidth="1"/>
    <col min="10257" max="10257" width="12.125" customWidth="1"/>
    <col min="10258" max="10258" width="9" customWidth="1"/>
    <col min="10259" max="10260" width="22.625" customWidth="1"/>
    <col min="10261" max="10261" width="17.125" customWidth="1"/>
    <col min="10497" max="10497" width="21.5" customWidth="1"/>
    <col min="10498" max="10498" width="6" customWidth="1"/>
    <col min="10508" max="10509" width="9" customWidth="1"/>
    <col min="10510" max="10510" width="31.125" customWidth="1"/>
    <col min="10511" max="10512" width="9" customWidth="1"/>
    <col min="10513" max="10513" width="12.125" customWidth="1"/>
    <col min="10514" max="10514" width="9" customWidth="1"/>
    <col min="10515" max="10516" width="22.625" customWidth="1"/>
    <col min="10517" max="10517" width="17.125" customWidth="1"/>
    <col min="10753" max="10753" width="21.5" customWidth="1"/>
    <col min="10754" max="10754" width="6" customWidth="1"/>
    <col min="10764" max="10765" width="9" customWidth="1"/>
    <col min="10766" max="10766" width="31.125" customWidth="1"/>
    <col min="10767" max="10768" width="9" customWidth="1"/>
    <col min="10769" max="10769" width="12.125" customWidth="1"/>
    <col min="10770" max="10770" width="9" customWidth="1"/>
    <col min="10771" max="10772" width="22.625" customWidth="1"/>
    <col min="10773" max="10773" width="17.125" customWidth="1"/>
    <col min="11009" max="11009" width="21.5" customWidth="1"/>
    <col min="11010" max="11010" width="6" customWidth="1"/>
    <col min="11020" max="11021" width="9" customWidth="1"/>
    <col min="11022" max="11022" width="31.125" customWidth="1"/>
    <col min="11023" max="11024" width="9" customWidth="1"/>
    <col min="11025" max="11025" width="12.125" customWidth="1"/>
    <col min="11026" max="11026" width="9" customWidth="1"/>
    <col min="11027" max="11028" width="22.625" customWidth="1"/>
    <col min="11029" max="11029" width="17.125" customWidth="1"/>
    <col min="11265" max="11265" width="21.5" customWidth="1"/>
    <col min="11266" max="11266" width="6" customWidth="1"/>
    <col min="11276" max="11277" width="9" customWidth="1"/>
    <col min="11278" max="11278" width="31.125" customWidth="1"/>
    <col min="11279" max="11280" width="9" customWidth="1"/>
    <col min="11281" max="11281" width="12.125" customWidth="1"/>
    <col min="11282" max="11282" width="9" customWidth="1"/>
    <col min="11283" max="11284" width="22.625" customWidth="1"/>
    <col min="11285" max="11285" width="17.125" customWidth="1"/>
    <col min="11521" max="11521" width="21.5" customWidth="1"/>
    <col min="11522" max="11522" width="6" customWidth="1"/>
    <col min="11532" max="11533" width="9" customWidth="1"/>
    <col min="11534" max="11534" width="31.125" customWidth="1"/>
    <col min="11535" max="11536" width="9" customWidth="1"/>
    <col min="11537" max="11537" width="12.125" customWidth="1"/>
    <col min="11538" max="11538" width="9" customWidth="1"/>
    <col min="11539" max="11540" width="22.625" customWidth="1"/>
    <col min="11541" max="11541" width="17.125" customWidth="1"/>
    <col min="11777" max="11777" width="21.5" customWidth="1"/>
    <col min="11778" max="11778" width="6" customWidth="1"/>
    <col min="11788" max="11789" width="9" customWidth="1"/>
    <col min="11790" max="11790" width="31.125" customWidth="1"/>
    <col min="11791" max="11792" width="9" customWidth="1"/>
    <col min="11793" max="11793" width="12.125" customWidth="1"/>
    <col min="11794" max="11794" width="9" customWidth="1"/>
    <col min="11795" max="11796" width="22.625" customWidth="1"/>
    <col min="11797" max="11797" width="17.125" customWidth="1"/>
    <col min="12033" max="12033" width="21.5" customWidth="1"/>
    <col min="12034" max="12034" width="6" customWidth="1"/>
    <col min="12044" max="12045" width="9" customWidth="1"/>
    <col min="12046" max="12046" width="31.125" customWidth="1"/>
    <col min="12047" max="12048" width="9" customWidth="1"/>
    <col min="12049" max="12049" width="12.125" customWidth="1"/>
    <col min="12050" max="12050" width="9" customWidth="1"/>
    <col min="12051" max="12052" width="22.625" customWidth="1"/>
    <col min="12053" max="12053" width="17.125" customWidth="1"/>
    <col min="12289" max="12289" width="21.5" customWidth="1"/>
    <col min="12290" max="12290" width="6" customWidth="1"/>
    <col min="12300" max="12301" width="9" customWidth="1"/>
    <col min="12302" max="12302" width="31.125" customWidth="1"/>
    <col min="12303" max="12304" width="9" customWidth="1"/>
    <col min="12305" max="12305" width="12.125" customWidth="1"/>
    <col min="12306" max="12306" width="9" customWidth="1"/>
    <col min="12307" max="12308" width="22.625" customWidth="1"/>
    <col min="12309" max="12309" width="17.125" customWidth="1"/>
    <col min="12545" max="12545" width="21.5" customWidth="1"/>
    <col min="12546" max="12546" width="6" customWidth="1"/>
    <col min="12556" max="12557" width="9" customWidth="1"/>
    <col min="12558" max="12558" width="31.125" customWidth="1"/>
    <col min="12559" max="12560" width="9" customWidth="1"/>
    <col min="12561" max="12561" width="12.125" customWidth="1"/>
    <col min="12562" max="12562" width="9" customWidth="1"/>
    <col min="12563" max="12564" width="22.625" customWidth="1"/>
    <col min="12565" max="12565" width="17.125" customWidth="1"/>
    <col min="12801" max="12801" width="21.5" customWidth="1"/>
    <col min="12802" max="12802" width="6" customWidth="1"/>
    <col min="12812" max="12813" width="9" customWidth="1"/>
    <col min="12814" max="12814" width="31.125" customWidth="1"/>
    <col min="12815" max="12816" width="9" customWidth="1"/>
    <col min="12817" max="12817" width="12.125" customWidth="1"/>
    <col min="12818" max="12818" width="9" customWidth="1"/>
    <col min="12819" max="12820" width="22.625" customWidth="1"/>
    <col min="12821" max="12821" width="17.125" customWidth="1"/>
    <col min="13057" max="13057" width="21.5" customWidth="1"/>
    <col min="13058" max="13058" width="6" customWidth="1"/>
    <col min="13068" max="13069" width="9" customWidth="1"/>
    <col min="13070" max="13070" width="31.125" customWidth="1"/>
    <col min="13071" max="13072" width="9" customWidth="1"/>
    <col min="13073" max="13073" width="12.125" customWidth="1"/>
    <col min="13074" max="13074" width="9" customWidth="1"/>
    <col min="13075" max="13076" width="22.625" customWidth="1"/>
    <col min="13077" max="13077" width="17.125" customWidth="1"/>
    <col min="13313" max="13313" width="21.5" customWidth="1"/>
    <col min="13314" max="13314" width="6" customWidth="1"/>
    <col min="13324" max="13325" width="9" customWidth="1"/>
    <col min="13326" max="13326" width="31.125" customWidth="1"/>
    <col min="13327" max="13328" width="9" customWidth="1"/>
    <col min="13329" max="13329" width="12.125" customWidth="1"/>
    <col min="13330" max="13330" width="9" customWidth="1"/>
    <col min="13331" max="13332" width="22.625" customWidth="1"/>
    <col min="13333" max="13333" width="17.125" customWidth="1"/>
    <col min="13569" max="13569" width="21.5" customWidth="1"/>
    <col min="13570" max="13570" width="6" customWidth="1"/>
    <col min="13580" max="13581" width="9" customWidth="1"/>
    <col min="13582" max="13582" width="31.125" customWidth="1"/>
    <col min="13583" max="13584" width="9" customWidth="1"/>
    <col min="13585" max="13585" width="12.125" customWidth="1"/>
    <col min="13586" max="13586" width="9" customWidth="1"/>
    <col min="13587" max="13588" width="22.625" customWidth="1"/>
    <col min="13589" max="13589" width="17.125" customWidth="1"/>
    <col min="13825" max="13825" width="21.5" customWidth="1"/>
    <col min="13826" max="13826" width="6" customWidth="1"/>
    <col min="13836" max="13837" width="9" customWidth="1"/>
    <col min="13838" max="13838" width="31.125" customWidth="1"/>
    <col min="13839" max="13840" width="9" customWidth="1"/>
    <col min="13841" max="13841" width="12.125" customWidth="1"/>
    <col min="13842" max="13842" width="9" customWidth="1"/>
    <col min="13843" max="13844" width="22.625" customWidth="1"/>
    <col min="13845" max="13845" width="17.125" customWidth="1"/>
    <col min="14081" max="14081" width="21.5" customWidth="1"/>
    <col min="14082" max="14082" width="6" customWidth="1"/>
    <col min="14092" max="14093" width="9" customWidth="1"/>
    <col min="14094" max="14094" width="31.125" customWidth="1"/>
    <col min="14095" max="14096" width="9" customWidth="1"/>
    <col min="14097" max="14097" width="12.125" customWidth="1"/>
    <col min="14098" max="14098" width="9" customWidth="1"/>
    <col min="14099" max="14100" width="22.625" customWidth="1"/>
    <col min="14101" max="14101" width="17.125" customWidth="1"/>
    <col min="14337" max="14337" width="21.5" customWidth="1"/>
    <col min="14338" max="14338" width="6" customWidth="1"/>
    <col min="14348" max="14349" width="9" customWidth="1"/>
    <col min="14350" max="14350" width="31.125" customWidth="1"/>
    <col min="14351" max="14352" width="9" customWidth="1"/>
    <col min="14353" max="14353" width="12.125" customWidth="1"/>
    <col min="14354" max="14354" width="9" customWidth="1"/>
    <col min="14355" max="14356" width="22.625" customWidth="1"/>
    <col min="14357" max="14357" width="17.125" customWidth="1"/>
    <col min="14593" max="14593" width="21.5" customWidth="1"/>
    <col min="14594" max="14594" width="6" customWidth="1"/>
    <col min="14604" max="14605" width="9" customWidth="1"/>
    <col min="14606" max="14606" width="31.125" customWidth="1"/>
    <col min="14607" max="14608" width="9" customWidth="1"/>
    <col min="14609" max="14609" width="12.125" customWidth="1"/>
    <col min="14610" max="14610" width="9" customWidth="1"/>
    <col min="14611" max="14612" width="22.625" customWidth="1"/>
    <col min="14613" max="14613" width="17.125" customWidth="1"/>
    <col min="14849" max="14849" width="21.5" customWidth="1"/>
    <col min="14850" max="14850" width="6" customWidth="1"/>
    <col min="14860" max="14861" width="9" customWidth="1"/>
    <col min="14862" max="14862" width="31.125" customWidth="1"/>
    <col min="14863" max="14864" width="9" customWidth="1"/>
    <col min="14865" max="14865" width="12.125" customWidth="1"/>
    <col min="14866" max="14866" width="9" customWidth="1"/>
    <col min="14867" max="14868" width="22.625" customWidth="1"/>
    <col min="14869" max="14869" width="17.125" customWidth="1"/>
    <col min="15105" max="15105" width="21.5" customWidth="1"/>
    <col min="15106" max="15106" width="6" customWidth="1"/>
    <col min="15116" max="15117" width="9" customWidth="1"/>
    <col min="15118" max="15118" width="31.125" customWidth="1"/>
    <col min="15119" max="15120" width="9" customWidth="1"/>
    <col min="15121" max="15121" width="12.125" customWidth="1"/>
    <col min="15122" max="15122" width="9" customWidth="1"/>
    <col min="15123" max="15124" width="22.625" customWidth="1"/>
    <col min="15125" max="15125" width="17.125" customWidth="1"/>
    <col min="15361" max="15361" width="21.5" customWidth="1"/>
    <col min="15362" max="15362" width="6" customWidth="1"/>
    <col min="15372" max="15373" width="9" customWidth="1"/>
    <col min="15374" max="15374" width="31.125" customWidth="1"/>
    <col min="15375" max="15376" width="9" customWidth="1"/>
    <col min="15377" max="15377" width="12.125" customWidth="1"/>
    <col min="15378" max="15378" width="9" customWidth="1"/>
    <col min="15379" max="15380" width="22.625" customWidth="1"/>
    <col min="15381" max="15381" width="17.125" customWidth="1"/>
    <col min="15617" max="15617" width="21.5" customWidth="1"/>
    <col min="15618" max="15618" width="6" customWidth="1"/>
    <col min="15628" max="15629" width="9" customWidth="1"/>
    <col min="15630" max="15630" width="31.125" customWidth="1"/>
    <col min="15631" max="15632" width="9" customWidth="1"/>
    <col min="15633" max="15633" width="12.125" customWidth="1"/>
    <col min="15634" max="15634" width="9" customWidth="1"/>
    <col min="15635" max="15636" width="22.625" customWidth="1"/>
    <col min="15637" max="15637" width="17.125" customWidth="1"/>
    <col min="15873" max="15873" width="21.5" customWidth="1"/>
    <col min="15874" max="15874" width="6" customWidth="1"/>
    <col min="15884" max="15885" width="9" customWidth="1"/>
    <col min="15886" max="15886" width="31.125" customWidth="1"/>
    <col min="15887" max="15888" width="9" customWidth="1"/>
    <col min="15889" max="15889" width="12.125" customWidth="1"/>
    <col min="15890" max="15890" width="9" customWidth="1"/>
    <col min="15891" max="15892" width="22.625" customWidth="1"/>
    <col min="15893" max="15893" width="17.125" customWidth="1"/>
    <col min="16129" max="16129" width="21.5" customWidth="1"/>
    <col min="16130" max="16130" width="6" customWidth="1"/>
    <col min="16140" max="16141" width="9" customWidth="1"/>
    <col min="16142" max="16142" width="31.125" customWidth="1"/>
    <col min="16143" max="16144" width="9" customWidth="1"/>
    <col min="16145" max="16145" width="12.125" customWidth="1"/>
    <col min="16146" max="16146" width="9" customWidth="1"/>
    <col min="16147" max="16148" width="22.625" customWidth="1"/>
    <col min="16149" max="16149" width="17.125" customWidth="1"/>
  </cols>
  <sheetData>
    <row r="1" spans="1:31" s="115" customFormat="1" x14ac:dyDescent="0.25">
      <c r="A1" s="114" t="s">
        <v>348</v>
      </c>
      <c r="B1" s="114" t="s">
        <v>587</v>
      </c>
      <c r="C1" s="114" t="s">
        <v>845</v>
      </c>
      <c r="D1" s="114" t="s">
        <v>349</v>
      </c>
      <c r="E1" s="114" t="s">
        <v>350</v>
      </c>
      <c r="F1" s="114" t="s">
        <v>351</v>
      </c>
      <c r="G1" s="114" t="s">
        <v>352</v>
      </c>
      <c r="H1" s="114" t="s">
        <v>172</v>
      </c>
      <c r="I1" s="114" t="s">
        <v>173</v>
      </c>
      <c r="J1" s="114" t="s">
        <v>2169</v>
      </c>
      <c r="K1" s="114" t="s">
        <v>152</v>
      </c>
      <c r="N1" s="117" t="s">
        <v>153</v>
      </c>
      <c r="O1" s="114" t="s">
        <v>22</v>
      </c>
      <c r="P1" s="114" t="s">
        <v>37</v>
      </c>
      <c r="Q1" s="130" t="s">
        <v>1240</v>
      </c>
      <c r="S1" s="116" t="s">
        <v>588</v>
      </c>
      <c r="T1" s="116"/>
      <c r="U1" s="117" t="s">
        <v>2179</v>
      </c>
      <c r="V1" s="114" t="s">
        <v>587</v>
      </c>
      <c r="W1" s="114" t="s">
        <v>1308</v>
      </c>
      <c r="X1" s="114" t="s">
        <v>1309</v>
      </c>
      <c r="Y1" s="114" t="s">
        <v>1310</v>
      </c>
      <c r="Z1" s="114" t="s">
        <v>1311</v>
      </c>
      <c r="AA1" s="114" t="s">
        <v>1312</v>
      </c>
      <c r="AB1" s="114" t="s">
        <v>172</v>
      </c>
      <c r="AC1" s="114" t="s">
        <v>173</v>
      </c>
      <c r="AD1" s="114" t="s">
        <v>2169</v>
      </c>
      <c r="AE1" s="114" t="s">
        <v>152</v>
      </c>
    </row>
    <row r="2" spans="1:31" x14ac:dyDescent="0.25">
      <c r="A2" s="86" t="s">
        <v>330</v>
      </c>
      <c r="B2" s="86" t="s">
        <v>67</v>
      </c>
      <c r="C2" s="86"/>
      <c r="D2" s="86"/>
      <c r="E2" s="86"/>
      <c r="F2" s="86"/>
      <c r="G2" s="86"/>
      <c r="H2" s="86"/>
      <c r="I2" s="86"/>
      <c r="J2" s="86"/>
      <c r="K2" s="86">
        <v>0</v>
      </c>
      <c r="L2" s="86"/>
      <c r="M2" s="86"/>
      <c r="N2" s="85" t="s">
        <v>12</v>
      </c>
      <c r="O2" s="86" t="s">
        <v>24</v>
      </c>
      <c r="P2" s="86">
        <v>24</v>
      </c>
      <c r="Q2" s="189">
        <v>34024</v>
      </c>
      <c r="R2" s="48"/>
      <c r="S2" s="84" t="s">
        <v>1233</v>
      </c>
      <c r="T2" s="81"/>
      <c r="U2" t="s">
        <v>1277</v>
      </c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1:31" x14ac:dyDescent="0.25">
      <c r="A3" s="86" t="s">
        <v>2079</v>
      </c>
      <c r="B3" t="s">
        <v>67</v>
      </c>
      <c r="K3">
        <v>0</v>
      </c>
      <c r="N3" s="72" t="s">
        <v>108</v>
      </c>
      <c r="O3" t="s">
        <v>24</v>
      </c>
      <c r="P3">
        <v>14</v>
      </c>
      <c r="Q3" s="131" t="s">
        <v>2080</v>
      </c>
      <c r="R3" s="48"/>
      <c r="S3" s="81" t="s">
        <v>1924</v>
      </c>
      <c r="T3" s="81"/>
      <c r="U3" t="s">
        <v>1277</v>
      </c>
    </row>
    <row r="4" spans="1:31" x14ac:dyDescent="0.25">
      <c r="A4" s="86" t="s">
        <v>1080</v>
      </c>
      <c r="B4" t="s">
        <v>160</v>
      </c>
      <c r="K4">
        <v>0</v>
      </c>
      <c r="N4" s="72" t="s">
        <v>2262</v>
      </c>
      <c r="O4" t="s">
        <v>24</v>
      </c>
      <c r="P4">
        <v>43</v>
      </c>
      <c r="Q4" s="131">
        <v>27349</v>
      </c>
      <c r="R4" s="48"/>
      <c r="S4" s="84" t="s">
        <v>1234</v>
      </c>
      <c r="T4" s="81"/>
      <c r="U4" t="s">
        <v>1278</v>
      </c>
    </row>
    <row r="5" spans="1:31" x14ac:dyDescent="0.25">
      <c r="A5" s="86" t="s">
        <v>746</v>
      </c>
      <c r="B5" t="s">
        <v>156</v>
      </c>
      <c r="K5">
        <v>0</v>
      </c>
      <c r="N5" s="72" t="s">
        <v>657</v>
      </c>
      <c r="O5" t="s">
        <v>23</v>
      </c>
      <c r="P5">
        <v>30</v>
      </c>
      <c r="S5" s="84" t="s">
        <v>2166</v>
      </c>
      <c r="T5" s="81"/>
      <c r="U5" t="s">
        <v>160</v>
      </c>
    </row>
    <row r="6" spans="1:31" x14ac:dyDescent="0.25">
      <c r="A6" s="86" t="s">
        <v>1136</v>
      </c>
      <c r="B6" t="s">
        <v>161</v>
      </c>
      <c r="K6">
        <v>0</v>
      </c>
      <c r="N6" s="72" t="s">
        <v>108</v>
      </c>
      <c r="O6" t="s">
        <v>24</v>
      </c>
      <c r="P6">
        <v>52</v>
      </c>
      <c r="Q6" s="131" t="s">
        <v>2039</v>
      </c>
      <c r="S6" s="84" t="s">
        <v>1735</v>
      </c>
      <c r="T6" s="81"/>
      <c r="U6" t="s">
        <v>161</v>
      </c>
    </row>
    <row r="7" spans="1:31" x14ac:dyDescent="0.25">
      <c r="A7" s="86" t="s">
        <v>1466</v>
      </c>
      <c r="B7" t="s">
        <v>161</v>
      </c>
      <c r="K7">
        <v>0</v>
      </c>
      <c r="N7" s="72" t="s">
        <v>505</v>
      </c>
      <c r="O7" t="s">
        <v>24</v>
      </c>
      <c r="P7">
        <v>52</v>
      </c>
      <c r="Q7" s="131">
        <v>23218</v>
      </c>
      <c r="S7" s="81" t="s">
        <v>43</v>
      </c>
      <c r="T7" s="81"/>
      <c r="U7" t="s">
        <v>162</v>
      </c>
    </row>
    <row r="8" spans="1:31" x14ac:dyDescent="0.25">
      <c r="A8" s="86" t="s">
        <v>2387</v>
      </c>
      <c r="B8" t="s">
        <v>67</v>
      </c>
      <c r="E8">
        <v>192</v>
      </c>
      <c r="K8">
        <v>192</v>
      </c>
      <c r="N8" s="72" t="s">
        <v>1805</v>
      </c>
      <c r="O8" t="s">
        <v>24</v>
      </c>
      <c r="P8">
        <v>33</v>
      </c>
      <c r="Q8" s="131">
        <v>30887</v>
      </c>
      <c r="S8" s="84" t="s">
        <v>1629</v>
      </c>
      <c r="T8" s="81"/>
      <c r="U8" t="s">
        <v>1817</v>
      </c>
    </row>
    <row r="9" spans="1:31" x14ac:dyDescent="0.25">
      <c r="A9" s="86" t="s">
        <v>2397</v>
      </c>
      <c r="B9" t="s">
        <v>157</v>
      </c>
      <c r="E9">
        <v>175</v>
      </c>
      <c r="K9">
        <v>175</v>
      </c>
      <c r="N9" s="72" t="s">
        <v>505</v>
      </c>
      <c r="O9" t="s">
        <v>23</v>
      </c>
      <c r="P9">
        <v>42</v>
      </c>
      <c r="Q9" s="131">
        <v>27594</v>
      </c>
      <c r="S9" s="81" t="s">
        <v>816</v>
      </c>
      <c r="T9" s="81"/>
      <c r="U9" t="s">
        <v>157</v>
      </c>
    </row>
    <row r="10" spans="1:31" x14ac:dyDescent="0.25">
      <c r="A10" s="86" t="s">
        <v>1991</v>
      </c>
      <c r="B10" t="s">
        <v>156</v>
      </c>
      <c r="E10">
        <v>109</v>
      </c>
      <c r="K10">
        <v>109</v>
      </c>
      <c r="N10" s="72" t="s">
        <v>63</v>
      </c>
      <c r="O10" t="s">
        <v>23</v>
      </c>
      <c r="P10">
        <v>27</v>
      </c>
      <c r="Q10" s="131">
        <v>33377</v>
      </c>
      <c r="S10" s="84" t="s">
        <v>1132</v>
      </c>
      <c r="T10" s="81"/>
      <c r="U10" t="s">
        <v>158</v>
      </c>
    </row>
    <row r="11" spans="1:31" x14ac:dyDescent="0.25">
      <c r="A11" s="86" t="s">
        <v>1692</v>
      </c>
      <c r="B11" t="s">
        <v>160</v>
      </c>
      <c r="K11">
        <v>0</v>
      </c>
      <c r="N11" s="72" t="s">
        <v>657</v>
      </c>
      <c r="O11" t="s">
        <v>24</v>
      </c>
      <c r="P11">
        <v>48</v>
      </c>
      <c r="Q11" s="131">
        <v>24987</v>
      </c>
      <c r="S11" s="84" t="s">
        <v>1079</v>
      </c>
      <c r="T11" s="81"/>
      <c r="U11" t="s">
        <v>159</v>
      </c>
    </row>
    <row r="12" spans="1:31" x14ac:dyDescent="0.25">
      <c r="A12" s="86" t="s">
        <v>2193</v>
      </c>
      <c r="B12" t="s">
        <v>67</v>
      </c>
      <c r="C12">
        <v>11</v>
      </c>
      <c r="D12">
        <v>12</v>
      </c>
      <c r="F12">
        <v>27</v>
      </c>
      <c r="K12">
        <v>50</v>
      </c>
      <c r="N12" s="72" t="s">
        <v>1805</v>
      </c>
      <c r="O12" t="s">
        <v>24</v>
      </c>
      <c r="P12">
        <v>27</v>
      </c>
      <c r="Q12" s="131">
        <v>33086</v>
      </c>
      <c r="S12" s="81" t="s">
        <v>65</v>
      </c>
      <c r="T12" s="81"/>
      <c r="U12" t="s">
        <v>1818</v>
      </c>
    </row>
    <row r="13" spans="1:31" x14ac:dyDescent="0.25">
      <c r="A13" s="86" t="s">
        <v>2203</v>
      </c>
      <c r="B13" t="s">
        <v>67</v>
      </c>
      <c r="C13">
        <v>46</v>
      </c>
      <c r="D13">
        <v>72</v>
      </c>
      <c r="F13">
        <v>66</v>
      </c>
      <c r="K13">
        <v>184</v>
      </c>
      <c r="N13" s="72" t="s">
        <v>505</v>
      </c>
      <c r="O13" t="s">
        <v>24</v>
      </c>
      <c r="P13">
        <v>38</v>
      </c>
      <c r="Q13" s="131">
        <v>29266</v>
      </c>
      <c r="S13" s="84" t="s">
        <v>1608</v>
      </c>
      <c r="T13" s="81"/>
    </row>
    <row r="14" spans="1:31" x14ac:dyDescent="0.25">
      <c r="A14" s="86" t="s">
        <v>277</v>
      </c>
      <c r="B14" t="s">
        <v>67</v>
      </c>
      <c r="C14">
        <v>34</v>
      </c>
      <c r="D14">
        <v>66</v>
      </c>
      <c r="F14">
        <v>31</v>
      </c>
      <c r="K14">
        <v>131</v>
      </c>
      <c r="N14" s="72" t="s">
        <v>63</v>
      </c>
      <c r="O14" t="s">
        <v>24</v>
      </c>
      <c r="P14">
        <v>38</v>
      </c>
      <c r="Q14" s="131">
        <v>29369</v>
      </c>
      <c r="S14" s="81" t="s">
        <v>51</v>
      </c>
      <c r="T14" s="81"/>
    </row>
    <row r="15" spans="1:31" x14ac:dyDescent="0.25">
      <c r="A15" s="86" t="s">
        <v>1546</v>
      </c>
      <c r="B15" t="s">
        <v>67</v>
      </c>
      <c r="K15">
        <v>0</v>
      </c>
      <c r="N15" s="72" t="s">
        <v>1618</v>
      </c>
      <c r="O15" t="s">
        <v>24</v>
      </c>
      <c r="S15" s="81" t="s">
        <v>39</v>
      </c>
      <c r="T15" s="81"/>
    </row>
    <row r="16" spans="1:31" x14ac:dyDescent="0.25">
      <c r="A16" s="86" t="s">
        <v>1015</v>
      </c>
      <c r="B16" t="s">
        <v>67</v>
      </c>
      <c r="K16">
        <v>0</v>
      </c>
      <c r="N16" s="72" t="s">
        <v>657</v>
      </c>
      <c r="O16" t="s">
        <v>24</v>
      </c>
      <c r="P16">
        <v>33</v>
      </c>
      <c r="S16" s="81" t="s">
        <v>117</v>
      </c>
      <c r="T16" s="81"/>
    </row>
    <row r="17" spans="1:20" x14ac:dyDescent="0.25">
      <c r="A17" s="86" t="s">
        <v>2350</v>
      </c>
      <c r="B17" t="s">
        <v>67</v>
      </c>
      <c r="E17">
        <v>146</v>
      </c>
      <c r="K17">
        <v>146</v>
      </c>
      <c r="N17" s="72" t="s">
        <v>505</v>
      </c>
      <c r="O17" t="s">
        <v>24</v>
      </c>
      <c r="P17">
        <v>27</v>
      </c>
      <c r="Q17" s="131">
        <v>33078</v>
      </c>
      <c r="S17" s="84" t="s">
        <v>1614</v>
      </c>
      <c r="T17" s="81"/>
    </row>
    <row r="18" spans="1:20" x14ac:dyDescent="0.25">
      <c r="A18" s="86" t="s">
        <v>440</v>
      </c>
      <c r="B18" t="s">
        <v>160</v>
      </c>
      <c r="K18">
        <v>0</v>
      </c>
      <c r="N18" s="72" t="s">
        <v>63</v>
      </c>
      <c r="O18" t="s">
        <v>24</v>
      </c>
      <c r="P18">
        <v>47</v>
      </c>
      <c r="S18" s="81" t="s">
        <v>66</v>
      </c>
      <c r="T18" s="81"/>
    </row>
    <row r="19" spans="1:20" x14ac:dyDescent="0.25">
      <c r="A19" s="86" t="s">
        <v>1793</v>
      </c>
      <c r="B19" t="s">
        <v>158</v>
      </c>
      <c r="K19">
        <v>0</v>
      </c>
      <c r="N19" s="72" t="s">
        <v>63</v>
      </c>
      <c r="O19" t="s">
        <v>23</v>
      </c>
      <c r="P19">
        <v>46</v>
      </c>
      <c r="Q19" s="131">
        <v>25834</v>
      </c>
      <c r="S19" s="81" t="s">
        <v>362</v>
      </c>
      <c r="T19" s="81"/>
    </row>
    <row r="20" spans="1:20" x14ac:dyDescent="0.25">
      <c r="A20" s="86" t="s">
        <v>2339</v>
      </c>
      <c r="B20" t="s">
        <v>67</v>
      </c>
      <c r="E20">
        <v>112</v>
      </c>
      <c r="F20">
        <v>89</v>
      </c>
      <c r="K20">
        <v>201</v>
      </c>
      <c r="N20" s="72" t="s">
        <v>108</v>
      </c>
      <c r="O20" t="s">
        <v>24</v>
      </c>
      <c r="P20">
        <v>26</v>
      </c>
      <c r="Q20" s="131">
        <v>33652</v>
      </c>
      <c r="S20" s="84" t="s">
        <v>1854</v>
      </c>
      <c r="T20" s="81"/>
    </row>
    <row r="21" spans="1:20" x14ac:dyDescent="0.25">
      <c r="A21" s="86" t="s">
        <v>1771</v>
      </c>
      <c r="B21" t="s">
        <v>67</v>
      </c>
      <c r="C21">
        <v>98</v>
      </c>
      <c r="D21">
        <v>135</v>
      </c>
      <c r="E21">
        <v>109</v>
      </c>
      <c r="F21">
        <v>105</v>
      </c>
      <c r="K21">
        <v>447</v>
      </c>
      <c r="N21" s="72" t="s">
        <v>108</v>
      </c>
      <c r="O21" t="s">
        <v>24</v>
      </c>
      <c r="P21">
        <v>35</v>
      </c>
      <c r="Q21" s="131">
        <v>30488</v>
      </c>
      <c r="S21" s="81" t="s">
        <v>819</v>
      </c>
      <c r="T21" s="81"/>
    </row>
    <row r="22" spans="1:20" x14ac:dyDescent="0.25">
      <c r="A22" s="86" t="s">
        <v>567</v>
      </c>
      <c r="B22" t="s">
        <v>161</v>
      </c>
      <c r="K22">
        <v>0</v>
      </c>
      <c r="N22" s="72" t="s">
        <v>154</v>
      </c>
      <c r="O22" s="48" t="s">
        <v>852</v>
      </c>
      <c r="P22">
        <v>59</v>
      </c>
      <c r="Q22" s="131">
        <v>21375</v>
      </c>
      <c r="S22" s="81" t="s">
        <v>121</v>
      </c>
      <c r="T22" s="81"/>
    </row>
    <row r="23" spans="1:20" x14ac:dyDescent="0.25">
      <c r="A23" s="86" t="s">
        <v>1534</v>
      </c>
      <c r="B23" t="s">
        <v>160</v>
      </c>
      <c r="K23">
        <v>0</v>
      </c>
      <c r="N23" s="72" t="s">
        <v>14</v>
      </c>
      <c r="O23" t="s">
        <v>24</v>
      </c>
      <c r="P23">
        <v>44</v>
      </c>
      <c r="Q23" s="131">
        <v>26533</v>
      </c>
      <c r="S23" s="81" t="s">
        <v>110</v>
      </c>
      <c r="T23" s="81"/>
    </row>
    <row r="24" spans="1:20" x14ac:dyDescent="0.25">
      <c r="A24" s="86" t="s">
        <v>711</v>
      </c>
      <c r="B24" t="s">
        <v>156</v>
      </c>
      <c r="K24">
        <v>0</v>
      </c>
      <c r="N24" s="72" t="s">
        <v>653</v>
      </c>
      <c r="O24" t="s">
        <v>23</v>
      </c>
      <c r="P24">
        <v>30</v>
      </c>
      <c r="S24" s="84" t="s">
        <v>1611</v>
      </c>
      <c r="T24" s="81"/>
    </row>
    <row r="25" spans="1:20" x14ac:dyDescent="0.25">
      <c r="A25" s="86" t="s">
        <v>585</v>
      </c>
      <c r="B25" t="s">
        <v>67</v>
      </c>
      <c r="K25">
        <v>0</v>
      </c>
      <c r="N25" s="72" t="s">
        <v>108</v>
      </c>
      <c r="O25" t="s">
        <v>24</v>
      </c>
      <c r="P25">
        <v>18</v>
      </c>
      <c r="Q25" s="131" t="s">
        <v>2085</v>
      </c>
      <c r="S25" s="81" t="s">
        <v>130</v>
      </c>
      <c r="T25" s="81"/>
    </row>
    <row r="26" spans="1:20" x14ac:dyDescent="0.25">
      <c r="A26" s="174" t="s">
        <v>853</v>
      </c>
      <c r="B26" t="s">
        <v>160</v>
      </c>
      <c r="E26">
        <v>183</v>
      </c>
      <c r="F26">
        <v>148</v>
      </c>
      <c r="K26">
        <v>331</v>
      </c>
      <c r="N26" s="72" t="s">
        <v>43</v>
      </c>
      <c r="O26" t="s">
        <v>24</v>
      </c>
      <c r="P26">
        <v>45</v>
      </c>
      <c r="Q26" s="131">
        <v>26824</v>
      </c>
      <c r="S26" s="81" t="s">
        <v>56</v>
      </c>
      <c r="T26" s="81"/>
    </row>
    <row r="27" spans="1:20" x14ac:dyDescent="0.25">
      <c r="A27" s="86" t="s">
        <v>873</v>
      </c>
      <c r="B27" t="s">
        <v>160</v>
      </c>
      <c r="K27">
        <v>0</v>
      </c>
      <c r="N27" s="72" t="s">
        <v>63</v>
      </c>
      <c r="O27" t="s">
        <v>24</v>
      </c>
      <c r="P27">
        <v>41</v>
      </c>
      <c r="S27" s="84" t="s">
        <v>1631</v>
      </c>
      <c r="T27" s="81"/>
    </row>
    <row r="28" spans="1:20" x14ac:dyDescent="0.25">
      <c r="A28" s="86" t="s">
        <v>1816</v>
      </c>
      <c r="B28" t="s">
        <v>161</v>
      </c>
      <c r="K28">
        <v>0</v>
      </c>
      <c r="N28" s="72" t="s">
        <v>12</v>
      </c>
      <c r="O28" t="s">
        <v>24</v>
      </c>
      <c r="P28">
        <v>57</v>
      </c>
      <c r="Q28" s="131">
        <v>21539</v>
      </c>
      <c r="S28" s="81" t="s">
        <v>58</v>
      </c>
      <c r="T28" s="81"/>
    </row>
    <row r="29" spans="1:20" x14ac:dyDescent="0.25">
      <c r="A29" s="86" t="s">
        <v>2077</v>
      </c>
      <c r="B29" t="s">
        <v>162</v>
      </c>
      <c r="K29">
        <v>0</v>
      </c>
      <c r="N29" s="72" t="s">
        <v>505</v>
      </c>
      <c r="O29" t="s">
        <v>24</v>
      </c>
      <c r="P29">
        <v>63</v>
      </c>
      <c r="Q29" s="131" t="s">
        <v>2078</v>
      </c>
      <c r="S29" s="81" t="s">
        <v>48</v>
      </c>
      <c r="T29" s="81"/>
    </row>
    <row r="30" spans="1:20" x14ac:dyDescent="0.25">
      <c r="A30" s="86" t="s">
        <v>618</v>
      </c>
      <c r="B30" t="s">
        <v>161</v>
      </c>
      <c r="K30">
        <v>0</v>
      </c>
      <c r="N30" s="72" t="s">
        <v>14</v>
      </c>
      <c r="O30" t="s">
        <v>24</v>
      </c>
      <c r="P30">
        <v>51</v>
      </c>
      <c r="Q30" s="131">
        <v>23887</v>
      </c>
      <c r="S30" s="84" t="s">
        <v>2263</v>
      </c>
      <c r="T30" s="81"/>
    </row>
    <row r="31" spans="1:20" x14ac:dyDescent="0.25">
      <c r="A31" s="86" t="s">
        <v>1098</v>
      </c>
      <c r="B31" t="s">
        <v>160</v>
      </c>
      <c r="K31">
        <v>0</v>
      </c>
      <c r="N31" s="72" t="s">
        <v>154</v>
      </c>
      <c r="O31" t="s">
        <v>24</v>
      </c>
      <c r="P31">
        <v>49</v>
      </c>
      <c r="Q31" s="131">
        <v>24494</v>
      </c>
      <c r="S31" s="81" t="s">
        <v>114</v>
      </c>
      <c r="T31" s="81"/>
    </row>
    <row r="32" spans="1:20" x14ac:dyDescent="0.25">
      <c r="A32" s="86" t="s">
        <v>586</v>
      </c>
      <c r="B32" t="s">
        <v>162</v>
      </c>
      <c r="K32">
        <v>0</v>
      </c>
      <c r="N32" s="72" t="s">
        <v>43</v>
      </c>
      <c r="O32" t="s">
        <v>24</v>
      </c>
      <c r="P32">
        <v>67</v>
      </c>
      <c r="S32" s="84" t="s">
        <v>2005</v>
      </c>
      <c r="T32" s="81"/>
    </row>
    <row r="33" spans="1:20" x14ac:dyDescent="0.25">
      <c r="A33" s="86" t="s">
        <v>1762</v>
      </c>
      <c r="B33" t="s">
        <v>161</v>
      </c>
      <c r="C33">
        <v>78</v>
      </c>
      <c r="D33">
        <v>73</v>
      </c>
      <c r="E33">
        <v>94</v>
      </c>
      <c r="F33">
        <v>77</v>
      </c>
      <c r="K33">
        <v>322</v>
      </c>
      <c r="N33" s="72" t="s">
        <v>108</v>
      </c>
      <c r="O33" t="s">
        <v>24</v>
      </c>
      <c r="P33">
        <v>59</v>
      </c>
      <c r="Q33" s="131">
        <v>21688</v>
      </c>
      <c r="S33" s="84" t="s">
        <v>1617</v>
      </c>
      <c r="T33" s="81"/>
    </row>
    <row r="34" spans="1:20" x14ac:dyDescent="0.25">
      <c r="A34" s="86" t="s">
        <v>1350</v>
      </c>
      <c r="B34" t="s">
        <v>161</v>
      </c>
      <c r="K34">
        <v>0</v>
      </c>
      <c r="N34" s="72" t="s">
        <v>54</v>
      </c>
      <c r="O34" t="s">
        <v>24</v>
      </c>
      <c r="P34">
        <v>53</v>
      </c>
      <c r="Q34" s="131">
        <v>22850</v>
      </c>
      <c r="S34" s="87" t="s">
        <v>155</v>
      </c>
      <c r="T34" s="81"/>
    </row>
    <row r="35" spans="1:20" x14ac:dyDescent="0.25">
      <c r="A35" s="86" t="s">
        <v>559</v>
      </c>
      <c r="B35" t="s">
        <v>161</v>
      </c>
      <c r="K35">
        <v>0</v>
      </c>
      <c r="N35" s="72" t="s">
        <v>44</v>
      </c>
      <c r="O35" s="48" t="s">
        <v>24</v>
      </c>
      <c r="P35">
        <v>55</v>
      </c>
      <c r="S35" s="84" t="s">
        <v>844</v>
      </c>
      <c r="T35" s="81"/>
    </row>
    <row r="36" spans="1:20" x14ac:dyDescent="0.25">
      <c r="A36" s="86" t="s">
        <v>1084</v>
      </c>
      <c r="B36" t="s">
        <v>160</v>
      </c>
      <c r="K36">
        <v>0</v>
      </c>
      <c r="N36" s="72" t="s">
        <v>38</v>
      </c>
      <c r="O36" t="s">
        <v>24</v>
      </c>
      <c r="P36">
        <v>49</v>
      </c>
      <c r="S36" s="81" t="s">
        <v>127</v>
      </c>
      <c r="T36" s="81"/>
    </row>
    <row r="37" spans="1:20" x14ac:dyDescent="0.25">
      <c r="A37" s="86" t="s">
        <v>462</v>
      </c>
      <c r="B37" t="s">
        <v>162</v>
      </c>
      <c r="D37">
        <v>142</v>
      </c>
      <c r="E37">
        <v>177</v>
      </c>
      <c r="K37">
        <v>319</v>
      </c>
      <c r="N37" s="72" t="s">
        <v>505</v>
      </c>
      <c r="O37" t="s">
        <v>24</v>
      </c>
      <c r="P37">
        <v>62</v>
      </c>
      <c r="Q37" s="131">
        <v>20392</v>
      </c>
      <c r="S37" s="84" t="s">
        <v>1427</v>
      </c>
      <c r="T37" s="81"/>
    </row>
    <row r="38" spans="1:20" x14ac:dyDescent="0.25">
      <c r="A38" s="86" t="s">
        <v>2304</v>
      </c>
      <c r="B38" t="s">
        <v>67</v>
      </c>
      <c r="D38">
        <v>43</v>
      </c>
      <c r="E38">
        <v>59</v>
      </c>
      <c r="F38">
        <v>51</v>
      </c>
      <c r="K38">
        <v>153</v>
      </c>
      <c r="N38" s="72" t="s">
        <v>63</v>
      </c>
      <c r="O38" t="s">
        <v>24</v>
      </c>
      <c r="P38">
        <v>31</v>
      </c>
      <c r="Q38" s="131">
        <v>31965</v>
      </c>
      <c r="S38" s="84" t="s">
        <v>1400</v>
      </c>
      <c r="T38" s="81"/>
    </row>
    <row r="39" spans="1:20" x14ac:dyDescent="0.25">
      <c r="A39" s="86" t="s">
        <v>394</v>
      </c>
      <c r="B39" t="s">
        <v>67</v>
      </c>
      <c r="K39">
        <v>0</v>
      </c>
      <c r="N39" s="72" t="s">
        <v>12</v>
      </c>
      <c r="O39" t="s">
        <v>24</v>
      </c>
      <c r="P39">
        <v>28</v>
      </c>
      <c r="Q39" s="131">
        <v>32772</v>
      </c>
      <c r="S39" s="84" t="s">
        <v>1668</v>
      </c>
      <c r="T39" s="81"/>
    </row>
    <row r="40" spans="1:20" x14ac:dyDescent="0.25">
      <c r="A40" s="86" t="s">
        <v>891</v>
      </c>
      <c r="B40" t="s">
        <v>67</v>
      </c>
      <c r="K40">
        <v>0</v>
      </c>
      <c r="N40" s="72" t="s">
        <v>12</v>
      </c>
      <c r="O40" t="s">
        <v>24</v>
      </c>
      <c r="P40">
        <v>33</v>
      </c>
      <c r="Q40" s="131">
        <v>30308</v>
      </c>
      <c r="S40" s="84" t="s">
        <v>2031</v>
      </c>
      <c r="T40" s="81"/>
    </row>
    <row r="41" spans="1:20" x14ac:dyDescent="0.25">
      <c r="A41" s="86" t="s">
        <v>605</v>
      </c>
      <c r="B41" t="s">
        <v>160</v>
      </c>
      <c r="K41">
        <v>0</v>
      </c>
      <c r="N41" s="72" t="s">
        <v>63</v>
      </c>
      <c r="O41" t="s">
        <v>24</v>
      </c>
      <c r="P41">
        <v>40</v>
      </c>
      <c r="S41" s="84" t="s">
        <v>822</v>
      </c>
      <c r="T41" s="81"/>
    </row>
    <row r="42" spans="1:20" x14ac:dyDescent="0.25">
      <c r="A42" s="86" t="s">
        <v>597</v>
      </c>
      <c r="B42" t="s">
        <v>156</v>
      </c>
      <c r="K42">
        <v>0</v>
      </c>
      <c r="N42" s="72" t="s">
        <v>154</v>
      </c>
      <c r="O42" t="s">
        <v>23</v>
      </c>
      <c r="P42">
        <v>34</v>
      </c>
      <c r="S42" s="81" t="s">
        <v>659</v>
      </c>
      <c r="T42" s="81"/>
    </row>
    <row r="43" spans="1:20" x14ac:dyDescent="0.25">
      <c r="A43" s="86" t="s">
        <v>1787</v>
      </c>
      <c r="B43" t="s">
        <v>67</v>
      </c>
      <c r="K43">
        <v>0</v>
      </c>
      <c r="N43" s="72" t="s">
        <v>14</v>
      </c>
      <c r="O43" t="s">
        <v>24</v>
      </c>
      <c r="P43">
        <v>34</v>
      </c>
      <c r="Q43" s="131">
        <v>30181</v>
      </c>
      <c r="S43" s="84" t="s">
        <v>1730</v>
      </c>
      <c r="T43" s="81"/>
    </row>
    <row r="44" spans="1:20" x14ac:dyDescent="0.25">
      <c r="A44" s="86" t="s">
        <v>409</v>
      </c>
      <c r="B44" t="s">
        <v>67</v>
      </c>
      <c r="K44">
        <v>0</v>
      </c>
      <c r="N44" s="72" t="s">
        <v>12</v>
      </c>
      <c r="O44" t="s">
        <v>24</v>
      </c>
      <c r="P44">
        <v>33</v>
      </c>
      <c r="S44" s="84" t="s">
        <v>2412</v>
      </c>
      <c r="T44" s="81"/>
    </row>
    <row r="45" spans="1:20" x14ac:dyDescent="0.25">
      <c r="A45" s="86" t="s">
        <v>1470</v>
      </c>
      <c r="B45" t="s">
        <v>160</v>
      </c>
      <c r="C45">
        <v>102</v>
      </c>
      <c r="D45">
        <v>97</v>
      </c>
      <c r="E45">
        <v>134</v>
      </c>
      <c r="K45">
        <v>333</v>
      </c>
      <c r="N45" s="72" t="s">
        <v>12</v>
      </c>
      <c r="O45" t="s">
        <v>24</v>
      </c>
      <c r="P45">
        <v>48</v>
      </c>
      <c r="Q45" s="131">
        <v>25624</v>
      </c>
      <c r="S45" s="81" t="s">
        <v>63</v>
      </c>
      <c r="T45" s="81"/>
    </row>
    <row r="46" spans="1:20" x14ac:dyDescent="0.25">
      <c r="A46" s="86" t="s">
        <v>2030</v>
      </c>
      <c r="B46" t="s">
        <v>67</v>
      </c>
      <c r="K46">
        <v>0</v>
      </c>
      <c r="N46" s="72" t="s">
        <v>43</v>
      </c>
      <c r="O46" t="s">
        <v>24</v>
      </c>
      <c r="P46">
        <v>29</v>
      </c>
      <c r="Q46" s="131">
        <v>32077</v>
      </c>
      <c r="S46" s="81" t="s">
        <v>814</v>
      </c>
      <c r="T46" s="81"/>
    </row>
    <row r="47" spans="1:20" x14ac:dyDescent="0.25">
      <c r="A47" s="86" t="s">
        <v>1937</v>
      </c>
      <c r="B47" t="s">
        <v>67</v>
      </c>
      <c r="K47">
        <v>0</v>
      </c>
      <c r="N47" s="72" t="s">
        <v>154</v>
      </c>
      <c r="O47" t="s">
        <v>852</v>
      </c>
      <c r="P47">
        <v>20</v>
      </c>
      <c r="Q47" s="131">
        <v>35395</v>
      </c>
      <c r="S47" s="84" t="s">
        <v>1925</v>
      </c>
      <c r="T47" s="81"/>
    </row>
    <row r="48" spans="1:20" x14ac:dyDescent="0.25">
      <c r="A48" s="86" t="s">
        <v>1526</v>
      </c>
      <c r="B48" s="48" t="s">
        <v>67</v>
      </c>
      <c r="K48">
        <v>0</v>
      </c>
      <c r="N48" s="72" t="s">
        <v>108</v>
      </c>
      <c r="O48" t="s">
        <v>24</v>
      </c>
      <c r="P48">
        <v>22</v>
      </c>
      <c r="S48" s="84" t="s">
        <v>1500</v>
      </c>
      <c r="T48" s="81"/>
    </row>
    <row r="49" spans="1:20" x14ac:dyDescent="0.25">
      <c r="A49" s="86" t="s">
        <v>747</v>
      </c>
      <c r="B49" t="s">
        <v>67</v>
      </c>
      <c r="K49">
        <v>0</v>
      </c>
      <c r="N49" s="72" t="s">
        <v>657</v>
      </c>
      <c r="O49" t="s">
        <v>24</v>
      </c>
      <c r="P49">
        <v>30</v>
      </c>
      <c r="S49" s="81" t="s">
        <v>12</v>
      </c>
      <c r="T49" s="81"/>
    </row>
    <row r="50" spans="1:20" x14ac:dyDescent="0.25">
      <c r="A50" s="86" t="s">
        <v>241</v>
      </c>
      <c r="B50" t="s">
        <v>67</v>
      </c>
      <c r="K50">
        <v>0</v>
      </c>
      <c r="N50" s="72" t="s">
        <v>10</v>
      </c>
      <c r="O50" t="s">
        <v>24</v>
      </c>
      <c r="P50">
        <v>25</v>
      </c>
      <c r="S50" s="81" t="s">
        <v>62</v>
      </c>
      <c r="T50" s="81"/>
    </row>
    <row r="51" spans="1:20" x14ac:dyDescent="0.25">
      <c r="A51" s="86" t="s">
        <v>1326</v>
      </c>
      <c r="B51" t="s">
        <v>156</v>
      </c>
      <c r="C51">
        <v>33</v>
      </c>
      <c r="D51">
        <v>24</v>
      </c>
      <c r="E51">
        <v>25</v>
      </c>
      <c r="K51">
        <v>82</v>
      </c>
      <c r="N51" s="72" t="s">
        <v>12</v>
      </c>
      <c r="O51" t="s">
        <v>23</v>
      </c>
      <c r="P51">
        <v>28</v>
      </c>
      <c r="Q51" s="131">
        <v>32688</v>
      </c>
      <c r="S51" s="84" t="s">
        <v>1612</v>
      </c>
      <c r="T51" s="81"/>
    </row>
    <row r="52" spans="1:20" x14ac:dyDescent="0.25">
      <c r="A52" s="86" t="s">
        <v>1681</v>
      </c>
      <c r="B52" t="s">
        <v>157</v>
      </c>
      <c r="C52">
        <v>47</v>
      </c>
      <c r="E52">
        <v>81</v>
      </c>
      <c r="F52">
        <v>46</v>
      </c>
      <c r="K52">
        <v>174</v>
      </c>
      <c r="N52" s="72" t="s">
        <v>12</v>
      </c>
      <c r="O52" t="s">
        <v>23</v>
      </c>
      <c r="P52">
        <v>40</v>
      </c>
      <c r="Q52" s="131">
        <v>28632</v>
      </c>
      <c r="S52" s="81" t="s">
        <v>113</v>
      </c>
      <c r="T52" s="81"/>
    </row>
    <row r="53" spans="1:20" x14ac:dyDescent="0.25">
      <c r="A53" s="86" t="s">
        <v>1353</v>
      </c>
      <c r="B53" t="s">
        <v>158</v>
      </c>
      <c r="K53">
        <v>0</v>
      </c>
      <c r="N53" s="72" t="s">
        <v>12</v>
      </c>
      <c r="O53" t="s">
        <v>23</v>
      </c>
      <c r="P53">
        <v>45</v>
      </c>
      <c r="Q53" s="131">
        <v>25771</v>
      </c>
      <c r="S53" s="81" t="s">
        <v>122</v>
      </c>
      <c r="T53" s="81"/>
    </row>
    <row r="54" spans="1:20" x14ac:dyDescent="0.25">
      <c r="A54" s="86" t="s">
        <v>1942</v>
      </c>
      <c r="B54" t="s">
        <v>67</v>
      </c>
      <c r="K54">
        <v>0</v>
      </c>
      <c r="N54" s="72" t="s">
        <v>2005</v>
      </c>
      <c r="O54" t="s">
        <v>24</v>
      </c>
      <c r="S54" s="81" t="s">
        <v>126</v>
      </c>
      <c r="T54" s="81"/>
    </row>
    <row r="55" spans="1:20" x14ac:dyDescent="0.25">
      <c r="A55" s="86" t="s">
        <v>1982</v>
      </c>
      <c r="B55" t="s">
        <v>67</v>
      </c>
      <c r="K55">
        <v>0</v>
      </c>
      <c r="N55" s="72" t="s">
        <v>657</v>
      </c>
      <c r="O55" t="s">
        <v>24</v>
      </c>
      <c r="S55" s="84" t="s">
        <v>655</v>
      </c>
      <c r="T55" s="81"/>
    </row>
    <row r="56" spans="1:20" x14ac:dyDescent="0.25">
      <c r="A56" s="86" t="s">
        <v>2015</v>
      </c>
      <c r="B56" t="s">
        <v>158</v>
      </c>
      <c r="C56">
        <v>109</v>
      </c>
      <c r="K56">
        <v>109</v>
      </c>
      <c r="N56" s="72" t="s">
        <v>154</v>
      </c>
      <c r="O56" t="s">
        <v>23</v>
      </c>
      <c r="P56">
        <v>53</v>
      </c>
      <c r="Q56" s="131">
        <v>23290</v>
      </c>
      <c r="S56" s="84" t="s">
        <v>154</v>
      </c>
      <c r="T56" s="81"/>
    </row>
    <row r="57" spans="1:20" x14ac:dyDescent="0.25">
      <c r="A57" s="86" t="s">
        <v>2249</v>
      </c>
      <c r="B57" t="s">
        <v>156</v>
      </c>
      <c r="C57">
        <v>105</v>
      </c>
      <c r="K57">
        <v>105</v>
      </c>
      <c r="N57" s="72" t="s">
        <v>12</v>
      </c>
      <c r="O57" t="s">
        <v>23</v>
      </c>
      <c r="S57" s="84" t="s">
        <v>1737</v>
      </c>
      <c r="T57" s="85"/>
    </row>
    <row r="58" spans="1:20" x14ac:dyDescent="0.25">
      <c r="A58" s="86" t="s">
        <v>2356</v>
      </c>
      <c r="B58" t="s">
        <v>157</v>
      </c>
      <c r="E58">
        <v>57</v>
      </c>
      <c r="K58">
        <v>57</v>
      </c>
      <c r="N58" s="72" t="s">
        <v>63</v>
      </c>
      <c r="O58" t="s">
        <v>23</v>
      </c>
      <c r="P58">
        <v>35</v>
      </c>
      <c r="Q58" s="131">
        <v>30210</v>
      </c>
      <c r="S58" s="81" t="s">
        <v>124</v>
      </c>
      <c r="T58" s="81"/>
    </row>
    <row r="59" spans="1:20" x14ac:dyDescent="0.25">
      <c r="A59" s="86" t="s">
        <v>1411</v>
      </c>
      <c r="B59" t="s">
        <v>156</v>
      </c>
      <c r="E59">
        <v>127</v>
      </c>
      <c r="K59">
        <v>127</v>
      </c>
      <c r="N59" s="72" t="s">
        <v>63</v>
      </c>
      <c r="O59" t="s">
        <v>23</v>
      </c>
      <c r="P59">
        <v>29</v>
      </c>
      <c r="Q59" s="131">
        <v>32567</v>
      </c>
      <c r="S59" s="81" t="s">
        <v>45</v>
      </c>
      <c r="T59" s="81"/>
    </row>
    <row r="60" spans="1:20" x14ac:dyDescent="0.25">
      <c r="A60" s="86" t="s">
        <v>1987</v>
      </c>
      <c r="B60" t="s">
        <v>157</v>
      </c>
      <c r="K60">
        <v>0</v>
      </c>
      <c r="N60" s="72" t="s">
        <v>656</v>
      </c>
      <c r="O60" t="s">
        <v>23</v>
      </c>
      <c r="S60" s="84" t="s">
        <v>1729</v>
      </c>
      <c r="T60" s="81"/>
    </row>
    <row r="61" spans="1:20" x14ac:dyDescent="0.25">
      <c r="A61" s="86" t="s">
        <v>2370</v>
      </c>
      <c r="B61" t="s">
        <v>156</v>
      </c>
      <c r="E61">
        <v>102</v>
      </c>
      <c r="K61">
        <v>102</v>
      </c>
      <c r="N61" s="72" t="s">
        <v>154</v>
      </c>
      <c r="O61" t="s">
        <v>23</v>
      </c>
      <c r="P61">
        <v>30</v>
      </c>
      <c r="Q61" s="131">
        <v>32009</v>
      </c>
      <c r="S61" s="84" t="s">
        <v>658</v>
      </c>
      <c r="T61" s="81"/>
    </row>
    <row r="62" spans="1:20" x14ac:dyDescent="0.25">
      <c r="A62" s="86" t="s">
        <v>1237</v>
      </c>
      <c r="B62" t="s">
        <v>158</v>
      </c>
      <c r="K62">
        <v>0</v>
      </c>
      <c r="N62" s="72" t="s">
        <v>38</v>
      </c>
      <c r="O62" t="s">
        <v>23</v>
      </c>
      <c r="P62">
        <v>48</v>
      </c>
      <c r="Q62" s="131">
        <v>24908</v>
      </c>
      <c r="S62" s="84" t="s">
        <v>1635</v>
      </c>
      <c r="T62" s="81"/>
    </row>
    <row r="63" spans="1:20" x14ac:dyDescent="0.25">
      <c r="A63" s="86" t="s">
        <v>189</v>
      </c>
      <c r="B63" t="s">
        <v>158</v>
      </c>
      <c r="E63">
        <v>191</v>
      </c>
      <c r="F63">
        <v>93</v>
      </c>
      <c r="K63">
        <v>284</v>
      </c>
      <c r="N63" s="72" t="s">
        <v>43</v>
      </c>
      <c r="O63" t="s">
        <v>23</v>
      </c>
      <c r="P63">
        <v>53</v>
      </c>
      <c r="Q63" s="131">
        <v>23824</v>
      </c>
      <c r="S63" s="81" t="s">
        <v>123</v>
      </c>
      <c r="T63" s="81"/>
    </row>
    <row r="64" spans="1:20" x14ac:dyDescent="0.25">
      <c r="A64" s="86" t="s">
        <v>1467</v>
      </c>
      <c r="B64" t="s">
        <v>158</v>
      </c>
      <c r="E64">
        <v>179</v>
      </c>
      <c r="K64">
        <v>179</v>
      </c>
      <c r="N64" s="72" t="s">
        <v>154</v>
      </c>
      <c r="O64" t="s">
        <v>23</v>
      </c>
      <c r="P64">
        <v>46</v>
      </c>
      <c r="Q64" s="131">
        <v>26262</v>
      </c>
      <c r="S64" s="84" t="s">
        <v>2168</v>
      </c>
      <c r="T64" s="81"/>
    </row>
    <row r="65" spans="1:20" x14ac:dyDescent="0.25">
      <c r="A65" s="86" t="s">
        <v>744</v>
      </c>
      <c r="B65" t="s">
        <v>158</v>
      </c>
      <c r="K65">
        <v>0</v>
      </c>
      <c r="N65" s="72" t="s">
        <v>657</v>
      </c>
      <c r="O65" t="s">
        <v>23</v>
      </c>
      <c r="P65">
        <v>45</v>
      </c>
      <c r="S65" s="81" t="s">
        <v>11</v>
      </c>
      <c r="T65" s="81"/>
    </row>
    <row r="66" spans="1:20" x14ac:dyDescent="0.25">
      <c r="A66" s="86" t="s">
        <v>1183</v>
      </c>
      <c r="B66" t="s">
        <v>158</v>
      </c>
      <c r="E66">
        <v>68</v>
      </c>
      <c r="F66">
        <v>39</v>
      </c>
      <c r="K66">
        <v>107</v>
      </c>
      <c r="N66" s="72" t="s">
        <v>108</v>
      </c>
      <c r="O66" t="s">
        <v>23</v>
      </c>
      <c r="P66">
        <v>53</v>
      </c>
      <c r="Q66" s="131">
        <v>23938</v>
      </c>
      <c r="S66" s="81" t="s">
        <v>112</v>
      </c>
      <c r="T66" s="81"/>
    </row>
    <row r="67" spans="1:20" x14ac:dyDescent="0.25">
      <c r="A67" s="86" t="s">
        <v>1577</v>
      </c>
      <c r="B67" t="s">
        <v>156</v>
      </c>
      <c r="K67">
        <v>0</v>
      </c>
      <c r="N67" s="72" t="s">
        <v>653</v>
      </c>
      <c r="O67" t="s">
        <v>23</v>
      </c>
      <c r="S67" s="81" t="s">
        <v>119</v>
      </c>
      <c r="T67" s="81"/>
    </row>
    <row r="68" spans="1:20" x14ac:dyDescent="0.25">
      <c r="A68" s="86" t="s">
        <v>1688</v>
      </c>
      <c r="B68" t="s">
        <v>157</v>
      </c>
      <c r="E68">
        <v>12</v>
      </c>
      <c r="K68">
        <v>12</v>
      </c>
      <c r="N68" s="72" t="s">
        <v>14</v>
      </c>
      <c r="O68" t="s">
        <v>23</v>
      </c>
      <c r="P68">
        <v>39</v>
      </c>
      <c r="Q68" s="131">
        <v>28848</v>
      </c>
      <c r="S68" s="81" t="s">
        <v>932</v>
      </c>
      <c r="T68" s="81"/>
    </row>
    <row r="69" spans="1:20" x14ac:dyDescent="0.25">
      <c r="A69" s="86" t="s">
        <v>1547</v>
      </c>
      <c r="B69" t="s">
        <v>158</v>
      </c>
      <c r="K69">
        <v>0</v>
      </c>
      <c r="N69" s="72" t="s">
        <v>14</v>
      </c>
      <c r="O69" t="s">
        <v>23</v>
      </c>
      <c r="S69" s="84" t="s">
        <v>1805</v>
      </c>
      <c r="T69" s="81"/>
    </row>
    <row r="70" spans="1:20" x14ac:dyDescent="0.25">
      <c r="A70" s="86" t="s">
        <v>758</v>
      </c>
      <c r="B70" t="s">
        <v>159</v>
      </c>
      <c r="K70">
        <v>0</v>
      </c>
      <c r="N70" s="72" t="s">
        <v>154</v>
      </c>
      <c r="O70" t="s">
        <v>23</v>
      </c>
      <c r="P70">
        <v>60</v>
      </c>
      <c r="Q70" s="131">
        <v>20497</v>
      </c>
      <c r="S70" s="84" t="s">
        <v>2006</v>
      </c>
      <c r="T70" s="81"/>
    </row>
    <row r="71" spans="1:20" x14ac:dyDescent="0.25">
      <c r="A71" s="86" t="s">
        <v>875</v>
      </c>
      <c r="B71" t="s">
        <v>158</v>
      </c>
      <c r="K71">
        <v>0</v>
      </c>
      <c r="N71" s="72" t="s">
        <v>63</v>
      </c>
      <c r="O71" t="s">
        <v>23</v>
      </c>
      <c r="P71">
        <v>48</v>
      </c>
      <c r="S71" s="81" t="s">
        <v>109</v>
      </c>
      <c r="T71" s="81"/>
    </row>
    <row r="72" spans="1:20" x14ac:dyDescent="0.25">
      <c r="A72" s="86" t="s">
        <v>492</v>
      </c>
      <c r="B72" t="s">
        <v>158</v>
      </c>
      <c r="C72">
        <v>108</v>
      </c>
      <c r="K72">
        <v>108</v>
      </c>
      <c r="N72" s="72" t="s">
        <v>63</v>
      </c>
      <c r="O72" t="s">
        <v>23</v>
      </c>
      <c r="P72">
        <v>50</v>
      </c>
      <c r="Q72" s="131">
        <v>24297</v>
      </c>
      <c r="S72" s="84" t="s">
        <v>1622</v>
      </c>
      <c r="T72" s="81"/>
    </row>
    <row r="73" spans="1:20" x14ac:dyDescent="0.25">
      <c r="A73" s="86" t="s">
        <v>666</v>
      </c>
      <c r="B73" t="s">
        <v>67</v>
      </c>
      <c r="K73">
        <v>0</v>
      </c>
      <c r="N73" s="72" t="s">
        <v>12</v>
      </c>
      <c r="O73" t="s">
        <v>24</v>
      </c>
      <c r="P73">
        <v>30</v>
      </c>
      <c r="S73" s="84" t="s">
        <v>924</v>
      </c>
      <c r="T73" s="84"/>
    </row>
    <row r="74" spans="1:20" x14ac:dyDescent="0.25">
      <c r="A74" s="86" t="s">
        <v>193</v>
      </c>
      <c r="B74" t="s">
        <v>158</v>
      </c>
      <c r="E74">
        <v>34</v>
      </c>
      <c r="K74">
        <v>34</v>
      </c>
      <c r="N74" s="72" t="s">
        <v>43</v>
      </c>
      <c r="O74" t="s">
        <v>23</v>
      </c>
      <c r="P74">
        <v>48</v>
      </c>
      <c r="Q74" s="131">
        <v>25547</v>
      </c>
      <c r="S74" s="81" t="s">
        <v>38</v>
      </c>
      <c r="T74" s="81"/>
    </row>
    <row r="75" spans="1:20" x14ac:dyDescent="0.25">
      <c r="A75" s="86" t="s">
        <v>1516</v>
      </c>
      <c r="B75" t="s">
        <v>158</v>
      </c>
      <c r="K75">
        <v>0</v>
      </c>
      <c r="N75" s="72" t="s">
        <v>38</v>
      </c>
      <c r="O75" t="s">
        <v>23</v>
      </c>
      <c r="P75">
        <v>49</v>
      </c>
      <c r="Q75" s="131">
        <v>24749</v>
      </c>
      <c r="S75" s="84" t="s">
        <v>1498</v>
      </c>
      <c r="T75" s="81"/>
    </row>
    <row r="76" spans="1:20" x14ac:dyDescent="0.25">
      <c r="A76" s="86" t="s">
        <v>1130</v>
      </c>
      <c r="B76" t="s">
        <v>160</v>
      </c>
      <c r="K76">
        <v>0</v>
      </c>
      <c r="N76" s="72" t="s">
        <v>108</v>
      </c>
      <c r="O76" t="s">
        <v>24</v>
      </c>
      <c r="P76">
        <v>45</v>
      </c>
      <c r="S76" s="84" t="s">
        <v>1204</v>
      </c>
      <c r="T76" s="81"/>
    </row>
    <row r="77" spans="1:20" x14ac:dyDescent="0.25">
      <c r="A77" s="86" t="s">
        <v>2137</v>
      </c>
      <c r="B77" t="s">
        <v>160</v>
      </c>
      <c r="C77">
        <v>58</v>
      </c>
      <c r="E77">
        <v>65</v>
      </c>
      <c r="K77">
        <v>123</v>
      </c>
      <c r="N77" s="72" t="s">
        <v>505</v>
      </c>
      <c r="O77" t="s">
        <v>24</v>
      </c>
      <c r="P77">
        <v>41</v>
      </c>
      <c r="Q77" s="131">
        <v>28054</v>
      </c>
      <c r="S77" s="84" t="s">
        <v>817</v>
      </c>
      <c r="T77" s="81"/>
    </row>
    <row r="78" spans="1:20" x14ac:dyDescent="0.25">
      <c r="A78" s="86" t="s">
        <v>929</v>
      </c>
      <c r="B78" t="s">
        <v>158</v>
      </c>
      <c r="K78">
        <v>0</v>
      </c>
      <c r="N78" s="72" t="s">
        <v>12</v>
      </c>
      <c r="O78" t="s">
        <v>23</v>
      </c>
      <c r="P78">
        <v>48</v>
      </c>
      <c r="Q78" s="131">
        <v>25067</v>
      </c>
      <c r="S78" s="84" t="s">
        <v>926</v>
      </c>
      <c r="T78" s="81"/>
    </row>
    <row r="79" spans="1:20" x14ac:dyDescent="0.25">
      <c r="A79" s="86" t="s">
        <v>876</v>
      </c>
      <c r="B79" t="s">
        <v>157</v>
      </c>
      <c r="K79">
        <v>0</v>
      </c>
      <c r="N79" s="72" t="s">
        <v>63</v>
      </c>
      <c r="O79" t="s">
        <v>23</v>
      </c>
      <c r="P79">
        <v>39</v>
      </c>
      <c r="S79" s="81" t="s">
        <v>503</v>
      </c>
      <c r="T79" s="81"/>
    </row>
    <row r="80" spans="1:20" x14ac:dyDescent="0.25">
      <c r="A80" s="86" t="s">
        <v>1377</v>
      </c>
      <c r="B80" t="s">
        <v>156</v>
      </c>
      <c r="K80">
        <v>0</v>
      </c>
      <c r="N80" s="72" t="s">
        <v>12</v>
      </c>
      <c r="O80" t="s">
        <v>23</v>
      </c>
      <c r="P80">
        <v>28</v>
      </c>
      <c r="Q80" s="131">
        <v>31972</v>
      </c>
      <c r="S80" s="84" t="s">
        <v>1641</v>
      </c>
      <c r="T80" s="81"/>
    </row>
    <row r="81" spans="1:20" x14ac:dyDescent="0.25">
      <c r="A81" s="86" t="s">
        <v>2476</v>
      </c>
      <c r="B81" t="s">
        <v>156</v>
      </c>
      <c r="F81">
        <v>47</v>
      </c>
      <c r="K81">
        <v>47</v>
      </c>
      <c r="N81" s="72" t="s">
        <v>505</v>
      </c>
      <c r="O81" t="s">
        <v>23</v>
      </c>
      <c r="P81">
        <v>25</v>
      </c>
      <c r="S81" s="86" t="s">
        <v>1736</v>
      </c>
      <c r="T81" s="81"/>
    </row>
    <row r="82" spans="1:20" x14ac:dyDescent="0.25">
      <c r="A82" s="86" t="s">
        <v>1940</v>
      </c>
      <c r="B82" t="s">
        <v>156</v>
      </c>
      <c r="K82">
        <v>0</v>
      </c>
      <c r="N82" s="72" t="s">
        <v>14</v>
      </c>
      <c r="O82" t="s">
        <v>851</v>
      </c>
      <c r="P82">
        <v>23</v>
      </c>
      <c r="Q82" s="131">
        <v>34191</v>
      </c>
      <c r="S82" t="s">
        <v>2266</v>
      </c>
    </row>
    <row r="83" spans="1:20" x14ac:dyDescent="0.25">
      <c r="A83" s="86" t="s">
        <v>288</v>
      </c>
      <c r="B83" t="s">
        <v>156</v>
      </c>
      <c r="D83">
        <v>105</v>
      </c>
      <c r="K83">
        <v>105</v>
      </c>
      <c r="N83" s="72" t="s">
        <v>155</v>
      </c>
      <c r="O83" t="s">
        <v>23</v>
      </c>
      <c r="P83">
        <v>23</v>
      </c>
      <c r="Q83" s="131">
        <v>34565</v>
      </c>
      <c r="S83" s="86" t="s">
        <v>821</v>
      </c>
    </row>
    <row r="84" spans="1:20" x14ac:dyDescent="0.25">
      <c r="A84" s="86" t="s">
        <v>1173</v>
      </c>
      <c r="B84" t="s">
        <v>156</v>
      </c>
      <c r="K84">
        <v>0</v>
      </c>
      <c r="N84" s="72" t="s">
        <v>505</v>
      </c>
      <c r="O84" t="s">
        <v>23</v>
      </c>
      <c r="P84">
        <v>20</v>
      </c>
      <c r="S84" s="86" t="s">
        <v>1503</v>
      </c>
      <c r="T84"/>
    </row>
    <row r="85" spans="1:20" x14ac:dyDescent="0.25">
      <c r="A85" s="86" t="s">
        <v>2332</v>
      </c>
      <c r="B85" t="s">
        <v>156</v>
      </c>
      <c r="E85">
        <v>10</v>
      </c>
      <c r="K85">
        <v>10</v>
      </c>
      <c r="N85" s="72" t="s">
        <v>108</v>
      </c>
      <c r="O85" t="s">
        <v>23</v>
      </c>
      <c r="P85">
        <v>23</v>
      </c>
      <c r="Q85" s="131">
        <v>34810</v>
      </c>
      <c r="S85" s="85" t="s">
        <v>118</v>
      </c>
      <c r="T85"/>
    </row>
    <row r="86" spans="1:20" x14ac:dyDescent="0.25">
      <c r="A86" s="86" t="s">
        <v>2373</v>
      </c>
      <c r="B86" t="s">
        <v>156</v>
      </c>
      <c r="E86">
        <v>114</v>
      </c>
      <c r="K86">
        <v>114</v>
      </c>
      <c r="N86" s="72" t="s">
        <v>505</v>
      </c>
      <c r="O86" t="s">
        <v>23</v>
      </c>
      <c r="P86">
        <v>25</v>
      </c>
      <c r="Q86" s="131">
        <v>33908</v>
      </c>
      <c r="S86" s="85" t="s">
        <v>133</v>
      </c>
      <c r="T86"/>
    </row>
    <row r="87" spans="1:20" x14ac:dyDescent="0.25">
      <c r="A87" s="86" t="s">
        <v>1390</v>
      </c>
      <c r="B87" t="s">
        <v>161</v>
      </c>
      <c r="C87">
        <v>138</v>
      </c>
      <c r="D87">
        <v>127</v>
      </c>
      <c r="E87">
        <v>155</v>
      </c>
      <c r="K87">
        <v>420</v>
      </c>
      <c r="N87" s="72" t="s">
        <v>38</v>
      </c>
      <c r="O87" t="s">
        <v>24</v>
      </c>
      <c r="P87">
        <v>56</v>
      </c>
      <c r="Q87" s="131">
        <v>22525</v>
      </c>
      <c r="S87" t="s">
        <v>2264</v>
      </c>
      <c r="T87"/>
    </row>
    <row r="88" spans="1:20" x14ac:dyDescent="0.25">
      <c r="A88" s="86" t="s">
        <v>1454</v>
      </c>
      <c r="B88" t="s">
        <v>160</v>
      </c>
      <c r="K88">
        <v>0</v>
      </c>
      <c r="N88" s="72" t="s">
        <v>1499</v>
      </c>
      <c r="O88" t="s">
        <v>24</v>
      </c>
      <c r="P88">
        <v>43</v>
      </c>
      <c r="Q88" s="131">
        <v>26497</v>
      </c>
      <c r="S88" s="85" t="s">
        <v>108</v>
      </c>
      <c r="T88"/>
    </row>
    <row r="89" spans="1:20" x14ac:dyDescent="0.25">
      <c r="A89" s="86" t="s">
        <v>749</v>
      </c>
      <c r="B89" t="s">
        <v>159</v>
      </c>
      <c r="C89">
        <v>41</v>
      </c>
      <c r="D89">
        <v>36</v>
      </c>
      <c r="E89">
        <v>69</v>
      </c>
      <c r="F89">
        <v>37</v>
      </c>
      <c r="K89">
        <v>183</v>
      </c>
      <c r="N89" s="72" t="s">
        <v>14</v>
      </c>
      <c r="O89" t="s">
        <v>23</v>
      </c>
      <c r="P89">
        <v>55</v>
      </c>
      <c r="Q89" s="131">
        <v>22977</v>
      </c>
      <c r="S89" s="174" t="s">
        <v>847</v>
      </c>
      <c r="T89"/>
    </row>
    <row r="90" spans="1:20" x14ac:dyDescent="0.25">
      <c r="A90" s="86" t="s">
        <v>452</v>
      </c>
      <c r="B90" t="s">
        <v>157</v>
      </c>
      <c r="C90">
        <v>52</v>
      </c>
      <c r="D90">
        <v>41</v>
      </c>
      <c r="E90">
        <v>87</v>
      </c>
      <c r="F90">
        <v>45</v>
      </c>
      <c r="K90">
        <v>225</v>
      </c>
      <c r="N90" s="72" t="s">
        <v>12</v>
      </c>
      <c r="O90" t="s">
        <v>23</v>
      </c>
      <c r="P90">
        <v>41</v>
      </c>
      <c r="Q90" s="131">
        <v>27962</v>
      </c>
      <c r="S90" s="86" t="s">
        <v>1646</v>
      </c>
      <c r="T90"/>
    </row>
    <row r="91" spans="1:20" x14ac:dyDescent="0.25">
      <c r="A91" s="86" t="s">
        <v>474</v>
      </c>
      <c r="B91" t="s">
        <v>67</v>
      </c>
      <c r="K91">
        <v>0</v>
      </c>
      <c r="N91" s="72" t="s">
        <v>505</v>
      </c>
      <c r="O91" t="s">
        <v>24</v>
      </c>
      <c r="P91">
        <v>37</v>
      </c>
      <c r="S91" t="s">
        <v>2410</v>
      </c>
      <c r="T91"/>
    </row>
    <row r="92" spans="1:20" x14ac:dyDescent="0.25">
      <c r="A92" s="86" t="s">
        <v>366</v>
      </c>
      <c r="B92" t="s">
        <v>160</v>
      </c>
      <c r="K92">
        <v>0</v>
      </c>
      <c r="N92" s="72" t="s">
        <v>12</v>
      </c>
      <c r="O92" t="s">
        <v>24</v>
      </c>
      <c r="P92">
        <v>48</v>
      </c>
      <c r="Q92" s="131">
        <v>25171</v>
      </c>
      <c r="S92" s="85" t="s">
        <v>60</v>
      </c>
      <c r="T92"/>
    </row>
    <row r="93" spans="1:20" x14ac:dyDescent="0.25">
      <c r="A93" s="86" t="s">
        <v>2235</v>
      </c>
      <c r="B93" t="s">
        <v>67</v>
      </c>
      <c r="C93">
        <v>142</v>
      </c>
      <c r="D93">
        <v>136</v>
      </c>
      <c r="E93">
        <v>166</v>
      </c>
      <c r="F93">
        <v>144</v>
      </c>
      <c r="K93">
        <v>588</v>
      </c>
      <c r="N93" s="72" t="s">
        <v>155</v>
      </c>
      <c r="O93" t="s">
        <v>24</v>
      </c>
      <c r="P93">
        <v>38</v>
      </c>
      <c r="Q93" s="131">
        <v>29106</v>
      </c>
      <c r="S93" s="85" t="s">
        <v>120</v>
      </c>
      <c r="T93"/>
    </row>
    <row r="94" spans="1:20" x14ac:dyDescent="0.25">
      <c r="A94" s="86" t="s">
        <v>1161</v>
      </c>
      <c r="B94" t="s">
        <v>160</v>
      </c>
      <c r="K94">
        <v>0</v>
      </c>
      <c r="N94" s="72" t="s">
        <v>505</v>
      </c>
      <c r="O94" t="s">
        <v>24</v>
      </c>
      <c r="P94">
        <v>45</v>
      </c>
      <c r="S94" t="s">
        <v>2009</v>
      </c>
      <c r="T94"/>
    </row>
    <row r="95" spans="1:20" x14ac:dyDescent="0.25">
      <c r="A95" s="86" t="s">
        <v>1710</v>
      </c>
      <c r="B95" t="s">
        <v>160</v>
      </c>
      <c r="K95">
        <v>0</v>
      </c>
      <c r="N95" s="72" t="s">
        <v>814</v>
      </c>
      <c r="O95" t="s">
        <v>24</v>
      </c>
      <c r="P95">
        <v>42</v>
      </c>
      <c r="Q95" s="131">
        <v>27053</v>
      </c>
      <c r="S95" s="85" t="s">
        <v>136</v>
      </c>
      <c r="T95"/>
    </row>
    <row r="96" spans="1:20" x14ac:dyDescent="0.25">
      <c r="A96" s="86" t="s">
        <v>950</v>
      </c>
      <c r="B96" t="s">
        <v>67</v>
      </c>
      <c r="K96">
        <v>0</v>
      </c>
      <c r="N96" s="72" t="s">
        <v>117</v>
      </c>
      <c r="O96" t="s">
        <v>24</v>
      </c>
      <c r="P96">
        <v>32</v>
      </c>
      <c r="S96" s="85" t="s">
        <v>125</v>
      </c>
      <c r="T96"/>
    </row>
    <row r="97" spans="1:20" x14ac:dyDescent="0.25">
      <c r="A97" s="86" t="s">
        <v>1402</v>
      </c>
      <c r="B97" t="s">
        <v>160</v>
      </c>
      <c r="K97">
        <v>0</v>
      </c>
      <c r="N97" s="72" t="s">
        <v>38</v>
      </c>
      <c r="O97" t="s">
        <v>24</v>
      </c>
      <c r="P97">
        <v>49</v>
      </c>
      <c r="Q97" s="131">
        <v>24648</v>
      </c>
      <c r="S97" s="86" t="s">
        <v>981</v>
      </c>
      <c r="T97"/>
    </row>
    <row r="98" spans="1:20" x14ac:dyDescent="0.25">
      <c r="A98" s="86" t="s">
        <v>2064</v>
      </c>
      <c r="B98" t="s">
        <v>67</v>
      </c>
      <c r="K98">
        <v>0</v>
      </c>
      <c r="N98" s="72" t="s">
        <v>12</v>
      </c>
      <c r="O98" t="s">
        <v>24</v>
      </c>
      <c r="P98">
        <v>34</v>
      </c>
      <c r="Q98" s="131" t="s">
        <v>2065</v>
      </c>
      <c r="S98" s="85" t="s">
        <v>41</v>
      </c>
      <c r="T98"/>
    </row>
    <row r="99" spans="1:20" x14ac:dyDescent="0.25">
      <c r="A99" s="86" t="s">
        <v>2159</v>
      </c>
      <c r="B99" t="s">
        <v>161</v>
      </c>
      <c r="D99">
        <v>152</v>
      </c>
      <c r="K99">
        <v>152</v>
      </c>
      <c r="N99" s="72" t="s">
        <v>38</v>
      </c>
      <c r="O99" t="s">
        <v>24</v>
      </c>
      <c r="P99">
        <v>57</v>
      </c>
      <c r="Q99" s="131">
        <v>22253</v>
      </c>
      <c r="S99" s="86" t="s">
        <v>1501</v>
      </c>
      <c r="T99"/>
    </row>
    <row r="100" spans="1:20" x14ac:dyDescent="0.25">
      <c r="A100" s="86" t="s">
        <v>238</v>
      </c>
      <c r="B100" t="s">
        <v>160</v>
      </c>
      <c r="C100">
        <v>94</v>
      </c>
      <c r="D100">
        <v>122</v>
      </c>
      <c r="E100">
        <v>139</v>
      </c>
      <c r="K100">
        <v>355</v>
      </c>
      <c r="N100" s="72" t="s">
        <v>43</v>
      </c>
      <c r="O100" t="s">
        <v>24</v>
      </c>
      <c r="P100">
        <v>44</v>
      </c>
      <c r="Q100" s="131">
        <v>26989</v>
      </c>
      <c r="S100" s="86" t="s">
        <v>648</v>
      </c>
      <c r="T100"/>
    </row>
    <row r="101" spans="1:20" x14ac:dyDescent="0.25">
      <c r="A101" s="86" t="s">
        <v>699</v>
      </c>
      <c r="B101" t="s">
        <v>160</v>
      </c>
      <c r="K101">
        <v>0</v>
      </c>
      <c r="N101" s="72" t="s">
        <v>1618</v>
      </c>
      <c r="O101" t="s">
        <v>24</v>
      </c>
      <c r="P101">
        <v>45</v>
      </c>
      <c r="S101" t="s">
        <v>2008</v>
      </c>
      <c r="T101"/>
    </row>
    <row r="102" spans="1:20" x14ac:dyDescent="0.25">
      <c r="A102" s="86" t="s">
        <v>2295</v>
      </c>
      <c r="B102" t="s">
        <v>160</v>
      </c>
      <c r="D102">
        <v>131</v>
      </c>
      <c r="E102">
        <v>150</v>
      </c>
      <c r="K102">
        <v>281</v>
      </c>
      <c r="N102" s="72" t="s">
        <v>38</v>
      </c>
      <c r="O102" t="s">
        <v>24</v>
      </c>
      <c r="P102">
        <v>48</v>
      </c>
      <c r="Q102" s="131">
        <v>25384</v>
      </c>
      <c r="S102" s="85" t="s">
        <v>129</v>
      </c>
      <c r="T102"/>
    </row>
    <row r="103" spans="1:20" x14ac:dyDescent="0.25">
      <c r="A103" s="86" t="s">
        <v>1654</v>
      </c>
      <c r="B103" t="s">
        <v>161</v>
      </c>
      <c r="C103">
        <v>69</v>
      </c>
      <c r="D103">
        <v>80</v>
      </c>
      <c r="E103">
        <v>101</v>
      </c>
      <c r="K103">
        <v>250</v>
      </c>
      <c r="N103" s="72" t="s">
        <v>12</v>
      </c>
      <c r="O103" t="s">
        <v>24</v>
      </c>
      <c r="P103">
        <v>57</v>
      </c>
      <c r="Q103" s="131">
        <v>22375</v>
      </c>
      <c r="S103" t="s">
        <v>2111</v>
      </c>
      <c r="T103"/>
    </row>
    <row r="104" spans="1:20" x14ac:dyDescent="0.25">
      <c r="A104" s="86" t="s">
        <v>689</v>
      </c>
      <c r="B104" t="s">
        <v>67</v>
      </c>
      <c r="K104">
        <v>0</v>
      </c>
      <c r="N104" s="72" t="s">
        <v>653</v>
      </c>
      <c r="O104" t="s">
        <v>24</v>
      </c>
      <c r="P104">
        <v>30</v>
      </c>
      <c r="S104" t="s">
        <v>2087</v>
      </c>
      <c r="T104"/>
    </row>
    <row r="105" spans="1:20" x14ac:dyDescent="0.25">
      <c r="A105" s="86" t="s">
        <v>1424</v>
      </c>
      <c r="B105" t="s">
        <v>67</v>
      </c>
      <c r="K105">
        <v>0</v>
      </c>
      <c r="N105" s="72" t="s">
        <v>505</v>
      </c>
      <c r="O105" t="s">
        <v>24</v>
      </c>
      <c r="P105">
        <v>37</v>
      </c>
      <c r="Q105" s="131">
        <v>29407</v>
      </c>
      <c r="S105" s="85" t="s">
        <v>504</v>
      </c>
      <c r="T105"/>
    </row>
    <row r="106" spans="1:20" x14ac:dyDescent="0.25">
      <c r="A106" s="86" t="s">
        <v>1016</v>
      </c>
      <c r="B106" t="s">
        <v>160</v>
      </c>
      <c r="K106">
        <v>0</v>
      </c>
      <c r="N106" s="72" t="s">
        <v>657</v>
      </c>
      <c r="O106" t="s">
        <v>24</v>
      </c>
      <c r="P106">
        <v>40</v>
      </c>
      <c r="S106" s="85" t="s">
        <v>131</v>
      </c>
      <c r="T106"/>
    </row>
    <row r="107" spans="1:20" x14ac:dyDescent="0.25">
      <c r="A107" s="86" t="s">
        <v>671</v>
      </c>
      <c r="B107" t="s">
        <v>160</v>
      </c>
      <c r="K107">
        <v>0</v>
      </c>
      <c r="N107" s="72" t="s">
        <v>657</v>
      </c>
      <c r="O107" t="s">
        <v>24</v>
      </c>
      <c r="P107">
        <v>40</v>
      </c>
      <c r="S107" s="86" t="s">
        <v>656</v>
      </c>
      <c r="T107"/>
    </row>
    <row r="108" spans="1:20" x14ac:dyDescent="0.25">
      <c r="A108" s="86" t="s">
        <v>1638</v>
      </c>
      <c r="B108" t="s">
        <v>161</v>
      </c>
      <c r="K108">
        <v>0</v>
      </c>
      <c r="N108" s="72" t="s">
        <v>1639</v>
      </c>
      <c r="O108" t="s">
        <v>24</v>
      </c>
      <c r="P108">
        <v>52</v>
      </c>
      <c r="Q108" s="131">
        <v>23383</v>
      </c>
      <c r="S108" s="86" t="s">
        <v>1328</v>
      </c>
      <c r="T108"/>
    </row>
    <row r="109" spans="1:20" x14ac:dyDescent="0.25">
      <c r="A109" s="86" t="s">
        <v>209</v>
      </c>
      <c r="B109" t="s">
        <v>160</v>
      </c>
      <c r="K109">
        <v>0</v>
      </c>
      <c r="N109" s="72" t="s">
        <v>38</v>
      </c>
      <c r="O109" t="s">
        <v>24</v>
      </c>
      <c r="P109">
        <v>40</v>
      </c>
      <c r="S109" s="86" t="s">
        <v>923</v>
      </c>
      <c r="T109"/>
    </row>
    <row r="110" spans="1:20" x14ac:dyDescent="0.25">
      <c r="A110" s="86" t="s">
        <v>721</v>
      </c>
      <c r="B110" t="s">
        <v>161</v>
      </c>
      <c r="K110">
        <v>0</v>
      </c>
      <c r="N110" s="72" t="s">
        <v>657</v>
      </c>
      <c r="O110" t="s">
        <v>24</v>
      </c>
      <c r="P110">
        <v>50</v>
      </c>
      <c r="S110" t="s">
        <v>1923</v>
      </c>
      <c r="T110"/>
    </row>
    <row r="111" spans="1:20" x14ac:dyDescent="0.25">
      <c r="A111" s="86" t="s">
        <v>415</v>
      </c>
      <c r="B111" t="s">
        <v>160</v>
      </c>
      <c r="K111">
        <v>0</v>
      </c>
      <c r="N111" s="85" t="s">
        <v>47</v>
      </c>
      <c r="O111" t="s">
        <v>24</v>
      </c>
      <c r="P111">
        <v>42</v>
      </c>
      <c r="S111" t="s">
        <v>1639</v>
      </c>
      <c r="T111"/>
    </row>
    <row r="112" spans="1:20" x14ac:dyDescent="0.25">
      <c r="A112" s="86" t="s">
        <v>911</v>
      </c>
      <c r="B112" t="s">
        <v>160</v>
      </c>
      <c r="K112">
        <v>0</v>
      </c>
      <c r="N112" s="72" t="s">
        <v>38</v>
      </c>
      <c r="O112" t="s">
        <v>24</v>
      </c>
      <c r="P112">
        <v>49</v>
      </c>
      <c r="Q112" s="131">
        <v>24942</v>
      </c>
      <c r="S112" s="85" t="s">
        <v>14</v>
      </c>
      <c r="T112"/>
    </row>
    <row r="113" spans="1:20" x14ac:dyDescent="0.25">
      <c r="A113" s="86" t="s">
        <v>1100</v>
      </c>
      <c r="B113" t="s">
        <v>160</v>
      </c>
      <c r="K113">
        <v>0</v>
      </c>
      <c r="N113" s="72" t="s">
        <v>12</v>
      </c>
      <c r="O113" t="s">
        <v>24</v>
      </c>
      <c r="P113">
        <v>42</v>
      </c>
      <c r="Q113" s="131">
        <v>27242</v>
      </c>
      <c r="S113" t="s">
        <v>175</v>
      </c>
      <c r="T113"/>
    </row>
    <row r="114" spans="1:20" x14ac:dyDescent="0.25">
      <c r="A114" s="86" t="s">
        <v>367</v>
      </c>
      <c r="B114" t="s">
        <v>162</v>
      </c>
      <c r="C114">
        <v>50</v>
      </c>
      <c r="D114">
        <v>58</v>
      </c>
      <c r="E114">
        <v>77</v>
      </c>
      <c r="K114">
        <v>185</v>
      </c>
      <c r="N114" s="72" t="s">
        <v>108</v>
      </c>
      <c r="O114" t="s">
        <v>24</v>
      </c>
      <c r="P114">
        <v>65</v>
      </c>
      <c r="Q114" s="131">
        <v>19528</v>
      </c>
      <c r="S114" s="86" t="s">
        <v>1502</v>
      </c>
      <c r="T114"/>
    </row>
    <row r="115" spans="1:20" x14ac:dyDescent="0.25">
      <c r="A115" s="86" t="s">
        <v>678</v>
      </c>
      <c r="B115" t="s">
        <v>161</v>
      </c>
      <c r="K115">
        <v>0</v>
      </c>
      <c r="N115" t="s">
        <v>653</v>
      </c>
      <c r="O115" t="s">
        <v>24</v>
      </c>
      <c r="P115">
        <v>55</v>
      </c>
      <c r="S115" s="85" t="s">
        <v>132</v>
      </c>
      <c r="T115"/>
    </row>
    <row r="116" spans="1:20" x14ac:dyDescent="0.25">
      <c r="A116" s="86" t="s">
        <v>443</v>
      </c>
      <c r="B116" t="s">
        <v>160</v>
      </c>
      <c r="K116">
        <v>0</v>
      </c>
      <c r="N116" s="72" t="s">
        <v>43</v>
      </c>
      <c r="O116" t="s">
        <v>24</v>
      </c>
      <c r="P116">
        <v>47</v>
      </c>
      <c r="Q116" s="131" t="s">
        <v>1428</v>
      </c>
      <c r="S116" s="85" t="s">
        <v>15</v>
      </c>
      <c r="T116"/>
    </row>
    <row r="117" spans="1:20" x14ac:dyDescent="0.25">
      <c r="A117" s="86" t="s">
        <v>532</v>
      </c>
      <c r="B117" t="s">
        <v>67</v>
      </c>
      <c r="K117">
        <v>0</v>
      </c>
      <c r="N117" s="72" t="s">
        <v>12</v>
      </c>
      <c r="O117" t="s">
        <v>24</v>
      </c>
      <c r="P117">
        <v>30</v>
      </c>
      <c r="S117" t="s">
        <v>2407</v>
      </c>
      <c r="T117"/>
    </row>
    <row r="118" spans="1:20" x14ac:dyDescent="0.25">
      <c r="A118" s="86" t="s">
        <v>1473</v>
      </c>
      <c r="B118" t="s">
        <v>67</v>
      </c>
      <c r="K118">
        <v>0</v>
      </c>
      <c r="N118" s="72" t="s">
        <v>12</v>
      </c>
      <c r="O118" s="48" t="s">
        <v>24</v>
      </c>
      <c r="P118">
        <v>31</v>
      </c>
      <c r="Q118" s="131">
        <v>31011</v>
      </c>
      <c r="S118" s="85" t="s">
        <v>506</v>
      </c>
      <c r="T118"/>
    </row>
    <row r="119" spans="1:20" x14ac:dyDescent="0.25">
      <c r="A119" s="86" t="s">
        <v>1125</v>
      </c>
      <c r="B119" t="s">
        <v>160</v>
      </c>
      <c r="K119">
        <v>0</v>
      </c>
      <c r="N119" s="72" t="s">
        <v>505</v>
      </c>
      <c r="O119" t="s">
        <v>24</v>
      </c>
      <c r="P119">
        <v>49</v>
      </c>
      <c r="S119" s="85" t="s">
        <v>49</v>
      </c>
      <c r="T119"/>
    </row>
    <row r="120" spans="1:20" x14ac:dyDescent="0.25">
      <c r="A120" s="86" t="s">
        <v>321</v>
      </c>
      <c r="B120" t="s">
        <v>160</v>
      </c>
      <c r="E120">
        <v>122</v>
      </c>
      <c r="F120">
        <v>99</v>
      </c>
      <c r="K120">
        <v>221</v>
      </c>
      <c r="N120" s="72" t="s">
        <v>43</v>
      </c>
      <c r="O120" s="48" t="s">
        <v>24</v>
      </c>
      <c r="P120">
        <v>47</v>
      </c>
      <c r="Q120" s="131">
        <v>25935</v>
      </c>
      <c r="S120" t="s">
        <v>2114</v>
      </c>
      <c r="T120"/>
    </row>
    <row r="121" spans="1:20" x14ac:dyDescent="0.25">
      <c r="A121" s="86" t="s">
        <v>1675</v>
      </c>
      <c r="B121" t="s">
        <v>157</v>
      </c>
      <c r="K121">
        <v>0</v>
      </c>
      <c r="N121" s="72" t="s">
        <v>10</v>
      </c>
      <c r="O121" t="s">
        <v>23</v>
      </c>
      <c r="P121">
        <v>39</v>
      </c>
      <c r="S121" s="85" t="s">
        <v>647</v>
      </c>
      <c r="T121"/>
    </row>
    <row r="122" spans="1:20" x14ac:dyDescent="0.25">
      <c r="A122" s="86" t="s">
        <v>2192</v>
      </c>
      <c r="B122" t="s">
        <v>67</v>
      </c>
      <c r="C122">
        <v>4</v>
      </c>
      <c r="E122">
        <v>4</v>
      </c>
      <c r="K122">
        <v>8</v>
      </c>
      <c r="N122" s="72" t="s">
        <v>63</v>
      </c>
      <c r="O122" t="s">
        <v>24</v>
      </c>
      <c r="P122">
        <v>39</v>
      </c>
      <c r="Q122" s="131">
        <v>28814</v>
      </c>
      <c r="S122" t="s">
        <v>1725</v>
      </c>
      <c r="T122"/>
    </row>
    <row r="123" spans="1:20" x14ac:dyDescent="0.25">
      <c r="A123" s="86" t="s">
        <v>1477</v>
      </c>
      <c r="B123" t="s">
        <v>67</v>
      </c>
      <c r="K123">
        <v>0</v>
      </c>
      <c r="N123" s="72" t="s">
        <v>505</v>
      </c>
      <c r="O123" t="s">
        <v>24</v>
      </c>
      <c r="P123">
        <v>23</v>
      </c>
      <c r="Q123" s="131">
        <v>33790</v>
      </c>
      <c r="S123" s="86" t="s">
        <v>662</v>
      </c>
      <c r="T123"/>
    </row>
    <row r="124" spans="1:20" x14ac:dyDescent="0.25">
      <c r="A124" s="86" t="s">
        <v>1775</v>
      </c>
      <c r="B124" t="s">
        <v>160</v>
      </c>
      <c r="K124">
        <v>0</v>
      </c>
      <c r="N124" s="72" t="s">
        <v>12</v>
      </c>
      <c r="O124" t="s">
        <v>24</v>
      </c>
      <c r="P124">
        <v>45</v>
      </c>
      <c r="Q124" s="131">
        <v>26373</v>
      </c>
      <c r="S124" t="s">
        <v>2010</v>
      </c>
      <c r="T124"/>
    </row>
    <row r="125" spans="1:20" x14ac:dyDescent="0.25">
      <c r="A125" s="86" t="s">
        <v>2388</v>
      </c>
      <c r="B125" t="s">
        <v>67</v>
      </c>
      <c r="E125">
        <v>194</v>
      </c>
      <c r="K125">
        <v>194</v>
      </c>
      <c r="N125" s="72" t="s">
        <v>505</v>
      </c>
      <c r="O125" t="s">
        <v>24</v>
      </c>
      <c r="P125">
        <v>30</v>
      </c>
      <c r="Q125" s="131">
        <v>32309</v>
      </c>
      <c r="S125" t="s">
        <v>2409</v>
      </c>
      <c r="T125"/>
    </row>
    <row r="126" spans="1:20" x14ac:dyDescent="0.25">
      <c r="A126" s="86" t="s">
        <v>877</v>
      </c>
      <c r="B126" t="s">
        <v>67</v>
      </c>
      <c r="K126">
        <v>0</v>
      </c>
      <c r="N126" s="72" t="s">
        <v>63</v>
      </c>
      <c r="O126" t="s">
        <v>24</v>
      </c>
      <c r="P126">
        <v>32</v>
      </c>
      <c r="S126" t="s">
        <v>1728</v>
      </c>
      <c r="T126"/>
    </row>
    <row r="127" spans="1:20" x14ac:dyDescent="0.25">
      <c r="A127" s="86" t="s">
        <v>1889</v>
      </c>
      <c r="B127" t="s">
        <v>158</v>
      </c>
      <c r="K127">
        <v>0</v>
      </c>
      <c r="N127" s="72" t="s">
        <v>12</v>
      </c>
      <c r="O127" t="s">
        <v>23</v>
      </c>
      <c r="S127" t="s">
        <v>2007</v>
      </c>
      <c r="T127"/>
    </row>
    <row r="128" spans="1:20" x14ac:dyDescent="0.25">
      <c r="A128" s="86" t="s">
        <v>489</v>
      </c>
      <c r="B128" t="s">
        <v>158</v>
      </c>
      <c r="K128">
        <v>0</v>
      </c>
      <c r="N128" s="72" t="s">
        <v>505</v>
      </c>
      <c r="O128" t="s">
        <v>23</v>
      </c>
      <c r="P128">
        <v>52</v>
      </c>
      <c r="S128" s="85" t="s">
        <v>111</v>
      </c>
      <c r="T128"/>
    </row>
    <row r="129" spans="1:20" x14ac:dyDescent="0.25">
      <c r="A129" s="86" t="s">
        <v>1713</v>
      </c>
      <c r="B129" t="s">
        <v>156</v>
      </c>
      <c r="C129">
        <v>40</v>
      </c>
      <c r="F129">
        <v>44</v>
      </c>
      <c r="K129">
        <v>84</v>
      </c>
      <c r="N129" s="72" t="s">
        <v>108</v>
      </c>
      <c r="O129" t="s">
        <v>23</v>
      </c>
      <c r="P129">
        <v>28</v>
      </c>
      <c r="Q129" s="131">
        <v>33043</v>
      </c>
      <c r="S129" s="86" t="s">
        <v>52</v>
      </c>
      <c r="T129"/>
    </row>
    <row r="130" spans="1:20" x14ac:dyDescent="0.25">
      <c r="A130" s="86" t="s">
        <v>1992</v>
      </c>
      <c r="B130" t="s">
        <v>157</v>
      </c>
      <c r="C130">
        <v>57</v>
      </c>
      <c r="E130">
        <v>112</v>
      </c>
      <c r="F130">
        <v>63</v>
      </c>
      <c r="K130">
        <v>232</v>
      </c>
      <c r="N130" s="72" t="s">
        <v>12</v>
      </c>
      <c r="O130" t="s">
        <v>23</v>
      </c>
      <c r="P130">
        <v>43</v>
      </c>
      <c r="Q130" s="131">
        <v>27466</v>
      </c>
      <c r="S130" t="s">
        <v>1616</v>
      </c>
      <c r="T130"/>
    </row>
    <row r="131" spans="1:20" x14ac:dyDescent="0.25">
      <c r="A131" s="86" t="s">
        <v>739</v>
      </c>
      <c r="B131" t="s">
        <v>156</v>
      </c>
      <c r="K131">
        <v>0</v>
      </c>
      <c r="N131" s="72" t="s">
        <v>657</v>
      </c>
      <c r="O131" t="s">
        <v>23</v>
      </c>
      <c r="P131">
        <v>30</v>
      </c>
      <c r="S131" s="86" t="s">
        <v>1138</v>
      </c>
      <c r="T131"/>
    </row>
    <row r="132" spans="1:20" x14ac:dyDescent="0.25">
      <c r="A132" s="86" t="s">
        <v>1374</v>
      </c>
      <c r="B132" t="s">
        <v>157</v>
      </c>
      <c r="K132">
        <v>0</v>
      </c>
      <c r="N132" s="72" t="s">
        <v>12</v>
      </c>
      <c r="O132" t="s">
        <v>23</v>
      </c>
      <c r="P132">
        <v>35</v>
      </c>
      <c r="Q132" s="131">
        <v>29779</v>
      </c>
      <c r="S132" s="86" t="s">
        <v>820</v>
      </c>
      <c r="T132"/>
    </row>
    <row r="133" spans="1:20" x14ac:dyDescent="0.25">
      <c r="A133" s="86" t="s">
        <v>1574</v>
      </c>
      <c r="B133" t="s">
        <v>156</v>
      </c>
      <c r="K133">
        <v>0</v>
      </c>
      <c r="N133" s="72" t="s">
        <v>14</v>
      </c>
      <c r="O133" t="s">
        <v>23</v>
      </c>
      <c r="S133" s="85" t="s">
        <v>59</v>
      </c>
      <c r="T133"/>
    </row>
    <row r="134" spans="1:20" x14ac:dyDescent="0.25">
      <c r="A134" s="86" t="s">
        <v>993</v>
      </c>
      <c r="B134" t="s">
        <v>157</v>
      </c>
      <c r="K134">
        <v>0</v>
      </c>
      <c r="N134" s="72" t="s">
        <v>14</v>
      </c>
      <c r="O134" t="s">
        <v>23</v>
      </c>
      <c r="P134">
        <v>39</v>
      </c>
      <c r="S134" s="86" t="s">
        <v>507</v>
      </c>
      <c r="T134"/>
    </row>
    <row r="135" spans="1:20" x14ac:dyDescent="0.25">
      <c r="A135" s="86" t="s">
        <v>681</v>
      </c>
      <c r="B135" t="s">
        <v>156</v>
      </c>
      <c r="K135">
        <v>0</v>
      </c>
      <c r="N135" s="72" t="s">
        <v>653</v>
      </c>
      <c r="O135" t="s">
        <v>23</v>
      </c>
      <c r="P135">
        <v>30</v>
      </c>
      <c r="S135" t="s">
        <v>2408</v>
      </c>
      <c r="T135"/>
    </row>
    <row r="136" spans="1:20" x14ac:dyDescent="0.25">
      <c r="A136" s="86" t="s">
        <v>1628</v>
      </c>
      <c r="B136" t="s">
        <v>156</v>
      </c>
      <c r="K136">
        <v>0</v>
      </c>
      <c r="N136" s="72" t="s">
        <v>12</v>
      </c>
      <c r="O136" t="s">
        <v>23</v>
      </c>
      <c r="P136">
        <v>33</v>
      </c>
      <c r="Q136" s="131">
        <v>30350</v>
      </c>
      <c r="S136" s="85" t="s">
        <v>580</v>
      </c>
      <c r="T136"/>
    </row>
    <row r="137" spans="1:20" x14ac:dyDescent="0.25">
      <c r="A137" s="86" t="s">
        <v>1605</v>
      </c>
      <c r="B137" t="s">
        <v>159</v>
      </c>
      <c r="K137">
        <v>0</v>
      </c>
      <c r="N137" s="72" t="s">
        <v>14</v>
      </c>
      <c r="O137" t="s">
        <v>23</v>
      </c>
      <c r="S137" t="s">
        <v>2411</v>
      </c>
      <c r="T137"/>
    </row>
    <row r="138" spans="1:20" x14ac:dyDescent="0.25">
      <c r="A138" s="86" t="s">
        <v>951</v>
      </c>
      <c r="B138" t="s">
        <v>158</v>
      </c>
      <c r="K138">
        <v>0</v>
      </c>
      <c r="N138" s="72" t="s">
        <v>155</v>
      </c>
      <c r="O138" t="s">
        <v>23</v>
      </c>
      <c r="P138">
        <v>52</v>
      </c>
      <c r="Q138" s="131">
        <v>24105</v>
      </c>
      <c r="S138" s="85" t="s">
        <v>1241</v>
      </c>
      <c r="T138"/>
    </row>
    <row r="139" spans="1:20" x14ac:dyDescent="0.25">
      <c r="A139" s="86" t="s">
        <v>469</v>
      </c>
      <c r="B139" t="s">
        <v>158</v>
      </c>
      <c r="K139">
        <v>0</v>
      </c>
      <c r="N139" s="72" t="s">
        <v>38</v>
      </c>
      <c r="O139" t="s">
        <v>23</v>
      </c>
      <c r="P139">
        <v>52</v>
      </c>
      <c r="S139" s="85" t="s">
        <v>68</v>
      </c>
      <c r="T139"/>
    </row>
    <row r="140" spans="1:20" x14ac:dyDescent="0.25">
      <c r="A140" s="86" t="s">
        <v>909</v>
      </c>
      <c r="B140" t="s">
        <v>159</v>
      </c>
      <c r="K140">
        <v>0</v>
      </c>
      <c r="N140" s="72" t="s">
        <v>109</v>
      </c>
      <c r="O140" t="s">
        <v>23</v>
      </c>
      <c r="P140">
        <v>59</v>
      </c>
      <c r="S140" t="s">
        <v>1627</v>
      </c>
      <c r="T140"/>
    </row>
    <row r="141" spans="1:20" x14ac:dyDescent="0.25">
      <c r="A141" s="86" t="s">
        <v>1121</v>
      </c>
      <c r="B141" t="s">
        <v>157</v>
      </c>
      <c r="K141">
        <v>0</v>
      </c>
      <c r="N141" s="72" t="s">
        <v>38</v>
      </c>
      <c r="O141" t="s">
        <v>23</v>
      </c>
      <c r="P141">
        <v>43</v>
      </c>
      <c r="S141" t="s">
        <v>2059</v>
      </c>
      <c r="T141"/>
    </row>
    <row r="142" spans="1:20" x14ac:dyDescent="0.25">
      <c r="A142" s="86" t="s">
        <v>1865</v>
      </c>
      <c r="B142" t="s">
        <v>158</v>
      </c>
      <c r="C142">
        <v>22</v>
      </c>
      <c r="K142">
        <v>22</v>
      </c>
      <c r="N142" s="72" t="s">
        <v>12</v>
      </c>
      <c r="O142" t="s">
        <v>23</v>
      </c>
      <c r="P142">
        <v>45</v>
      </c>
      <c r="Q142" s="131">
        <v>26142</v>
      </c>
      <c r="S142" s="85" t="s">
        <v>47</v>
      </c>
      <c r="T142"/>
    </row>
    <row r="143" spans="1:20" x14ac:dyDescent="0.25">
      <c r="A143" s="86" t="s">
        <v>2053</v>
      </c>
      <c r="B143" t="s">
        <v>158</v>
      </c>
      <c r="K143">
        <v>0</v>
      </c>
      <c r="N143" s="72" t="s">
        <v>51</v>
      </c>
      <c r="O143" t="s">
        <v>23</v>
      </c>
      <c r="P143">
        <v>50</v>
      </c>
      <c r="Q143" s="131" t="s">
        <v>2054</v>
      </c>
      <c r="S143" t="s">
        <v>1325</v>
      </c>
      <c r="T143"/>
    </row>
    <row r="144" spans="1:20" x14ac:dyDescent="0.25">
      <c r="A144" s="86" t="s">
        <v>2385</v>
      </c>
      <c r="B144" t="s">
        <v>158</v>
      </c>
      <c r="E144">
        <v>143</v>
      </c>
      <c r="K144">
        <v>143</v>
      </c>
      <c r="N144" s="72" t="s">
        <v>505</v>
      </c>
      <c r="O144" t="s">
        <v>23</v>
      </c>
      <c r="P144">
        <v>48</v>
      </c>
      <c r="Q144" s="131">
        <v>25573</v>
      </c>
      <c r="S144" t="s">
        <v>1606</v>
      </c>
      <c r="T144"/>
    </row>
    <row r="145" spans="1:21" x14ac:dyDescent="0.25">
      <c r="A145" s="86" t="s">
        <v>2212</v>
      </c>
      <c r="B145" t="s">
        <v>160</v>
      </c>
      <c r="C145">
        <v>91</v>
      </c>
      <c r="D145">
        <v>82</v>
      </c>
      <c r="F145">
        <v>84</v>
      </c>
      <c r="K145">
        <v>257</v>
      </c>
      <c r="N145" s="72" t="s">
        <v>38</v>
      </c>
      <c r="O145" t="s">
        <v>24</v>
      </c>
      <c r="P145">
        <v>43</v>
      </c>
      <c r="Q145" s="131">
        <v>27501</v>
      </c>
      <c r="S145" s="85" t="s">
        <v>40</v>
      </c>
      <c r="T145"/>
    </row>
    <row r="146" spans="1:21" x14ac:dyDescent="0.25">
      <c r="A146" s="86" t="s">
        <v>2164</v>
      </c>
      <c r="B146" t="s">
        <v>161</v>
      </c>
      <c r="K146">
        <v>0</v>
      </c>
      <c r="N146" s="72" t="s">
        <v>505</v>
      </c>
      <c r="O146" t="s">
        <v>24</v>
      </c>
      <c r="P146">
        <v>55</v>
      </c>
      <c r="S146" s="85" t="s">
        <v>57</v>
      </c>
      <c r="T146"/>
      <c r="U146" s="48"/>
    </row>
    <row r="147" spans="1:21" x14ac:dyDescent="0.25">
      <c r="A147" s="86" t="s">
        <v>1496</v>
      </c>
      <c r="B147" t="s">
        <v>161</v>
      </c>
      <c r="C147">
        <v>90</v>
      </c>
      <c r="D147">
        <v>85</v>
      </c>
      <c r="E147">
        <v>130</v>
      </c>
      <c r="F147">
        <v>96</v>
      </c>
      <c r="K147">
        <v>401</v>
      </c>
      <c r="N147" s="72" t="s">
        <v>108</v>
      </c>
      <c r="O147" t="s">
        <v>24</v>
      </c>
      <c r="P147">
        <v>53</v>
      </c>
      <c r="Q147" s="131">
        <v>23863</v>
      </c>
      <c r="S147" s="85" t="s">
        <v>61</v>
      </c>
      <c r="T147"/>
    </row>
    <row r="148" spans="1:21" x14ac:dyDescent="0.25">
      <c r="A148" s="86" t="s">
        <v>892</v>
      </c>
      <c r="B148" s="48" t="s">
        <v>67</v>
      </c>
      <c r="K148">
        <v>0</v>
      </c>
      <c r="N148" s="72" t="s">
        <v>12</v>
      </c>
      <c r="O148" t="s">
        <v>24</v>
      </c>
      <c r="P148">
        <v>30</v>
      </c>
      <c r="Q148" s="131">
        <v>31892</v>
      </c>
      <c r="S148" t="s">
        <v>1148</v>
      </c>
      <c r="T148"/>
    </row>
    <row r="149" spans="1:21" x14ac:dyDescent="0.25">
      <c r="A149" s="86" t="s">
        <v>610</v>
      </c>
      <c r="B149" t="s">
        <v>160</v>
      </c>
      <c r="K149">
        <v>0</v>
      </c>
      <c r="N149" s="72" t="s">
        <v>154</v>
      </c>
      <c r="O149" t="s">
        <v>24</v>
      </c>
      <c r="P149">
        <v>45</v>
      </c>
      <c r="S149" s="85" t="s">
        <v>55</v>
      </c>
      <c r="T149"/>
    </row>
    <row r="150" spans="1:21" x14ac:dyDescent="0.25">
      <c r="A150" s="86" t="s">
        <v>609</v>
      </c>
      <c r="B150" t="s">
        <v>161</v>
      </c>
      <c r="D150">
        <v>57</v>
      </c>
      <c r="E150">
        <v>76</v>
      </c>
      <c r="F150">
        <v>55</v>
      </c>
      <c r="K150">
        <v>188</v>
      </c>
      <c r="N150" s="72" t="s">
        <v>43</v>
      </c>
      <c r="O150" t="s">
        <v>24</v>
      </c>
      <c r="P150">
        <v>54</v>
      </c>
      <c r="Q150" s="131">
        <v>23334</v>
      </c>
      <c r="S150" t="s">
        <v>1724</v>
      </c>
      <c r="T150"/>
    </row>
    <row r="151" spans="1:21" x14ac:dyDescent="0.25">
      <c r="A151" s="86" t="s">
        <v>497</v>
      </c>
      <c r="B151" t="s">
        <v>158</v>
      </c>
      <c r="K151">
        <v>0</v>
      </c>
      <c r="N151" s="72" t="s">
        <v>38</v>
      </c>
      <c r="O151" t="s">
        <v>23</v>
      </c>
      <c r="P151">
        <v>53</v>
      </c>
      <c r="S151" s="85" t="s">
        <v>359</v>
      </c>
      <c r="T151"/>
    </row>
    <row r="152" spans="1:21" x14ac:dyDescent="0.25">
      <c r="A152" s="86" t="s">
        <v>245</v>
      </c>
      <c r="B152" t="s">
        <v>160</v>
      </c>
      <c r="K152">
        <v>0</v>
      </c>
      <c r="N152" s="72" t="s">
        <v>63</v>
      </c>
      <c r="O152" t="s">
        <v>24</v>
      </c>
      <c r="P152">
        <v>46</v>
      </c>
      <c r="S152" s="72" t="s">
        <v>1329</v>
      </c>
      <c r="T152"/>
    </row>
    <row r="153" spans="1:21" x14ac:dyDescent="0.25">
      <c r="A153" s="86" t="s">
        <v>893</v>
      </c>
      <c r="B153" t="s">
        <v>160</v>
      </c>
      <c r="C153">
        <v>40</v>
      </c>
      <c r="F153">
        <v>46</v>
      </c>
      <c r="K153">
        <v>86</v>
      </c>
      <c r="N153" s="72" t="s">
        <v>12</v>
      </c>
      <c r="O153" t="s">
        <v>24</v>
      </c>
      <c r="P153">
        <v>48</v>
      </c>
      <c r="Q153" s="131">
        <v>25623</v>
      </c>
      <c r="S153" s="85" t="s">
        <v>46</v>
      </c>
      <c r="T153"/>
    </row>
    <row r="154" spans="1:21" x14ac:dyDescent="0.25">
      <c r="A154" s="86" t="s">
        <v>1811</v>
      </c>
      <c r="B154" t="s">
        <v>67</v>
      </c>
      <c r="K154">
        <v>0</v>
      </c>
      <c r="N154" s="72" t="s">
        <v>155</v>
      </c>
      <c r="O154" t="s">
        <v>24</v>
      </c>
      <c r="P154">
        <v>26</v>
      </c>
      <c r="Q154" s="131">
        <v>33063</v>
      </c>
      <c r="S154" s="85" t="s">
        <v>134</v>
      </c>
      <c r="T154"/>
    </row>
    <row r="155" spans="1:21" x14ac:dyDescent="0.25">
      <c r="A155" s="86" t="s">
        <v>878</v>
      </c>
      <c r="B155" t="s">
        <v>158</v>
      </c>
      <c r="K155">
        <v>0</v>
      </c>
      <c r="N155" s="72" t="s">
        <v>63</v>
      </c>
      <c r="O155" t="s">
        <v>23</v>
      </c>
      <c r="P155">
        <v>49</v>
      </c>
      <c r="Q155" s="131">
        <v>24882</v>
      </c>
      <c r="S155" s="85" t="s">
        <v>13</v>
      </c>
      <c r="T155"/>
    </row>
    <row r="156" spans="1:21" x14ac:dyDescent="0.25">
      <c r="A156" s="86" t="s">
        <v>260</v>
      </c>
      <c r="B156" t="s">
        <v>157</v>
      </c>
      <c r="C156">
        <v>1</v>
      </c>
      <c r="D156">
        <v>3</v>
      </c>
      <c r="F156">
        <v>3</v>
      </c>
      <c r="K156">
        <v>7</v>
      </c>
      <c r="N156" s="72" t="s">
        <v>12</v>
      </c>
      <c r="O156" t="s">
        <v>23</v>
      </c>
      <c r="P156">
        <v>42</v>
      </c>
      <c r="Q156" s="131">
        <v>27954</v>
      </c>
      <c r="S156" t="s">
        <v>1401</v>
      </c>
      <c r="T156"/>
    </row>
    <row r="157" spans="1:21" x14ac:dyDescent="0.25">
      <c r="A157" s="86" t="s">
        <v>939</v>
      </c>
      <c r="B157" t="s">
        <v>156</v>
      </c>
      <c r="K157">
        <v>0</v>
      </c>
      <c r="N157" s="72" t="s">
        <v>653</v>
      </c>
      <c r="O157" t="s">
        <v>23</v>
      </c>
      <c r="P157">
        <v>26</v>
      </c>
      <c r="S157" s="86" t="s">
        <v>661</v>
      </c>
      <c r="T157"/>
    </row>
    <row r="158" spans="1:21" x14ac:dyDescent="0.25">
      <c r="A158" s="86" t="s">
        <v>472</v>
      </c>
      <c r="B158" t="s">
        <v>162</v>
      </c>
      <c r="K158">
        <v>0</v>
      </c>
      <c r="N158" s="72" t="s">
        <v>108</v>
      </c>
      <c r="O158" s="48" t="s">
        <v>24</v>
      </c>
      <c r="P158">
        <v>65</v>
      </c>
      <c r="S158" t="s">
        <v>1609</v>
      </c>
      <c r="T158"/>
    </row>
    <row r="159" spans="1:21" x14ac:dyDescent="0.25">
      <c r="A159" s="86" t="s">
        <v>1134</v>
      </c>
      <c r="B159" t="s">
        <v>159</v>
      </c>
      <c r="K159">
        <v>0</v>
      </c>
      <c r="N159" s="72" t="s">
        <v>63</v>
      </c>
      <c r="O159" t="s">
        <v>23</v>
      </c>
      <c r="P159">
        <v>59</v>
      </c>
      <c r="Q159" s="131">
        <v>21244</v>
      </c>
      <c r="S159" s="85" t="s">
        <v>128</v>
      </c>
      <c r="T159"/>
    </row>
    <row r="160" spans="1:21" x14ac:dyDescent="0.25">
      <c r="A160" s="86" t="s">
        <v>1999</v>
      </c>
      <c r="B160" t="s">
        <v>159</v>
      </c>
      <c r="K160">
        <v>0</v>
      </c>
      <c r="N160" s="72" t="s">
        <v>657</v>
      </c>
      <c r="O160" t="s">
        <v>23</v>
      </c>
      <c r="S160" s="85" t="s">
        <v>10</v>
      </c>
      <c r="T160"/>
    </row>
    <row r="161" spans="1:20" x14ac:dyDescent="0.25">
      <c r="A161" s="86" t="s">
        <v>190</v>
      </c>
      <c r="B161" t="s">
        <v>67</v>
      </c>
      <c r="C161">
        <v>104</v>
      </c>
      <c r="D161">
        <v>105</v>
      </c>
      <c r="F161">
        <v>110</v>
      </c>
      <c r="K161">
        <v>319</v>
      </c>
      <c r="N161" s="72" t="s">
        <v>43</v>
      </c>
      <c r="O161" t="s">
        <v>24</v>
      </c>
      <c r="P161">
        <v>32</v>
      </c>
      <c r="Q161" s="131">
        <v>31300</v>
      </c>
      <c r="S161" t="s">
        <v>815</v>
      </c>
      <c r="T161"/>
    </row>
    <row r="162" spans="1:20" x14ac:dyDescent="0.25">
      <c r="A162" s="86" t="s">
        <v>467</v>
      </c>
      <c r="B162" t="s">
        <v>67</v>
      </c>
      <c r="K162">
        <v>0</v>
      </c>
      <c r="N162" s="72" t="s">
        <v>63</v>
      </c>
      <c r="O162" t="s">
        <v>24</v>
      </c>
      <c r="P162">
        <v>30</v>
      </c>
      <c r="S162" t="s">
        <v>2265</v>
      </c>
      <c r="T162"/>
    </row>
    <row r="163" spans="1:20" x14ac:dyDescent="0.25">
      <c r="A163" s="86" t="s">
        <v>912</v>
      </c>
      <c r="B163" t="s">
        <v>67</v>
      </c>
      <c r="K163">
        <v>0</v>
      </c>
      <c r="N163" s="72" t="s">
        <v>38</v>
      </c>
      <c r="O163" t="s">
        <v>24</v>
      </c>
      <c r="P163">
        <v>31</v>
      </c>
      <c r="S163" t="s">
        <v>657</v>
      </c>
      <c r="T163"/>
    </row>
    <row r="164" spans="1:20" x14ac:dyDescent="0.25">
      <c r="A164" s="86" t="s">
        <v>2146</v>
      </c>
      <c r="B164" t="s">
        <v>160</v>
      </c>
      <c r="D164">
        <v>9</v>
      </c>
      <c r="K164">
        <v>9</v>
      </c>
      <c r="N164" s="72" t="s">
        <v>817</v>
      </c>
      <c r="O164" t="s">
        <v>24</v>
      </c>
      <c r="P164">
        <v>40</v>
      </c>
      <c r="Q164" s="131">
        <v>28594</v>
      </c>
      <c r="S164" s="86" t="s">
        <v>505</v>
      </c>
      <c r="T164"/>
    </row>
    <row r="165" spans="1:20" x14ac:dyDescent="0.25">
      <c r="A165" s="86" t="s">
        <v>2342</v>
      </c>
      <c r="B165" t="s">
        <v>67</v>
      </c>
      <c r="E165">
        <v>121</v>
      </c>
      <c r="K165">
        <v>121</v>
      </c>
      <c r="N165" s="72" t="s">
        <v>2409</v>
      </c>
      <c r="O165" t="s">
        <v>24</v>
      </c>
      <c r="P165">
        <v>36</v>
      </c>
      <c r="Q165" s="131">
        <v>30156</v>
      </c>
      <c r="S165" s="85" t="s">
        <v>115</v>
      </c>
      <c r="T165"/>
    </row>
    <row r="166" spans="1:20" x14ac:dyDescent="0.25">
      <c r="A166" s="86" t="s">
        <v>383</v>
      </c>
      <c r="B166" t="s">
        <v>158</v>
      </c>
      <c r="K166">
        <v>0</v>
      </c>
      <c r="N166" s="72" t="s">
        <v>63</v>
      </c>
      <c r="O166" t="s">
        <v>23</v>
      </c>
      <c r="P166">
        <v>50</v>
      </c>
      <c r="S166" s="85" t="s">
        <v>135</v>
      </c>
      <c r="T166"/>
    </row>
    <row r="167" spans="1:20" x14ac:dyDescent="0.25">
      <c r="A167" s="86" t="s">
        <v>1594</v>
      </c>
      <c r="B167" t="s">
        <v>156</v>
      </c>
      <c r="K167">
        <v>0</v>
      </c>
      <c r="N167" s="72" t="s">
        <v>657</v>
      </c>
      <c r="O167" t="s">
        <v>23</v>
      </c>
      <c r="S167" s="85" t="s">
        <v>116</v>
      </c>
      <c r="T167"/>
    </row>
    <row r="168" spans="1:20" x14ac:dyDescent="0.25">
      <c r="A168" s="86" t="s">
        <v>1375</v>
      </c>
      <c r="B168" t="s">
        <v>160</v>
      </c>
      <c r="K168">
        <v>0</v>
      </c>
      <c r="N168" s="72" t="s">
        <v>14</v>
      </c>
      <c r="O168" t="s">
        <v>24</v>
      </c>
      <c r="P168">
        <v>41</v>
      </c>
      <c r="Q168" s="131">
        <v>27423</v>
      </c>
      <c r="S168" s="85" t="s">
        <v>64</v>
      </c>
      <c r="T168"/>
    </row>
    <row r="169" spans="1:20" x14ac:dyDescent="0.25">
      <c r="A169" s="86" t="s">
        <v>1533</v>
      </c>
      <c r="B169" t="s">
        <v>67</v>
      </c>
      <c r="E169">
        <v>14</v>
      </c>
      <c r="K169">
        <v>14</v>
      </c>
      <c r="N169" s="72" t="s">
        <v>14</v>
      </c>
      <c r="O169" t="s">
        <v>24</v>
      </c>
      <c r="P169">
        <v>37</v>
      </c>
      <c r="Q169" s="131">
        <v>29554</v>
      </c>
      <c r="S169" t="s">
        <v>1633</v>
      </c>
      <c r="T169"/>
    </row>
    <row r="170" spans="1:20" x14ac:dyDescent="0.25">
      <c r="A170" s="86" t="s">
        <v>854</v>
      </c>
      <c r="B170" t="s">
        <v>67</v>
      </c>
      <c r="K170">
        <v>0</v>
      </c>
      <c r="N170" s="72" t="s">
        <v>43</v>
      </c>
      <c r="O170" t="s">
        <v>24</v>
      </c>
      <c r="P170">
        <v>28</v>
      </c>
      <c r="Q170" s="131">
        <v>32007</v>
      </c>
      <c r="S170" t="s">
        <v>649</v>
      </c>
      <c r="T170"/>
    </row>
    <row r="171" spans="1:20" x14ac:dyDescent="0.25">
      <c r="A171" s="86" t="s">
        <v>185</v>
      </c>
      <c r="B171" t="s">
        <v>158</v>
      </c>
      <c r="F171">
        <v>38</v>
      </c>
      <c r="K171">
        <v>38</v>
      </c>
      <c r="N171" s="72" t="s">
        <v>12</v>
      </c>
      <c r="O171" t="s">
        <v>23</v>
      </c>
      <c r="P171">
        <v>47</v>
      </c>
      <c r="Q171" s="131">
        <v>25856</v>
      </c>
      <c r="S171" t="s">
        <v>1499</v>
      </c>
      <c r="T171"/>
    </row>
    <row r="172" spans="1:20" x14ac:dyDescent="0.25">
      <c r="A172" s="86" t="s">
        <v>214</v>
      </c>
      <c r="B172" t="s">
        <v>162</v>
      </c>
      <c r="C172">
        <v>145</v>
      </c>
      <c r="D172">
        <v>145</v>
      </c>
      <c r="E172">
        <v>188</v>
      </c>
      <c r="F172">
        <v>158</v>
      </c>
      <c r="K172">
        <v>636</v>
      </c>
      <c r="N172" s="72" t="s">
        <v>38</v>
      </c>
      <c r="O172" t="s">
        <v>24</v>
      </c>
      <c r="P172">
        <v>65</v>
      </c>
      <c r="Q172" s="131">
        <v>19455</v>
      </c>
      <c r="S172" t="s">
        <v>653</v>
      </c>
      <c r="T172"/>
    </row>
    <row r="173" spans="1:20" x14ac:dyDescent="0.25">
      <c r="A173" s="86" t="s">
        <v>996</v>
      </c>
      <c r="B173" t="s">
        <v>67</v>
      </c>
      <c r="K173">
        <v>0</v>
      </c>
      <c r="N173" t="s">
        <v>1324</v>
      </c>
      <c r="O173" t="s">
        <v>24</v>
      </c>
      <c r="P173">
        <v>27</v>
      </c>
      <c r="S173" t="s">
        <v>1324</v>
      </c>
      <c r="T173"/>
    </row>
    <row r="174" spans="1:20" x14ac:dyDescent="0.25">
      <c r="A174" s="86" t="s">
        <v>428</v>
      </c>
      <c r="B174" t="s">
        <v>161</v>
      </c>
      <c r="K174">
        <v>0</v>
      </c>
      <c r="N174" s="72" t="s">
        <v>14</v>
      </c>
      <c r="O174" t="s">
        <v>24</v>
      </c>
      <c r="P174">
        <v>56</v>
      </c>
      <c r="Q174" s="131">
        <v>22607</v>
      </c>
      <c r="S174" s="85" t="s">
        <v>53</v>
      </c>
      <c r="T174"/>
    </row>
    <row r="175" spans="1:20" x14ac:dyDescent="0.25">
      <c r="A175" s="86" t="s">
        <v>953</v>
      </c>
      <c r="B175" t="s">
        <v>158</v>
      </c>
      <c r="K175">
        <v>0</v>
      </c>
      <c r="N175" s="72" t="s">
        <v>155</v>
      </c>
      <c r="O175" t="s">
        <v>23</v>
      </c>
      <c r="P175">
        <v>47</v>
      </c>
      <c r="S175" s="85" t="s">
        <v>54</v>
      </c>
      <c r="T175"/>
    </row>
    <row r="176" spans="1:20" x14ac:dyDescent="0.25">
      <c r="A176" s="86" t="s">
        <v>2131</v>
      </c>
      <c r="B176" t="s">
        <v>67</v>
      </c>
      <c r="K176">
        <v>0</v>
      </c>
      <c r="N176" s="72" t="s">
        <v>505</v>
      </c>
      <c r="O176" t="s">
        <v>24</v>
      </c>
      <c r="P176">
        <v>37</v>
      </c>
      <c r="Q176" s="131">
        <v>29179</v>
      </c>
      <c r="S176" t="s">
        <v>1067</v>
      </c>
      <c r="T176"/>
    </row>
    <row r="177" spans="1:20" x14ac:dyDescent="0.25">
      <c r="A177" s="86" t="s">
        <v>546</v>
      </c>
      <c r="B177" t="s">
        <v>162</v>
      </c>
      <c r="K177">
        <v>0</v>
      </c>
      <c r="N177" s="72" t="s">
        <v>14</v>
      </c>
      <c r="O177" t="s">
        <v>24</v>
      </c>
      <c r="P177">
        <v>60</v>
      </c>
      <c r="Q177" s="131">
        <v>20874</v>
      </c>
      <c r="S177" t="s">
        <v>1939</v>
      </c>
      <c r="T177"/>
    </row>
    <row r="178" spans="1:20" x14ac:dyDescent="0.25">
      <c r="A178" s="86" t="s">
        <v>2384</v>
      </c>
      <c r="B178" t="s">
        <v>156</v>
      </c>
      <c r="E178">
        <v>135</v>
      </c>
      <c r="K178">
        <v>135</v>
      </c>
      <c r="N178" s="72" t="s">
        <v>505</v>
      </c>
      <c r="O178" t="s">
        <v>23</v>
      </c>
      <c r="P178">
        <v>29</v>
      </c>
      <c r="Q178" s="131">
        <v>32741</v>
      </c>
      <c r="S178" s="72" t="s">
        <v>2083</v>
      </c>
      <c r="T178"/>
    </row>
    <row r="179" spans="1:20" x14ac:dyDescent="0.25">
      <c r="A179" s="86" t="s">
        <v>318</v>
      </c>
      <c r="B179" t="s">
        <v>161</v>
      </c>
      <c r="K179">
        <v>0</v>
      </c>
      <c r="N179" s="72" t="s">
        <v>108</v>
      </c>
      <c r="O179" t="s">
        <v>24</v>
      </c>
      <c r="P179">
        <v>50</v>
      </c>
      <c r="Q179" s="131">
        <v>24528</v>
      </c>
      <c r="S179" t="s">
        <v>1244</v>
      </c>
      <c r="T179"/>
    </row>
    <row r="180" spans="1:20" x14ac:dyDescent="0.25">
      <c r="A180" s="86" t="s">
        <v>400</v>
      </c>
      <c r="B180" t="s">
        <v>67</v>
      </c>
      <c r="K180">
        <v>0</v>
      </c>
      <c r="N180" s="72" t="s">
        <v>1079</v>
      </c>
      <c r="O180" t="s">
        <v>24</v>
      </c>
      <c r="P180">
        <v>26</v>
      </c>
      <c r="S180" s="85" t="s">
        <v>236</v>
      </c>
      <c r="T180"/>
    </row>
    <row r="181" spans="1:20" x14ac:dyDescent="0.25">
      <c r="A181" s="86" t="s">
        <v>1357</v>
      </c>
      <c r="B181" s="48" t="s">
        <v>67</v>
      </c>
      <c r="C181">
        <v>5</v>
      </c>
      <c r="E181">
        <v>6</v>
      </c>
      <c r="F181">
        <v>3</v>
      </c>
      <c r="K181">
        <v>14</v>
      </c>
      <c r="N181" s="72" t="s">
        <v>12</v>
      </c>
      <c r="O181" t="s">
        <v>24</v>
      </c>
      <c r="P181">
        <v>33</v>
      </c>
      <c r="Q181" s="131">
        <v>31097</v>
      </c>
      <c r="S181" s="72" t="s">
        <v>50</v>
      </c>
      <c r="T181"/>
    </row>
    <row r="182" spans="1:20" x14ac:dyDescent="0.25">
      <c r="A182" s="86" t="s">
        <v>2323</v>
      </c>
      <c r="B182" s="48" t="s">
        <v>67</v>
      </c>
      <c r="E182">
        <v>44</v>
      </c>
      <c r="K182">
        <v>44</v>
      </c>
      <c r="N182" s="72" t="s">
        <v>155</v>
      </c>
      <c r="O182" t="s">
        <v>24</v>
      </c>
      <c r="P182">
        <v>39</v>
      </c>
      <c r="Q182" s="131">
        <v>29008</v>
      </c>
      <c r="S182" t="s">
        <v>1607</v>
      </c>
      <c r="T182"/>
    </row>
    <row r="183" spans="1:20" x14ac:dyDescent="0.25">
      <c r="A183" s="86" t="s">
        <v>626</v>
      </c>
      <c r="B183" t="s">
        <v>158</v>
      </c>
      <c r="K183">
        <v>0</v>
      </c>
      <c r="N183" s="72" t="s">
        <v>63</v>
      </c>
      <c r="O183" t="s">
        <v>23</v>
      </c>
      <c r="P183">
        <v>50</v>
      </c>
      <c r="Q183" s="131">
        <v>24621</v>
      </c>
      <c r="S183" t="s">
        <v>654</v>
      </c>
      <c r="T183"/>
    </row>
    <row r="184" spans="1:20" x14ac:dyDescent="0.25">
      <c r="A184" s="86" t="s">
        <v>390</v>
      </c>
      <c r="B184" t="s">
        <v>67</v>
      </c>
      <c r="K184">
        <v>0</v>
      </c>
      <c r="N184" s="72" t="s">
        <v>108</v>
      </c>
      <c r="O184" t="s">
        <v>24</v>
      </c>
      <c r="P184">
        <v>31</v>
      </c>
      <c r="S184" s="72" t="s">
        <v>44</v>
      </c>
      <c r="T184"/>
    </row>
    <row r="185" spans="1:20" x14ac:dyDescent="0.25">
      <c r="A185" s="86" t="s">
        <v>829</v>
      </c>
      <c r="B185" t="s">
        <v>162</v>
      </c>
      <c r="K185">
        <v>0</v>
      </c>
      <c r="N185" s="72" t="s">
        <v>155</v>
      </c>
      <c r="O185" t="s">
        <v>24</v>
      </c>
      <c r="P185">
        <v>60</v>
      </c>
      <c r="S185" t="s">
        <v>1727</v>
      </c>
      <c r="T185"/>
    </row>
    <row r="186" spans="1:20" x14ac:dyDescent="0.25">
      <c r="A186" s="86" t="s">
        <v>2469</v>
      </c>
      <c r="B186" t="s">
        <v>160</v>
      </c>
      <c r="F186">
        <v>17</v>
      </c>
      <c r="K186">
        <v>17</v>
      </c>
      <c r="N186" s="72" t="s">
        <v>14</v>
      </c>
      <c r="O186" t="s">
        <v>24</v>
      </c>
      <c r="P186">
        <v>43</v>
      </c>
      <c r="S186" t="s">
        <v>1726</v>
      </c>
      <c r="T186"/>
    </row>
    <row r="187" spans="1:20" x14ac:dyDescent="0.25">
      <c r="A187" s="86" t="s">
        <v>421</v>
      </c>
      <c r="B187" t="s">
        <v>1817</v>
      </c>
      <c r="C187">
        <v>118</v>
      </c>
      <c r="D187">
        <v>110</v>
      </c>
      <c r="E187">
        <v>142</v>
      </c>
      <c r="F187">
        <v>107</v>
      </c>
      <c r="K187">
        <v>477</v>
      </c>
      <c r="N187" s="72" t="s">
        <v>14</v>
      </c>
      <c r="O187" t="s">
        <v>24</v>
      </c>
      <c r="P187">
        <v>70</v>
      </c>
      <c r="Q187" s="131">
        <v>17501</v>
      </c>
      <c r="S187" t="s">
        <v>10</v>
      </c>
      <c r="T187"/>
    </row>
    <row r="188" spans="1:20" x14ac:dyDescent="0.25">
      <c r="A188" s="86" t="s">
        <v>402</v>
      </c>
      <c r="B188" t="s">
        <v>67</v>
      </c>
      <c r="K188">
        <v>0</v>
      </c>
      <c r="N188" s="72" t="s">
        <v>63</v>
      </c>
      <c r="O188" t="s">
        <v>24</v>
      </c>
      <c r="P188">
        <v>30</v>
      </c>
      <c r="S188" t="s">
        <v>10</v>
      </c>
      <c r="T188"/>
    </row>
    <row r="189" spans="1:20" x14ac:dyDescent="0.25">
      <c r="A189" s="86" t="s">
        <v>777</v>
      </c>
      <c r="B189" t="s">
        <v>67</v>
      </c>
      <c r="K189">
        <v>0</v>
      </c>
      <c r="N189" s="72" t="s">
        <v>154</v>
      </c>
      <c r="O189" t="s">
        <v>24</v>
      </c>
      <c r="P189">
        <v>32</v>
      </c>
      <c r="S189" t="s">
        <v>10</v>
      </c>
      <c r="T189"/>
    </row>
    <row r="190" spans="1:20" x14ac:dyDescent="0.25">
      <c r="A190" s="86" t="s">
        <v>894</v>
      </c>
      <c r="B190" t="s">
        <v>157</v>
      </c>
      <c r="K190">
        <v>0</v>
      </c>
      <c r="N190" s="72" t="s">
        <v>12</v>
      </c>
      <c r="O190" t="s">
        <v>23</v>
      </c>
      <c r="P190">
        <v>35</v>
      </c>
      <c r="Q190" s="131">
        <v>29623</v>
      </c>
      <c r="S190" t="s">
        <v>10</v>
      </c>
      <c r="T190"/>
    </row>
    <row r="191" spans="1:20" x14ac:dyDescent="0.25">
      <c r="A191" s="86" t="s">
        <v>1163</v>
      </c>
      <c r="B191" t="s">
        <v>160</v>
      </c>
      <c r="K191">
        <v>0</v>
      </c>
      <c r="N191" s="72" t="s">
        <v>505</v>
      </c>
      <c r="O191" t="s">
        <v>24</v>
      </c>
      <c r="P191">
        <v>46</v>
      </c>
      <c r="S191" t="s">
        <v>10</v>
      </c>
      <c r="T191"/>
    </row>
    <row r="192" spans="1:20" x14ac:dyDescent="0.25">
      <c r="A192" s="86" t="s">
        <v>368</v>
      </c>
      <c r="B192" t="s">
        <v>160</v>
      </c>
      <c r="K192">
        <v>0</v>
      </c>
      <c r="N192" s="72" t="s">
        <v>108</v>
      </c>
      <c r="O192" s="48" t="s">
        <v>24</v>
      </c>
      <c r="P192">
        <v>44</v>
      </c>
      <c r="Q192" s="131">
        <v>26763</v>
      </c>
      <c r="S192"/>
      <c r="T192"/>
    </row>
    <row r="193" spans="1:20" x14ac:dyDescent="0.25">
      <c r="A193" s="86" t="s">
        <v>1969</v>
      </c>
      <c r="B193" t="s">
        <v>67</v>
      </c>
      <c r="K193">
        <v>0</v>
      </c>
      <c r="N193" s="72" t="s">
        <v>108</v>
      </c>
      <c r="O193" t="s">
        <v>24</v>
      </c>
      <c r="S193"/>
      <c r="T193"/>
    </row>
    <row r="194" spans="1:20" x14ac:dyDescent="0.25">
      <c r="A194" s="86" t="s">
        <v>652</v>
      </c>
      <c r="B194" t="s">
        <v>160</v>
      </c>
      <c r="K194">
        <v>0</v>
      </c>
      <c r="N194" s="72" t="s">
        <v>657</v>
      </c>
      <c r="O194" t="s">
        <v>24</v>
      </c>
      <c r="P194">
        <v>40</v>
      </c>
      <c r="S194"/>
      <c r="T194"/>
    </row>
    <row r="195" spans="1:20" x14ac:dyDescent="0.25">
      <c r="A195" s="86" t="s">
        <v>229</v>
      </c>
      <c r="B195" t="s">
        <v>159</v>
      </c>
      <c r="C195">
        <v>7</v>
      </c>
      <c r="D195">
        <v>9</v>
      </c>
      <c r="E195">
        <v>13</v>
      </c>
      <c r="F195">
        <v>9</v>
      </c>
      <c r="K195">
        <v>38</v>
      </c>
      <c r="N195" s="72" t="s">
        <v>108</v>
      </c>
      <c r="O195" t="s">
        <v>23</v>
      </c>
      <c r="P195">
        <v>62</v>
      </c>
      <c r="Q195" s="131">
        <v>20613</v>
      </c>
      <c r="S195"/>
      <c r="T195"/>
    </row>
    <row r="196" spans="1:20" x14ac:dyDescent="0.25">
      <c r="A196" s="86" t="s">
        <v>735</v>
      </c>
      <c r="B196" s="48" t="s">
        <v>158</v>
      </c>
      <c r="K196">
        <v>0</v>
      </c>
      <c r="N196" s="72" t="s">
        <v>653</v>
      </c>
      <c r="O196" t="s">
        <v>23</v>
      </c>
      <c r="P196">
        <v>45</v>
      </c>
      <c r="S196"/>
      <c r="T196"/>
    </row>
    <row r="197" spans="1:20" x14ac:dyDescent="0.25">
      <c r="A197" s="86" t="s">
        <v>1572</v>
      </c>
      <c r="B197" t="s">
        <v>162</v>
      </c>
      <c r="K197">
        <v>0</v>
      </c>
      <c r="N197" s="72" t="s">
        <v>1618</v>
      </c>
      <c r="O197" t="s">
        <v>24</v>
      </c>
      <c r="S197"/>
      <c r="T197"/>
    </row>
    <row r="198" spans="1:20" x14ac:dyDescent="0.25">
      <c r="A198" s="86" t="s">
        <v>1782</v>
      </c>
      <c r="B198" t="s">
        <v>157</v>
      </c>
      <c r="C198">
        <v>104</v>
      </c>
      <c r="D198">
        <v>103</v>
      </c>
      <c r="E198">
        <v>174</v>
      </c>
      <c r="K198">
        <v>381</v>
      </c>
      <c r="N198" s="72" t="s">
        <v>108</v>
      </c>
      <c r="O198" t="s">
        <v>23</v>
      </c>
      <c r="P198">
        <v>41</v>
      </c>
      <c r="Q198" s="131">
        <v>27971</v>
      </c>
      <c r="S198"/>
      <c r="T198"/>
    </row>
    <row r="199" spans="1:20" x14ac:dyDescent="0.25">
      <c r="A199" s="86" t="s">
        <v>2086</v>
      </c>
      <c r="B199" t="s">
        <v>162</v>
      </c>
      <c r="K199">
        <v>0</v>
      </c>
      <c r="N199" s="72" t="s">
        <v>2087</v>
      </c>
      <c r="O199" t="s">
        <v>24</v>
      </c>
      <c r="P199">
        <v>68</v>
      </c>
      <c r="Q199" s="131" t="s">
        <v>2088</v>
      </c>
      <c r="S199"/>
      <c r="T199"/>
    </row>
    <row r="200" spans="1:20" x14ac:dyDescent="0.25">
      <c r="A200" s="86" t="s">
        <v>2267</v>
      </c>
      <c r="B200" t="s">
        <v>161</v>
      </c>
      <c r="D200">
        <v>154</v>
      </c>
      <c r="E200">
        <v>195</v>
      </c>
      <c r="K200">
        <v>349</v>
      </c>
      <c r="N200" s="72" t="s">
        <v>38</v>
      </c>
      <c r="O200" t="s">
        <v>24</v>
      </c>
      <c r="P200">
        <v>53</v>
      </c>
      <c r="Q200" s="131">
        <v>23714</v>
      </c>
      <c r="S200"/>
      <c r="T200"/>
    </row>
    <row r="201" spans="1:20" x14ac:dyDescent="0.25">
      <c r="A201" s="86" t="s">
        <v>2205</v>
      </c>
      <c r="B201" t="s">
        <v>160</v>
      </c>
      <c r="C201">
        <v>54</v>
      </c>
      <c r="D201">
        <v>51</v>
      </c>
      <c r="E201">
        <v>62</v>
      </c>
      <c r="F201">
        <v>65</v>
      </c>
      <c r="K201">
        <v>232</v>
      </c>
      <c r="N201" s="72" t="s">
        <v>38</v>
      </c>
      <c r="O201" t="s">
        <v>24</v>
      </c>
      <c r="P201">
        <v>44</v>
      </c>
      <c r="Q201" s="131">
        <v>27066</v>
      </c>
      <c r="S201"/>
      <c r="T201"/>
    </row>
    <row r="202" spans="1:20" x14ac:dyDescent="0.25">
      <c r="A202" s="86" t="s">
        <v>243</v>
      </c>
      <c r="B202" t="s">
        <v>161</v>
      </c>
      <c r="C202">
        <v>135</v>
      </c>
      <c r="K202">
        <v>135</v>
      </c>
      <c r="N202" s="72" t="s">
        <v>63</v>
      </c>
      <c r="O202" t="s">
        <v>24</v>
      </c>
      <c r="P202">
        <v>55</v>
      </c>
      <c r="Q202" s="131">
        <v>22886</v>
      </c>
      <c r="S202"/>
      <c r="T202"/>
    </row>
    <row r="203" spans="1:20" x14ac:dyDescent="0.25">
      <c r="A203" s="86" t="s">
        <v>935</v>
      </c>
      <c r="B203" s="48" t="s">
        <v>67</v>
      </c>
      <c r="F203">
        <v>8</v>
      </c>
      <c r="K203">
        <v>8</v>
      </c>
      <c r="N203" s="72" t="s">
        <v>14</v>
      </c>
      <c r="O203" t="s">
        <v>24</v>
      </c>
      <c r="P203">
        <v>37</v>
      </c>
      <c r="Q203" s="131">
        <v>29719</v>
      </c>
      <c r="S203"/>
      <c r="T203"/>
    </row>
    <row r="204" spans="1:20" x14ac:dyDescent="0.25">
      <c r="A204" s="86" t="s">
        <v>574</v>
      </c>
      <c r="B204" t="s">
        <v>160</v>
      </c>
      <c r="K204">
        <v>0</v>
      </c>
      <c r="N204" s="72" t="s">
        <v>14</v>
      </c>
      <c r="O204" s="48" t="s">
        <v>852</v>
      </c>
      <c r="P204">
        <v>49</v>
      </c>
      <c r="S204"/>
      <c r="T204"/>
    </row>
    <row r="205" spans="1:20" x14ac:dyDescent="0.25">
      <c r="A205" s="86" t="s">
        <v>1094</v>
      </c>
      <c r="B205" t="s">
        <v>67</v>
      </c>
      <c r="G205" s="48"/>
      <c r="K205">
        <v>0</v>
      </c>
      <c r="N205" s="72" t="s">
        <v>10</v>
      </c>
      <c r="O205" t="s">
        <v>24</v>
      </c>
      <c r="P205">
        <v>39</v>
      </c>
      <c r="S205"/>
      <c r="T205"/>
    </row>
    <row r="206" spans="1:20" x14ac:dyDescent="0.25">
      <c r="A206" s="86" t="s">
        <v>328</v>
      </c>
      <c r="B206" t="s">
        <v>161</v>
      </c>
      <c r="F206">
        <v>42</v>
      </c>
      <c r="K206">
        <v>42</v>
      </c>
      <c r="N206" s="72" t="s">
        <v>128</v>
      </c>
      <c r="O206" t="s">
        <v>24</v>
      </c>
      <c r="P206">
        <v>56</v>
      </c>
      <c r="Q206" s="131">
        <v>22625</v>
      </c>
      <c r="S206"/>
      <c r="T206"/>
    </row>
    <row r="207" spans="1:20" x14ac:dyDescent="0.25">
      <c r="A207" s="86" t="s">
        <v>211</v>
      </c>
      <c r="B207" t="s">
        <v>160</v>
      </c>
      <c r="E207">
        <v>126</v>
      </c>
      <c r="K207">
        <v>126</v>
      </c>
      <c r="N207" s="72" t="s">
        <v>38</v>
      </c>
      <c r="O207" t="s">
        <v>24</v>
      </c>
      <c r="P207">
        <v>44</v>
      </c>
      <c r="Q207" s="131">
        <v>26981</v>
      </c>
      <c r="S207"/>
      <c r="T207"/>
    </row>
    <row r="208" spans="1:20" x14ac:dyDescent="0.25">
      <c r="A208" s="86" t="s">
        <v>218</v>
      </c>
      <c r="B208" t="s">
        <v>1817</v>
      </c>
      <c r="C208">
        <v>136</v>
      </c>
      <c r="D208">
        <v>133</v>
      </c>
      <c r="E208">
        <v>174</v>
      </c>
      <c r="F208">
        <v>143</v>
      </c>
      <c r="K208">
        <v>586</v>
      </c>
      <c r="N208" s="72" t="s">
        <v>38</v>
      </c>
      <c r="O208" t="s">
        <v>24</v>
      </c>
      <c r="P208">
        <v>72</v>
      </c>
      <c r="Q208" s="131">
        <v>16849</v>
      </c>
      <c r="S208"/>
      <c r="T208"/>
    </row>
    <row r="209" spans="1:20" x14ac:dyDescent="0.25">
      <c r="A209" s="86" t="s">
        <v>312</v>
      </c>
      <c r="B209" t="s">
        <v>160</v>
      </c>
      <c r="K209">
        <v>0</v>
      </c>
      <c r="N209" s="72" t="s">
        <v>155</v>
      </c>
      <c r="O209" t="s">
        <v>24</v>
      </c>
      <c r="P209">
        <v>45</v>
      </c>
      <c r="S209"/>
      <c r="T209"/>
    </row>
    <row r="210" spans="1:20" x14ac:dyDescent="0.25">
      <c r="A210" s="86" t="s">
        <v>2242</v>
      </c>
      <c r="B210" t="s">
        <v>158</v>
      </c>
      <c r="C210">
        <v>88</v>
      </c>
      <c r="D210">
        <v>75</v>
      </c>
      <c r="F210">
        <v>80</v>
      </c>
      <c r="K210">
        <v>243</v>
      </c>
      <c r="N210" s="72" t="s">
        <v>38</v>
      </c>
      <c r="O210" t="s">
        <v>23</v>
      </c>
      <c r="P210">
        <v>54</v>
      </c>
      <c r="Q210" s="131">
        <v>23523</v>
      </c>
      <c r="S210"/>
      <c r="T210"/>
    </row>
    <row r="211" spans="1:20" x14ac:dyDescent="0.25">
      <c r="A211" s="86" t="s">
        <v>1245</v>
      </c>
      <c r="B211" t="s">
        <v>158</v>
      </c>
      <c r="K211">
        <v>0</v>
      </c>
      <c r="N211" s="72" t="s">
        <v>1244</v>
      </c>
      <c r="O211" t="s">
        <v>23</v>
      </c>
      <c r="P211">
        <v>51</v>
      </c>
      <c r="Q211" s="131">
        <v>23394</v>
      </c>
      <c r="S211"/>
      <c r="T211"/>
    </row>
    <row r="212" spans="1:20" x14ac:dyDescent="0.25">
      <c r="A212" s="86" t="s">
        <v>1886</v>
      </c>
      <c r="B212" t="s">
        <v>156</v>
      </c>
      <c r="K212">
        <v>0</v>
      </c>
      <c r="N212" s="72" t="s">
        <v>1923</v>
      </c>
      <c r="O212" t="s">
        <v>23</v>
      </c>
      <c r="P212">
        <v>32</v>
      </c>
      <c r="Q212" s="131">
        <v>31157</v>
      </c>
      <c r="S212"/>
      <c r="T212"/>
    </row>
    <row r="213" spans="1:20" x14ac:dyDescent="0.25">
      <c r="A213" s="86" t="s">
        <v>2252</v>
      </c>
      <c r="B213" t="s">
        <v>156</v>
      </c>
      <c r="C213">
        <v>110</v>
      </c>
      <c r="D213">
        <v>111</v>
      </c>
      <c r="E213">
        <v>189</v>
      </c>
      <c r="K213">
        <v>410</v>
      </c>
      <c r="N213" s="72" t="s">
        <v>12</v>
      </c>
      <c r="O213" t="s">
        <v>23</v>
      </c>
      <c r="P213">
        <v>32</v>
      </c>
      <c r="Q213" s="131">
        <v>31313</v>
      </c>
      <c r="S213"/>
      <c r="T213"/>
    </row>
    <row r="214" spans="1:20" x14ac:dyDescent="0.25">
      <c r="A214" s="86" t="s">
        <v>2061</v>
      </c>
      <c r="B214" t="s">
        <v>160</v>
      </c>
      <c r="K214">
        <v>0</v>
      </c>
      <c r="N214" s="72" t="s">
        <v>38</v>
      </c>
      <c r="O214" t="s">
        <v>24</v>
      </c>
      <c r="P214">
        <v>41</v>
      </c>
      <c r="Q214" s="131" t="s">
        <v>2062</v>
      </c>
      <c r="S214"/>
      <c r="T214"/>
    </row>
    <row r="215" spans="1:20" x14ac:dyDescent="0.25">
      <c r="A215" s="86" t="s">
        <v>2117</v>
      </c>
      <c r="B215" t="s">
        <v>161</v>
      </c>
      <c r="E215">
        <v>117</v>
      </c>
      <c r="F215">
        <v>113</v>
      </c>
      <c r="K215">
        <v>230</v>
      </c>
      <c r="N215" s="72" t="s">
        <v>38</v>
      </c>
      <c r="O215" t="s">
        <v>24</v>
      </c>
      <c r="P215">
        <v>55</v>
      </c>
      <c r="Q215" s="131">
        <v>23042</v>
      </c>
      <c r="S215"/>
      <c r="T215"/>
    </row>
    <row r="216" spans="1:20" x14ac:dyDescent="0.25">
      <c r="A216" s="86" t="s">
        <v>552</v>
      </c>
      <c r="B216" t="s">
        <v>161</v>
      </c>
      <c r="K216">
        <v>0</v>
      </c>
      <c r="N216" s="72" t="s">
        <v>14</v>
      </c>
      <c r="O216" s="48" t="s">
        <v>24</v>
      </c>
      <c r="P216">
        <v>58</v>
      </c>
      <c r="S216"/>
      <c r="T216"/>
    </row>
    <row r="217" spans="1:20" x14ac:dyDescent="0.25">
      <c r="A217" s="86" t="s">
        <v>1792</v>
      </c>
      <c r="B217" t="s">
        <v>161</v>
      </c>
      <c r="C217">
        <v>116</v>
      </c>
      <c r="F217">
        <v>141</v>
      </c>
      <c r="K217">
        <v>257</v>
      </c>
      <c r="N217" s="72" t="s">
        <v>1805</v>
      </c>
      <c r="O217" t="s">
        <v>24</v>
      </c>
      <c r="P217">
        <v>56</v>
      </c>
      <c r="Q217" s="131">
        <v>22737</v>
      </c>
      <c r="S217"/>
      <c r="T217"/>
    </row>
    <row r="218" spans="1:20" x14ac:dyDescent="0.25">
      <c r="A218" s="86" t="s">
        <v>1422</v>
      </c>
      <c r="B218" t="s">
        <v>160</v>
      </c>
      <c r="K218">
        <v>0</v>
      </c>
      <c r="N218" s="72" t="s">
        <v>1401</v>
      </c>
      <c r="O218" t="s">
        <v>24</v>
      </c>
      <c r="P218">
        <v>41</v>
      </c>
      <c r="Q218" s="131">
        <v>27463</v>
      </c>
      <c r="S218"/>
      <c r="T218"/>
    </row>
    <row r="219" spans="1:20" x14ac:dyDescent="0.25">
      <c r="A219" s="86" t="s">
        <v>1872</v>
      </c>
      <c r="B219" t="s">
        <v>156</v>
      </c>
      <c r="K219">
        <v>0</v>
      </c>
      <c r="N219" s="72" t="s">
        <v>12</v>
      </c>
      <c r="O219" t="s">
        <v>23</v>
      </c>
      <c r="P219">
        <v>25</v>
      </c>
      <c r="Q219" s="131">
        <v>33418</v>
      </c>
      <c r="S219"/>
      <c r="T219"/>
    </row>
    <row r="220" spans="1:20" x14ac:dyDescent="0.25">
      <c r="A220" s="86" t="s">
        <v>1404</v>
      </c>
      <c r="B220" t="s">
        <v>67</v>
      </c>
      <c r="C220">
        <v>80</v>
      </c>
      <c r="D220">
        <v>91</v>
      </c>
      <c r="E220">
        <v>99</v>
      </c>
      <c r="F220">
        <v>72</v>
      </c>
      <c r="K220">
        <v>342</v>
      </c>
      <c r="N220" s="72" t="s">
        <v>155</v>
      </c>
      <c r="O220" t="s">
        <v>24</v>
      </c>
      <c r="P220">
        <v>21</v>
      </c>
      <c r="Q220" s="131">
        <v>35501</v>
      </c>
      <c r="S220"/>
      <c r="T220"/>
    </row>
    <row r="221" spans="1:20" x14ac:dyDescent="0.25">
      <c r="A221" s="86" t="s">
        <v>2138</v>
      </c>
      <c r="B221" t="s">
        <v>67</v>
      </c>
      <c r="C221">
        <v>65</v>
      </c>
      <c r="E221">
        <v>97</v>
      </c>
      <c r="F221">
        <v>74</v>
      </c>
      <c r="K221">
        <v>236</v>
      </c>
      <c r="N221" s="72" t="s">
        <v>63</v>
      </c>
      <c r="O221" t="s">
        <v>24</v>
      </c>
      <c r="P221">
        <v>25</v>
      </c>
      <c r="Q221" s="131">
        <v>34156</v>
      </c>
      <c r="S221"/>
      <c r="T221"/>
    </row>
    <row r="222" spans="1:20" x14ac:dyDescent="0.25">
      <c r="A222" s="86" t="s">
        <v>999</v>
      </c>
      <c r="B222" t="s">
        <v>162</v>
      </c>
      <c r="C222">
        <v>44</v>
      </c>
      <c r="D222">
        <v>39</v>
      </c>
      <c r="E222">
        <v>52</v>
      </c>
      <c r="F222">
        <v>45</v>
      </c>
      <c r="K222">
        <v>180</v>
      </c>
      <c r="N222" s="72" t="s">
        <v>12</v>
      </c>
      <c r="O222" s="48" t="s">
        <v>24</v>
      </c>
      <c r="P222">
        <v>63</v>
      </c>
      <c r="Q222" s="131">
        <v>20228</v>
      </c>
      <c r="S222"/>
      <c r="T222"/>
    </row>
    <row r="223" spans="1:20" x14ac:dyDescent="0.25">
      <c r="A223" s="86" t="s">
        <v>712</v>
      </c>
      <c r="B223" t="s">
        <v>156</v>
      </c>
      <c r="K223">
        <v>0</v>
      </c>
      <c r="N223" s="72" t="s">
        <v>656</v>
      </c>
      <c r="O223" t="s">
        <v>23</v>
      </c>
      <c r="P223">
        <v>30</v>
      </c>
      <c r="S223"/>
      <c r="T223"/>
    </row>
    <row r="224" spans="1:20" x14ac:dyDescent="0.25">
      <c r="A224" s="86" t="s">
        <v>1354</v>
      </c>
      <c r="B224" t="s">
        <v>157</v>
      </c>
      <c r="K224">
        <v>0</v>
      </c>
      <c r="N224" s="72" t="s">
        <v>38</v>
      </c>
      <c r="O224" t="s">
        <v>23</v>
      </c>
      <c r="P224">
        <v>35</v>
      </c>
      <c r="Q224" s="131">
        <v>29656</v>
      </c>
      <c r="S224"/>
      <c r="T224"/>
    </row>
    <row r="225" spans="1:20" x14ac:dyDescent="0.25">
      <c r="A225" s="86" t="s">
        <v>1449</v>
      </c>
      <c r="B225" t="s">
        <v>67</v>
      </c>
      <c r="K225">
        <v>0</v>
      </c>
      <c r="N225" s="72" t="s">
        <v>505</v>
      </c>
      <c r="O225" t="s">
        <v>24</v>
      </c>
      <c r="P225">
        <v>38</v>
      </c>
      <c r="Q225" s="131">
        <v>28491</v>
      </c>
      <c r="S225"/>
      <c r="T225"/>
    </row>
    <row r="226" spans="1:20" x14ac:dyDescent="0.25">
      <c r="A226" s="86" t="s">
        <v>1528</v>
      </c>
      <c r="B226" t="s">
        <v>67</v>
      </c>
      <c r="K226">
        <v>0</v>
      </c>
      <c r="N226" s="72" t="s">
        <v>1618</v>
      </c>
      <c r="O226" t="s">
        <v>24</v>
      </c>
      <c r="S226"/>
      <c r="T226"/>
    </row>
    <row r="227" spans="1:20" x14ac:dyDescent="0.25">
      <c r="A227" s="86" t="s">
        <v>1901</v>
      </c>
      <c r="B227" t="s">
        <v>160</v>
      </c>
      <c r="K227">
        <v>0</v>
      </c>
      <c r="N227" s="72" t="s">
        <v>505</v>
      </c>
      <c r="O227" s="48" t="s">
        <v>24</v>
      </c>
      <c r="P227">
        <v>48</v>
      </c>
      <c r="Q227" s="131">
        <v>25193</v>
      </c>
      <c r="S227"/>
      <c r="T227"/>
    </row>
    <row r="228" spans="1:20" x14ac:dyDescent="0.25">
      <c r="A228" s="86" t="s">
        <v>1833</v>
      </c>
      <c r="B228" t="s">
        <v>156</v>
      </c>
      <c r="C228">
        <v>10</v>
      </c>
      <c r="D228">
        <v>10</v>
      </c>
      <c r="E228">
        <v>18</v>
      </c>
      <c r="K228">
        <v>38</v>
      </c>
      <c r="N228" s="72" t="s">
        <v>108</v>
      </c>
      <c r="O228" t="s">
        <v>23</v>
      </c>
      <c r="P228">
        <v>34</v>
      </c>
      <c r="Q228" s="131">
        <v>30800</v>
      </c>
      <c r="S228"/>
      <c r="T228"/>
    </row>
    <row r="229" spans="1:20" x14ac:dyDescent="0.25">
      <c r="A229" s="86" t="s">
        <v>481</v>
      </c>
      <c r="B229" t="s">
        <v>161</v>
      </c>
      <c r="K229">
        <v>0</v>
      </c>
      <c r="N229" s="72" t="s">
        <v>155</v>
      </c>
      <c r="O229" t="s">
        <v>24</v>
      </c>
      <c r="P229">
        <v>54</v>
      </c>
      <c r="Q229" s="131">
        <v>22796</v>
      </c>
      <c r="S229"/>
      <c r="T229"/>
    </row>
    <row r="230" spans="1:20" x14ac:dyDescent="0.25">
      <c r="A230" s="86" t="s">
        <v>781</v>
      </c>
      <c r="B230" t="s">
        <v>161</v>
      </c>
      <c r="C230">
        <v>66</v>
      </c>
      <c r="D230">
        <v>56</v>
      </c>
      <c r="E230">
        <v>79</v>
      </c>
      <c r="F230">
        <v>81</v>
      </c>
      <c r="K230">
        <v>282</v>
      </c>
      <c r="N230" s="72" t="s">
        <v>12</v>
      </c>
      <c r="O230" t="s">
        <v>24</v>
      </c>
      <c r="P230">
        <v>55</v>
      </c>
      <c r="Q230" s="131">
        <v>23108</v>
      </c>
      <c r="S230"/>
      <c r="T230"/>
    </row>
    <row r="231" spans="1:20" x14ac:dyDescent="0.25">
      <c r="A231" s="86" t="s">
        <v>1896</v>
      </c>
      <c r="B231" t="s">
        <v>157</v>
      </c>
      <c r="E231">
        <v>65</v>
      </c>
      <c r="K231">
        <v>65</v>
      </c>
      <c r="N231" s="72" t="s">
        <v>505</v>
      </c>
      <c r="O231" t="s">
        <v>23</v>
      </c>
      <c r="P231">
        <v>39</v>
      </c>
      <c r="Q231" s="131">
        <v>29012</v>
      </c>
      <c r="S231"/>
      <c r="T231"/>
    </row>
    <row r="232" spans="1:20" x14ac:dyDescent="0.25">
      <c r="A232" s="86" t="s">
        <v>1850</v>
      </c>
      <c r="B232" t="s">
        <v>157</v>
      </c>
      <c r="K232">
        <v>0</v>
      </c>
      <c r="N232" s="72" t="s">
        <v>650</v>
      </c>
      <c r="O232" t="s">
        <v>23</v>
      </c>
      <c r="P232">
        <v>40</v>
      </c>
      <c r="Q232" s="131">
        <v>28045</v>
      </c>
      <c r="S232"/>
      <c r="T232"/>
    </row>
    <row r="233" spans="1:20" x14ac:dyDescent="0.25">
      <c r="A233" s="86" t="s">
        <v>496</v>
      </c>
      <c r="B233" t="s">
        <v>158</v>
      </c>
      <c r="K233">
        <v>0</v>
      </c>
      <c r="N233" s="72" t="s">
        <v>38</v>
      </c>
      <c r="O233" t="s">
        <v>23</v>
      </c>
      <c r="P233">
        <v>50</v>
      </c>
      <c r="S233"/>
      <c r="T233"/>
    </row>
    <row r="234" spans="1:20" x14ac:dyDescent="0.25">
      <c r="A234" s="86" t="s">
        <v>1885</v>
      </c>
      <c r="B234" t="s">
        <v>158</v>
      </c>
      <c r="K234">
        <v>0</v>
      </c>
      <c r="N234" s="72" t="s">
        <v>154</v>
      </c>
      <c r="O234" t="s">
        <v>23</v>
      </c>
      <c r="P234">
        <v>50</v>
      </c>
      <c r="Q234" s="131">
        <v>24458</v>
      </c>
      <c r="S234"/>
      <c r="T234"/>
    </row>
    <row r="235" spans="1:20" x14ac:dyDescent="0.25">
      <c r="A235" s="86" t="s">
        <v>1405</v>
      </c>
      <c r="B235" t="s">
        <v>159</v>
      </c>
      <c r="D235">
        <v>93</v>
      </c>
      <c r="F235">
        <v>89</v>
      </c>
      <c r="K235">
        <v>182</v>
      </c>
      <c r="N235" s="72" t="s">
        <v>155</v>
      </c>
      <c r="O235" t="s">
        <v>23</v>
      </c>
      <c r="P235">
        <v>55</v>
      </c>
      <c r="Q235" s="131">
        <v>22951</v>
      </c>
      <c r="S235"/>
      <c r="T235"/>
    </row>
    <row r="236" spans="1:20" x14ac:dyDescent="0.25">
      <c r="A236" s="86" t="s">
        <v>194</v>
      </c>
      <c r="B236" t="s">
        <v>158</v>
      </c>
      <c r="K236">
        <v>0</v>
      </c>
      <c r="N236" s="72" t="s">
        <v>108</v>
      </c>
      <c r="O236" t="s">
        <v>23</v>
      </c>
      <c r="P236">
        <v>46</v>
      </c>
      <c r="Q236" s="131">
        <v>26149</v>
      </c>
      <c r="S236"/>
      <c r="T236"/>
    </row>
    <row r="237" spans="1:20" x14ac:dyDescent="0.25">
      <c r="A237" s="86" t="s">
        <v>1346</v>
      </c>
      <c r="B237" t="s">
        <v>159</v>
      </c>
      <c r="K237">
        <v>0</v>
      </c>
      <c r="N237" s="72" t="s">
        <v>38</v>
      </c>
      <c r="O237" t="s">
        <v>23</v>
      </c>
      <c r="P237">
        <v>59</v>
      </c>
      <c r="Q237" s="131">
        <v>21105</v>
      </c>
      <c r="S237"/>
      <c r="T237"/>
    </row>
    <row r="238" spans="1:20" x14ac:dyDescent="0.25">
      <c r="A238" s="86" t="s">
        <v>987</v>
      </c>
      <c r="B238" t="s">
        <v>158</v>
      </c>
      <c r="K238">
        <v>0</v>
      </c>
      <c r="N238" s="72" t="s">
        <v>14</v>
      </c>
      <c r="O238" t="s">
        <v>23</v>
      </c>
      <c r="P238">
        <v>53</v>
      </c>
      <c r="S238"/>
      <c r="T238"/>
    </row>
    <row r="239" spans="1:20" x14ac:dyDescent="0.25">
      <c r="A239" s="86" t="s">
        <v>384</v>
      </c>
      <c r="B239" t="s">
        <v>159</v>
      </c>
      <c r="K239">
        <v>0</v>
      </c>
      <c r="N239" s="72" t="s">
        <v>155</v>
      </c>
      <c r="O239" t="s">
        <v>23</v>
      </c>
      <c r="P239">
        <v>55</v>
      </c>
      <c r="S239"/>
      <c r="T239"/>
    </row>
    <row r="240" spans="1:20" x14ac:dyDescent="0.25">
      <c r="A240" s="86" t="s">
        <v>2124</v>
      </c>
      <c r="B240" t="s">
        <v>157</v>
      </c>
      <c r="C240">
        <v>4</v>
      </c>
      <c r="D240">
        <v>8</v>
      </c>
      <c r="E240">
        <v>4</v>
      </c>
      <c r="F240">
        <v>4</v>
      </c>
      <c r="K240">
        <v>20</v>
      </c>
      <c r="N240" s="72" t="s">
        <v>12</v>
      </c>
      <c r="O240" t="s">
        <v>23</v>
      </c>
      <c r="P240">
        <v>40</v>
      </c>
      <c r="Q240" s="131">
        <v>28378</v>
      </c>
      <c r="S240"/>
      <c r="T240"/>
    </row>
    <row r="241" spans="1:20" x14ac:dyDescent="0.25">
      <c r="A241" s="86" t="s">
        <v>1510</v>
      </c>
      <c r="B241" t="s">
        <v>157</v>
      </c>
      <c r="C241">
        <v>64</v>
      </c>
      <c r="K241">
        <v>64</v>
      </c>
      <c r="N241" s="72" t="s">
        <v>12</v>
      </c>
      <c r="O241" t="s">
        <v>23</v>
      </c>
      <c r="P241">
        <v>35</v>
      </c>
      <c r="Q241" s="131">
        <v>30079</v>
      </c>
      <c r="S241"/>
      <c r="T241"/>
    </row>
    <row r="242" spans="1:20" x14ac:dyDescent="0.25">
      <c r="A242" s="86" t="s">
        <v>258</v>
      </c>
      <c r="B242" t="s">
        <v>159</v>
      </c>
      <c r="C242">
        <v>60</v>
      </c>
      <c r="D242">
        <v>46</v>
      </c>
      <c r="E242">
        <v>84</v>
      </c>
      <c r="F242">
        <v>49</v>
      </c>
      <c r="K242">
        <v>239</v>
      </c>
      <c r="N242" s="72" t="s">
        <v>12</v>
      </c>
      <c r="O242" t="s">
        <v>23</v>
      </c>
      <c r="P242">
        <v>56</v>
      </c>
      <c r="Q242" s="131">
        <v>22659</v>
      </c>
      <c r="S242"/>
      <c r="T242"/>
    </row>
    <row r="243" spans="1:20" x14ac:dyDescent="0.25">
      <c r="A243" s="86" t="s">
        <v>2248</v>
      </c>
      <c r="B243" t="s">
        <v>158</v>
      </c>
      <c r="C243">
        <v>95</v>
      </c>
      <c r="E243">
        <v>152</v>
      </c>
      <c r="K243">
        <v>247</v>
      </c>
      <c r="N243" s="72" t="s">
        <v>154</v>
      </c>
      <c r="O243" t="s">
        <v>23</v>
      </c>
      <c r="P243">
        <v>53</v>
      </c>
      <c r="Q243" s="131">
        <v>23641</v>
      </c>
      <c r="S243"/>
      <c r="T243"/>
    </row>
    <row r="244" spans="1:20" x14ac:dyDescent="0.25">
      <c r="A244" s="86" t="s">
        <v>1704</v>
      </c>
      <c r="B244" t="s">
        <v>158</v>
      </c>
      <c r="K244">
        <v>0</v>
      </c>
      <c r="N244" s="72" t="s">
        <v>155</v>
      </c>
      <c r="O244" t="s">
        <v>23</v>
      </c>
      <c r="P244">
        <v>52</v>
      </c>
      <c r="Q244" s="131" t="s">
        <v>1731</v>
      </c>
      <c r="S244"/>
      <c r="T244"/>
    </row>
    <row r="245" spans="1:20" x14ac:dyDescent="0.25">
      <c r="A245" s="86" t="s">
        <v>2066</v>
      </c>
      <c r="B245" t="s">
        <v>156</v>
      </c>
      <c r="K245">
        <v>0</v>
      </c>
      <c r="N245" s="72" t="s">
        <v>505</v>
      </c>
      <c r="O245" t="s">
        <v>23</v>
      </c>
      <c r="P245">
        <v>34</v>
      </c>
      <c r="Q245" s="131" t="s">
        <v>2067</v>
      </c>
      <c r="S245"/>
      <c r="T245"/>
    </row>
    <row r="246" spans="1:20" x14ac:dyDescent="0.25">
      <c r="A246" s="86" t="s">
        <v>2359</v>
      </c>
      <c r="B246" t="s">
        <v>156</v>
      </c>
      <c r="E246">
        <v>67</v>
      </c>
      <c r="K246">
        <v>67</v>
      </c>
      <c r="N246" s="72" t="s">
        <v>63</v>
      </c>
      <c r="O246" t="s">
        <v>23</v>
      </c>
      <c r="P246">
        <v>23</v>
      </c>
      <c r="Q246" s="131">
        <v>34584</v>
      </c>
      <c r="S246"/>
      <c r="T246"/>
    </row>
    <row r="247" spans="1:20" x14ac:dyDescent="0.25">
      <c r="A247" s="86" t="s">
        <v>1835</v>
      </c>
      <c r="B247" t="s">
        <v>156</v>
      </c>
      <c r="D247">
        <v>50</v>
      </c>
      <c r="F247">
        <v>42</v>
      </c>
      <c r="K247">
        <v>92</v>
      </c>
      <c r="N247" s="72" t="s">
        <v>155</v>
      </c>
      <c r="O247" t="s">
        <v>23</v>
      </c>
      <c r="P247">
        <v>27</v>
      </c>
      <c r="Q247" s="131">
        <v>33126</v>
      </c>
      <c r="S247"/>
      <c r="T247"/>
    </row>
    <row r="248" spans="1:20" x14ac:dyDescent="0.25">
      <c r="A248" s="86" t="s">
        <v>1658</v>
      </c>
      <c r="B248" t="s">
        <v>156</v>
      </c>
      <c r="K248">
        <v>0</v>
      </c>
      <c r="N248" s="72" t="s">
        <v>817</v>
      </c>
      <c r="O248" t="s">
        <v>23</v>
      </c>
      <c r="P248">
        <v>15</v>
      </c>
      <c r="S248"/>
      <c r="T248"/>
    </row>
    <row r="249" spans="1:20" x14ac:dyDescent="0.25">
      <c r="A249" s="86" t="s">
        <v>858</v>
      </c>
      <c r="B249" t="s">
        <v>158</v>
      </c>
      <c r="K249">
        <v>0</v>
      </c>
      <c r="N249" s="72" t="s">
        <v>155</v>
      </c>
      <c r="O249" t="s">
        <v>23</v>
      </c>
      <c r="P249">
        <v>53</v>
      </c>
      <c r="Q249" s="131">
        <v>23189</v>
      </c>
      <c r="S249"/>
      <c r="T249"/>
    </row>
    <row r="250" spans="1:20" x14ac:dyDescent="0.25">
      <c r="A250" s="86" t="s">
        <v>714</v>
      </c>
      <c r="B250" t="s">
        <v>156</v>
      </c>
      <c r="K250">
        <v>0</v>
      </c>
      <c r="N250" s="72" t="s">
        <v>14</v>
      </c>
      <c r="O250" t="s">
        <v>23</v>
      </c>
      <c r="P250">
        <v>30</v>
      </c>
      <c r="S250"/>
      <c r="T250"/>
    </row>
    <row r="251" spans="1:20" x14ac:dyDescent="0.25">
      <c r="A251" s="86" t="s">
        <v>1182</v>
      </c>
      <c r="B251" t="s">
        <v>159</v>
      </c>
      <c r="C251">
        <v>45</v>
      </c>
      <c r="D251">
        <v>28</v>
      </c>
      <c r="E251">
        <v>63</v>
      </c>
      <c r="F251">
        <v>34</v>
      </c>
      <c r="K251">
        <v>170</v>
      </c>
      <c r="N251" s="72" t="s">
        <v>63</v>
      </c>
      <c r="O251" t="s">
        <v>23</v>
      </c>
      <c r="P251">
        <v>64</v>
      </c>
      <c r="Q251" s="131">
        <v>19834</v>
      </c>
      <c r="S251"/>
      <c r="T251"/>
    </row>
    <row r="252" spans="1:20" x14ac:dyDescent="0.25">
      <c r="A252" s="86" t="s">
        <v>807</v>
      </c>
      <c r="B252" t="s">
        <v>156</v>
      </c>
      <c r="K252">
        <v>0</v>
      </c>
      <c r="N252" s="72" t="s">
        <v>155</v>
      </c>
      <c r="O252" t="s">
        <v>23</v>
      </c>
      <c r="P252">
        <v>32</v>
      </c>
      <c r="S252"/>
      <c r="T252"/>
    </row>
    <row r="253" spans="1:20" x14ac:dyDescent="0.25">
      <c r="A253" s="86" t="s">
        <v>1884</v>
      </c>
      <c r="B253" t="s">
        <v>157</v>
      </c>
      <c r="E253">
        <v>104</v>
      </c>
      <c r="F253">
        <v>64</v>
      </c>
      <c r="K253">
        <v>168</v>
      </c>
      <c r="N253" s="72" t="s">
        <v>12</v>
      </c>
      <c r="O253" t="s">
        <v>23</v>
      </c>
      <c r="P253">
        <v>43</v>
      </c>
      <c r="Q253" s="131">
        <v>27328</v>
      </c>
      <c r="S253"/>
      <c r="T253"/>
    </row>
    <row r="254" spans="1:20" x14ac:dyDescent="0.25">
      <c r="A254" s="86" t="s">
        <v>1327</v>
      </c>
      <c r="B254" t="s">
        <v>156</v>
      </c>
      <c r="K254">
        <v>0</v>
      </c>
      <c r="N254" s="72" t="s">
        <v>12</v>
      </c>
      <c r="O254" t="s">
        <v>23</v>
      </c>
      <c r="P254">
        <v>28</v>
      </c>
      <c r="S254"/>
      <c r="T254"/>
    </row>
    <row r="255" spans="1:20" x14ac:dyDescent="0.25">
      <c r="A255" s="86" t="s">
        <v>441</v>
      </c>
      <c r="B255" t="s">
        <v>156</v>
      </c>
      <c r="K255">
        <v>0</v>
      </c>
      <c r="N255" s="72" t="s">
        <v>63</v>
      </c>
      <c r="O255" t="s">
        <v>23</v>
      </c>
      <c r="P255">
        <v>32</v>
      </c>
      <c r="Q255" s="131" t="s">
        <v>2050</v>
      </c>
      <c r="S255"/>
      <c r="T255"/>
    </row>
    <row r="256" spans="1:20" x14ac:dyDescent="0.25">
      <c r="A256" s="86" t="s">
        <v>2147</v>
      </c>
      <c r="B256" t="s">
        <v>156</v>
      </c>
      <c r="C256">
        <v>28</v>
      </c>
      <c r="E256">
        <v>60</v>
      </c>
      <c r="F256">
        <v>35</v>
      </c>
      <c r="K256">
        <v>123</v>
      </c>
      <c r="N256" s="72" t="s">
        <v>63</v>
      </c>
      <c r="O256" t="s">
        <v>23</v>
      </c>
      <c r="P256">
        <v>25</v>
      </c>
      <c r="Q256" s="131">
        <v>34053</v>
      </c>
      <c r="S256"/>
      <c r="T256"/>
    </row>
    <row r="257" spans="1:20" x14ac:dyDescent="0.25">
      <c r="A257" s="86" t="s">
        <v>2222</v>
      </c>
      <c r="B257" t="s">
        <v>156</v>
      </c>
      <c r="C257">
        <v>30</v>
      </c>
      <c r="E257">
        <v>38</v>
      </c>
      <c r="K257">
        <v>68</v>
      </c>
      <c r="N257" s="72" t="s">
        <v>1805</v>
      </c>
      <c r="O257" t="s">
        <v>23</v>
      </c>
      <c r="P257">
        <v>28</v>
      </c>
      <c r="Q257" s="131">
        <v>32741</v>
      </c>
      <c r="S257"/>
      <c r="T257"/>
    </row>
    <row r="258" spans="1:20" x14ac:dyDescent="0.25">
      <c r="A258" s="86" t="s">
        <v>1994</v>
      </c>
      <c r="B258" t="s">
        <v>67</v>
      </c>
      <c r="K258">
        <v>0</v>
      </c>
      <c r="N258" s="72" t="s">
        <v>657</v>
      </c>
      <c r="O258" t="s">
        <v>24</v>
      </c>
      <c r="S258"/>
      <c r="T258"/>
    </row>
    <row r="259" spans="1:20" x14ac:dyDescent="0.25">
      <c r="A259" s="86" t="s">
        <v>308</v>
      </c>
      <c r="B259" t="s">
        <v>67</v>
      </c>
      <c r="K259">
        <v>0</v>
      </c>
      <c r="N259" s="72" t="s">
        <v>43</v>
      </c>
      <c r="O259" t="s">
        <v>24</v>
      </c>
      <c r="P259">
        <v>29</v>
      </c>
      <c r="S259"/>
      <c r="T259"/>
    </row>
    <row r="260" spans="1:20" x14ac:dyDescent="0.25">
      <c r="A260" s="86" t="s">
        <v>859</v>
      </c>
      <c r="B260" t="s">
        <v>156</v>
      </c>
      <c r="K260">
        <v>0</v>
      </c>
      <c r="N260" s="72" t="s">
        <v>155</v>
      </c>
      <c r="O260" t="s">
        <v>23</v>
      </c>
      <c r="P260">
        <v>27</v>
      </c>
      <c r="Q260" s="131">
        <v>33097</v>
      </c>
      <c r="S260"/>
      <c r="T260"/>
    </row>
    <row r="261" spans="1:20" x14ac:dyDescent="0.25">
      <c r="A261" s="86" t="s">
        <v>2293</v>
      </c>
      <c r="B261" t="s">
        <v>156</v>
      </c>
      <c r="D261">
        <v>68</v>
      </c>
      <c r="E261">
        <v>123</v>
      </c>
      <c r="K261">
        <v>191</v>
      </c>
      <c r="N261" s="72" t="s">
        <v>38</v>
      </c>
      <c r="O261" t="s">
        <v>23</v>
      </c>
      <c r="P261">
        <v>26</v>
      </c>
      <c r="Q261" s="131">
        <v>33558</v>
      </c>
      <c r="S261"/>
      <c r="T261"/>
    </row>
    <row r="262" spans="1:20" x14ac:dyDescent="0.25">
      <c r="A262" s="86" t="s">
        <v>1480</v>
      </c>
      <c r="B262" t="s">
        <v>156</v>
      </c>
      <c r="K262">
        <v>0</v>
      </c>
      <c r="N262" s="72" t="s">
        <v>505</v>
      </c>
      <c r="O262" t="s">
        <v>23</v>
      </c>
      <c r="P262">
        <v>22</v>
      </c>
      <c r="Q262" s="131">
        <v>34287</v>
      </c>
      <c r="S262"/>
      <c r="T262"/>
    </row>
    <row r="263" spans="1:20" x14ac:dyDescent="0.25">
      <c r="A263" s="86" t="s">
        <v>1899</v>
      </c>
      <c r="B263" t="s">
        <v>156</v>
      </c>
      <c r="K263">
        <v>0</v>
      </c>
      <c r="N263" s="72" t="s">
        <v>43</v>
      </c>
      <c r="O263" t="s">
        <v>23</v>
      </c>
      <c r="P263">
        <v>27</v>
      </c>
      <c r="Q263" s="131">
        <v>32798</v>
      </c>
      <c r="S263"/>
      <c r="T263"/>
    </row>
    <row r="264" spans="1:20" x14ac:dyDescent="0.25">
      <c r="A264" s="86" t="s">
        <v>1461</v>
      </c>
      <c r="B264" t="s">
        <v>156</v>
      </c>
      <c r="K264">
        <v>0</v>
      </c>
      <c r="N264" s="72" t="s">
        <v>1499</v>
      </c>
      <c r="O264" t="s">
        <v>23</v>
      </c>
      <c r="P264">
        <v>28</v>
      </c>
      <c r="Q264" s="131">
        <v>31964</v>
      </c>
      <c r="S264"/>
      <c r="T264"/>
    </row>
    <row r="265" spans="1:20" x14ac:dyDescent="0.25">
      <c r="A265" s="86" t="s">
        <v>1486</v>
      </c>
      <c r="B265" t="s">
        <v>158</v>
      </c>
      <c r="K265">
        <v>0</v>
      </c>
      <c r="N265" s="72" t="s">
        <v>63</v>
      </c>
      <c r="O265" t="s">
        <v>23</v>
      </c>
      <c r="P265">
        <v>47</v>
      </c>
      <c r="Q265" s="131">
        <v>25030</v>
      </c>
      <c r="S265"/>
      <c r="T265"/>
    </row>
    <row r="266" spans="1:20" x14ac:dyDescent="0.25">
      <c r="A266" s="86" t="s">
        <v>1120</v>
      </c>
      <c r="B266" t="s">
        <v>67</v>
      </c>
      <c r="K266">
        <v>0</v>
      </c>
      <c r="N266" s="72" t="s">
        <v>12</v>
      </c>
      <c r="O266" t="s">
        <v>24</v>
      </c>
      <c r="P266">
        <v>29</v>
      </c>
      <c r="S266"/>
      <c r="T266"/>
    </row>
    <row r="267" spans="1:20" x14ac:dyDescent="0.25">
      <c r="A267" s="86" t="s">
        <v>1917</v>
      </c>
      <c r="B267" t="s">
        <v>157</v>
      </c>
      <c r="K267">
        <v>0</v>
      </c>
      <c r="N267" s="72" t="s">
        <v>63</v>
      </c>
      <c r="O267" t="s">
        <v>23</v>
      </c>
      <c r="P267">
        <v>36</v>
      </c>
      <c r="Q267" s="131">
        <v>29556</v>
      </c>
      <c r="S267"/>
      <c r="T267"/>
    </row>
    <row r="268" spans="1:20" x14ac:dyDescent="0.25">
      <c r="A268" s="86" t="s">
        <v>2459</v>
      </c>
      <c r="B268" t="s">
        <v>160</v>
      </c>
      <c r="F268">
        <v>122</v>
      </c>
      <c r="K268">
        <v>122</v>
      </c>
      <c r="N268" s="72" t="s">
        <v>63</v>
      </c>
      <c r="O268" t="s">
        <v>24</v>
      </c>
      <c r="P268">
        <v>43</v>
      </c>
      <c r="Q268" s="131">
        <v>27543</v>
      </c>
      <c r="S268"/>
      <c r="T268"/>
    </row>
    <row r="269" spans="1:20" x14ac:dyDescent="0.25">
      <c r="A269" s="86" t="s">
        <v>1589</v>
      </c>
      <c r="B269" t="s">
        <v>156</v>
      </c>
      <c r="C269">
        <v>21</v>
      </c>
      <c r="E269">
        <v>27</v>
      </c>
      <c r="K269">
        <v>48</v>
      </c>
      <c r="N269" s="72" t="s">
        <v>12</v>
      </c>
      <c r="O269" t="s">
        <v>23</v>
      </c>
      <c r="P269">
        <v>28</v>
      </c>
      <c r="Q269" s="131">
        <v>32941</v>
      </c>
      <c r="S269"/>
      <c r="T269"/>
    </row>
    <row r="270" spans="1:20" x14ac:dyDescent="0.25">
      <c r="A270" s="86" t="s">
        <v>1910</v>
      </c>
      <c r="B270" t="s">
        <v>156</v>
      </c>
      <c r="C270">
        <v>24</v>
      </c>
      <c r="K270">
        <v>24</v>
      </c>
      <c r="N270" s="72" t="s">
        <v>154</v>
      </c>
      <c r="O270" t="s">
        <v>23</v>
      </c>
      <c r="P270">
        <v>28</v>
      </c>
      <c r="Q270" s="131">
        <v>32429</v>
      </c>
      <c r="S270"/>
      <c r="T270"/>
    </row>
    <row r="271" spans="1:20" x14ac:dyDescent="0.25">
      <c r="A271" s="86" t="s">
        <v>1920</v>
      </c>
      <c r="B271" t="s">
        <v>157</v>
      </c>
      <c r="E271">
        <v>146</v>
      </c>
      <c r="F271">
        <v>83</v>
      </c>
      <c r="K271">
        <v>229</v>
      </c>
      <c r="N271" s="72" t="s">
        <v>154</v>
      </c>
      <c r="O271" t="s">
        <v>23</v>
      </c>
      <c r="P271">
        <v>39</v>
      </c>
      <c r="Q271" s="131">
        <v>28873</v>
      </c>
      <c r="S271"/>
      <c r="T271"/>
    </row>
    <row r="272" spans="1:20" x14ac:dyDescent="0.25">
      <c r="A272" s="86" t="s">
        <v>1961</v>
      </c>
      <c r="B272" t="s">
        <v>160</v>
      </c>
      <c r="K272">
        <v>0</v>
      </c>
      <c r="N272" s="72" t="s">
        <v>2007</v>
      </c>
      <c r="O272" t="s">
        <v>24</v>
      </c>
      <c r="S272"/>
      <c r="T272"/>
    </row>
    <row r="273" spans="1:20" x14ac:dyDescent="0.25">
      <c r="A273" s="86" t="s">
        <v>2471</v>
      </c>
      <c r="B273" t="s">
        <v>67</v>
      </c>
      <c r="F273">
        <v>64</v>
      </c>
      <c r="K273">
        <v>64</v>
      </c>
      <c r="N273" s="72" t="s">
        <v>14</v>
      </c>
      <c r="O273" t="s">
        <v>24</v>
      </c>
      <c r="P273">
        <v>33</v>
      </c>
      <c r="S273"/>
      <c r="T273"/>
    </row>
    <row r="274" spans="1:20" x14ac:dyDescent="0.25">
      <c r="A274" s="86" t="s">
        <v>2022</v>
      </c>
      <c r="B274" t="s">
        <v>161</v>
      </c>
      <c r="K274">
        <v>0</v>
      </c>
      <c r="N274" s="72" t="s">
        <v>117</v>
      </c>
      <c r="O274" t="s">
        <v>24</v>
      </c>
      <c r="P274">
        <v>51</v>
      </c>
      <c r="Q274" s="131">
        <v>24170</v>
      </c>
      <c r="S274"/>
      <c r="T274"/>
    </row>
    <row r="275" spans="1:20" x14ac:dyDescent="0.25">
      <c r="A275" s="86" t="s">
        <v>1408</v>
      </c>
      <c r="B275" t="s">
        <v>67</v>
      </c>
      <c r="C275">
        <v>147</v>
      </c>
      <c r="F275">
        <v>163</v>
      </c>
      <c r="K275">
        <v>310</v>
      </c>
      <c r="N275" s="72" t="s">
        <v>63</v>
      </c>
      <c r="O275" t="s">
        <v>24</v>
      </c>
      <c r="P275">
        <v>31</v>
      </c>
      <c r="Q275" s="131">
        <v>31758</v>
      </c>
      <c r="S275"/>
      <c r="T275"/>
    </row>
    <row r="276" spans="1:20" x14ac:dyDescent="0.25">
      <c r="A276" s="86" t="s">
        <v>1143</v>
      </c>
      <c r="B276" t="s">
        <v>161</v>
      </c>
      <c r="K276">
        <v>0</v>
      </c>
      <c r="N276" s="72" t="s">
        <v>43</v>
      </c>
      <c r="O276" t="s">
        <v>24</v>
      </c>
      <c r="P276">
        <v>51</v>
      </c>
      <c r="Q276" s="131">
        <v>24370</v>
      </c>
      <c r="S276"/>
      <c r="T276"/>
    </row>
    <row r="277" spans="1:20" x14ac:dyDescent="0.25">
      <c r="A277" s="86" t="s">
        <v>2381</v>
      </c>
      <c r="B277" t="s">
        <v>161</v>
      </c>
      <c r="E277">
        <v>187</v>
      </c>
      <c r="K277">
        <v>187</v>
      </c>
      <c r="N277" s="72" t="s">
        <v>12</v>
      </c>
      <c r="O277" t="s">
        <v>24</v>
      </c>
      <c r="P277">
        <v>57</v>
      </c>
      <c r="Q277" s="131">
        <v>22184</v>
      </c>
      <c r="S277"/>
      <c r="T277"/>
    </row>
    <row r="278" spans="1:20" x14ac:dyDescent="0.25">
      <c r="A278" s="86" t="s">
        <v>750</v>
      </c>
      <c r="B278" t="s">
        <v>67</v>
      </c>
      <c r="K278">
        <v>0</v>
      </c>
      <c r="N278" s="72" t="s">
        <v>63</v>
      </c>
      <c r="O278" t="s">
        <v>24</v>
      </c>
      <c r="P278">
        <v>30</v>
      </c>
      <c r="S278"/>
      <c r="T278"/>
    </row>
    <row r="279" spans="1:20" x14ac:dyDescent="0.25">
      <c r="A279" s="86" t="s">
        <v>775</v>
      </c>
      <c r="B279" t="s">
        <v>67</v>
      </c>
      <c r="K279">
        <v>0</v>
      </c>
      <c r="N279" s="72" t="s">
        <v>657</v>
      </c>
      <c r="O279" t="s">
        <v>24</v>
      </c>
      <c r="P279">
        <v>39</v>
      </c>
      <c r="S279"/>
      <c r="T279"/>
    </row>
    <row r="280" spans="1:20" x14ac:dyDescent="0.25">
      <c r="A280" s="86" t="s">
        <v>1563</v>
      </c>
      <c r="B280" t="s">
        <v>67</v>
      </c>
      <c r="K280">
        <v>0</v>
      </c>
      <c r="N280" s="72" t="s">
        <v>1618</v>
      </c>
      <c r="O280" t="s">
        <v>24</v>
      </c>
      <c r="S280"/>
      <c r="T280"/>
    </row>
    <row r="281" spans="1:20" x14ac:dyDescent="0.25">
      <c r="A281" s="86" t="s">
        <v>1399</v>
      </c>
      <c r="B281" t="s">
        <v>67</v>
      </c>
      <c r="K281">
        <v>0</v>
      </c>
      <c r="N281" s="72" t="s">
        <v>12</v>
      </c>
      <c r="O281" t="s">
        <v>24</v>
      </c>
      <c r="P281">
        <v>34</v>
      </c>
      <c r="Q281" s="131">
        <v>29782</v>
      </c>
      <c r="S281"/>
      <c r="T281"/>
    </row>
    <row r="282" spans="1:20" x14ac:dyDescent="0.25">
      <c r="A282" s="86" t="s">
        <v>603</v>
      </c>
      <c r="B282" t="s">
        <v>67</v>
      </c>
      <c r="K282">
        <v>0</v>
      </c>
      <c r="N282" s="72" t="s">
        <v>154</v>
      </c>
      <c r="O282" t="s">
        <v>24</v>
      </c>
      <c r="P282">
        <v>30</v>
      </c>
      <c r="S282"/>
      <c r="T282"/>
    </row>
    <row r="283" spans="1:20" x14ac:dyDescent="0.25">
      <c r="A283" s="86" t="s">
        <v>219</v>
      </c>
      <c r="B283" t="s">
        <v>160</v>
      </c>
      <c r="K283">
        <v>0</v>
      </c>
      <c r="N283" s="72" t="s">
        <v>38</v>
      </c>
      <c r="O283" t="s">
        <v>24</v>
      </c>
      <c r="P283">
        <v>40</v>
      </c>
      <c r="Q283" s="131">
        <v>28145</v>
      </c>
      <c r="S283"/>
      <c r="T283"/>
    </row>
    <row r="284" spans="1:20" x14ac:dyDescent="0.25">
      <c r="A284" s="86" t="s">
        <v>941</v>
      </c>
      <c r="B284" t="s">
        <v>67</v>
      </c>
      <c r="K284">
        <v>0</v>
      </c>
      <c r="N284" s="72" t="s">
        <v>653</v>
      </c>
      <c r="O284" t="s">
        <v>24</v>
      </c>
      <c r="P284">
        <v>37</v>
      </c>
      <c r="S284"/>
      <c r="T284"/>
    </row>
    <row r="285" spans="1:20" x14ac:dyDescent="0.25">
      <c r="A285" s="86" t="s">
        <v>1069</v>
      </c>
      <c r="B285" t="s">
        <v>67</v>
      </c>
      <c r="K285">
        <v>0</v>
      </c>
      <c r="N285" s="72" t="s">
        <v>12</v>
      </c>
      <c r="O285" t="s">
        <v>24</v>
      </c>
      <c r="P285">
        <v>35</v>
      </c>
      <c r="S285"/>
      <c r="T285"/>
    </row>
    <row r="286" spans="1:20" x14ac:dyDescent="0.25">
      <c r="A286" s="86" t="s">
        <v>1073</v>
      </c>
      <c r="B286" t="s">
        <v>67</v>
      </c>
      <c r="K286">
        <v>0</v>
      </c>
      <c r="N286" s="72" t="s">
        <v>12</v>
      </c>
      <c r="O286" t="s">
        <v>24</v>
      </c>
      <c r="P286">
        <v>27</v>
      </c>
      <c r="Q286" s="131">
        <v>32669</v>
      </c>
      <c r="S286"/>
      <c r="T286"/>
    </row>
    <row r="287" spans="1:20" x14ac:dyDescent="0.25">
      <c r="A287" s="86" t="s">
        <v>200</v>
      </c>
      <c r="B287" t="s">
        <v>158</v>
      </c>
      <c r="K287">
        <v>0</v>
      </c>
      <c r="N287" s="72" t="s">
        <v>38</v>
      </c>
      <c r="O287" t="s">
        <v>23</v>
      </c>
      <c r="P287">
        <v>45</v>
      </c>
      <c r="Q287" s="131">
        <v>26109</v>
      </c>
      <c r="S287"/>
      <c r="T287"/>
    </row>
    <row r="288" spans="1:20" x14ac:dyDescent="0.25">
      <c r="A288" s="86" t="s">
        <v>387</v>
      </c>
      <c r="B288" t="s">
        <v>158</v>
      </c>
      <c r="K288">
        <v>0</v>
      </c>
      <c r="N288" s="72" t="s">
        <v>38</v>
      </c>
      <c r="O288" t="s">
        <v>23</v>
      </c>
      <c r="P288">
        <v>50</v>
      </c>
      <c r="Q288" s="131">
        <v>24399</v>
      </c>
      <c r="S288"/>
      <c r="T288"/>
    </row>
    <row r="289" spans="1:20" x14ac:dyDescent="0.25">
      <c r="A289" s="86" t="s">
        <v>1979</v>
      </c>
      <c r="B289" t="s">
        <v>157</v>
      </c>
      <c r="K289">
        <v>0</v>
      </c>
      <c r="N289" s="72" t="s">
        <v>154</v>
      </c>
      <c r="O289" t="s">
        <v>23</v>
      </c>
      <c r="S289"/>
      <c r="T289"/>
    </row>
    <row r="290" spans="1:20" x14ac:dyDescent="0.25">
      <c r="A290" s="86" t="s">
        <v>509</v>
      </c>
      <c r="B290" t="s">
        <v>159</v>
      </c>
      <c r="D290">
        <v>84</v>
      </c>
      <c r="F290">
        <v>77</v>
      </c>
      <c r="K290">
        <v>161</v>
      </c>
      <c r="N290" s="72" t="s">
        <v>154</v>
      </c>
      <c r="O290" t="s">
        <v>23</v>
      </c>
      <c r="P290">
        <v>60</v>
      </c>
      <c r="Q290" s="131">
        <v>21261</v>
      </c>
      <c r="S290"/>
      <c r="T290"/>
    </row>
    <row r="291" spans="1:20" x14ac:dyDescent="0.25">
      <c r="A291" s="86" t="s">
        <v>1176</v>
      </c>
      <c r="B291" t="s">
        <v>158</v>
      </c>
      <c r="K291">
        <v>0</v>
      </c>
      <c r="N291" s="72" t="s">
        <v>505</v>
      </c>
      <c r="O291" t="s">
        <v>23</v>
      </c>
      <c r="P291">
        <v>54</v>
      </c>
      <c r="S291"/>
      <c r="T291"/>
    </row>
    <row r="292" spans="1:20" x14ac:dyDescent="0.25">
      <c r="A292" s="86" t="s">
        <v>991</v>
      </c>
      <c r="B292" t="s">
        <v>159</v>
      </c>
      <c r="D292">
        <v>14</v>
      </c>
      <c r="E292">
        <v>15</v>
      </c>
      <c r="K292">
        <v>29</v>
      </c>
      <c r="N292" s="72" t="s">
        <v>14</v>
      </c>
      <c r="O292" t="s">
        <v>23</v>
      </c>
      <c r="P292">
        <v>57</v>
      </c>
      <c r="Q292" s="131">
        <v>22236</v>
      </c>
      <c r="S292"/>
      <c r="T292"/>
    </row>
    <row r="293" spans="1:20" x14ac:dyDescent="0.25">
      <c r="A293" s="86" t="s">
        <v>2282</v>
      </c>
      <c r="B293" t="s">
        <v>157</v>
      </c>
      <c r="K293">
        <v>0</v>
      </c>
      <c r="N293" s="72" t="s">
        <v>2263</v>
      </c>
      <c r="O293" t="s">
        <v>23</v>
      </c>
      <c r="P293">
        <v>37</v>
      </c>
      <c r="Q293" s="131">
        <v>29625</v>
      </c>
      <c r="S293"/>
      <c r="T293"/>
    </row>
    <row r="294" spans="1:20" x14ac:dyDescent="0.25">
      <c r="A294" s="86" t="s">
        <v>1623</v>
      </c>
      <c r="B294" t="s">
        <v>1818</v>
      </c>
      <c r="D294">
        <v>94</v>
      </c>
      <c r="E294">
        <v>157</v>
      </c>
      <c r="F294">
        <v>88</v>
      </c>
      <c r="K294">
        <v>339</v>
      </c>
      <c r="N294" s="72" t="s">
        <v>155</v>
      </c>
      <c r="O294" t="s">
        <v>23</v>
      </c>
      <c r="P294">
        <v>67</v>
      </c>
      <c r="Q294" s="131">
        <v>18694</v>
      </c>
      <c r="S294"/>
      <c r="T294"/>
    </row>
    <row r="295" spans="1:20" x14ac:dyDescent="0.25">
      <c r="A295" s="86" t="s">
        <v>569</v>
      </c>
      <c r="B295" t="s">
        <v>158</v>
      </c>
      <c r="K295">
        <v>0</v>
      </c>
      <c r="N295" s="72" t="s">
        <v>359</v>
      </c>
      <c r="O295" s="48" t="s">
        <v>23</v>
      </c>
      <c r="P295">
        <v>45</v>
      </c>
      <c r="Q295" s="131" t="s">
        <v>1439</v>
      </c>
      <c r="S295"/>
      <c r="T295"/>
    </row>
    <row r="296" spans="1:20" x14ac:dyDescent="0.25">
      <c r="A296" s="86" t="s">
        <v>968</v>
      </c>
      <c r="B296" t="s">
        <v>159</v>
      </c>
      <c r="E296">
        <v>173</v>
      </c>
      <c r="K296">
        <v>173</v>
      </c>
      <c r="N296" s="72" t="s">
        <v>154</v>
      </c>
      <c r="O296" t="s">
        <v>23</v>
      </c>
      <c r="P296">
        <v>64</v>
      </c>
      <c r="Q296" s="131">
        <v>19710</v>
      </c>
      <c r="S296"/>
      <c r="T296"/>
    </row>
    <row r="297" spans="1:20" x14ac:dyDescent="0.25">
      <c r="A297" s="86" t="s">
        <v>2406</v>
      </c>
      <c r="B297" t="s">
        <v>161</v>
      </c>
      <c r="C297">
        <v>155</v>
      </c>
      <c r="E297">
        <v>204</v>
      </c>
      <c r="F297">
        <v>166</v>
      </c>
      <c r="K297">
        <v>525</v>
      </c>
      <c r="N297" s="72" t="s">
        <v>43</v>
      </c>
      <c r="O297" s="48" t="s">
        <v>24</v>
      </c>
      <c r="P297">
        <v>55</v>
      </c>
      <c r="Q297" s="131">
        <v>22881</v>
      </c>
      <c r="S297"/>
      <c r="T297"/>
    </row>
    <row r="298" spans="1:20" x14ac:dyDescent="0.25">
      <c r="A298" s="86" t="s">
        <v>184</v>
      </c>
      <c r="B298" t="s">
        <v>67</v>
      </c>
      <c r="K298">
        <v>0</v>
      </c>
      <c r="N298" s="72" t="s">
        <v>12</v>
      </c>
      <c r="O298" t="s">
        <v>24</v>
      </c>
      <c r="P298">
        <v>31</v>
      </c>
      <c r="S298"/>
      <c r="T298"/>
    </row>
    <row r="299" spans="1:20" x14ac:dyDescent="0.25">
      <c r="A299" s="86" t="s">
        <v>1880</v>
      </c>
      <c r="B299" t="s">
        <v>161</v>
      </c>
      <c r="K299">
        <v>0</v>
      </c>
      <c r="N299" s="72" t="s">
        <v>1923</v>
      </c>
      <c r="O299" t="s">
        <v>24</v>
      </c>
      <c r="P299">
        <v>57</v>
      </c>
      <c r="Q299" s="131">
        <v>22006</v>
      </c>
      <c r="S299"/>
      <c r="T299"/>
    </row>
    <row r="300" spans="1:20" x14ac:dyDescent="0.25">
      <c r="A300" s="86" t="s">
        <v>1822</v>
      </c>
      <c r="B300" t="s">
        <v>67</v>
      </c>
      <c r="C300">
        <v>31</v>
      </c>
      <c r="D300">
        <v>26</v>
      </c>
      <c r="E300">
        <v>25</v>
      </c>
      <c r="K300">
        <v>82</v>
      </c>
      <c r="N300" s="72" t="s">
        <v>1805</v>
      </c>
      <c r="O300" t="s">
        <v>24</v>
      </c>
      <c r="P300">
        <v>30</v>
      </c>
      <c r="Q300" s="131">
        <v>32188</v>
      </c>
      <c r="S300"/>
      <c r="T300"/>
    </row>
    <row r="301" spans="1:20" x14ac:dyDescent="0.25">
      <c r="A301" s="86" t="s">
        <v>573</v>
      </c>
      <c r="B301" t="s">
        <v>67</v>
      </c>
      <c r="K301">
        <v>0</v>
      </c>
      <c r="N301" s="72" t="s">
        <v>154</v>
      </c>
      <c r="O301" s="48" t="s">
        <v>852</v>
      </c>
      <c r="P301">
        <v>17</v>
      </c>
      <c r="S301"/>
      <c r="T301"/>
    </row>
    <row r="302" spans="1:20" x14ac:dyDescent="0.25">
      <c r="A302" s="86" t="s">
        <v>1519</v>
      </c>
      <c r="B302" s="48" t="s">
        <v>161</v>
      </c>
      <c r="K302">
        <v>0</v>
      </c>
      <c r="N302" s="72" t="s">
        <v>1325</v>
      </c>
      <c r="O302" t="s">
        <v>24</v>
      </c>
      <c r="P302">
        <v>57</v>
      </c>
      <c r="Q302" s="131">
        <v>21582</v>
      </c>
      <c r="S302"/>
      <c r="T302"/>
    </row>
    <row r="303" spans="1:20" x14ac:dyDescent="0.25">
      <c r="A303" s="86" t="s">
        <v>804</v>
      </c>
      <c r="B303" t="s">
        <v>161</v>
      </c>
      <c r="K303">
        <v>0</v>
      </c>
      <c r="N303" s="72" t="s">
        <v>657</v>
      </c>
      <c r="O303" t="s">
        <v>24</v>
      </c>
      <c r="P303">
        <v>53</v>
      </c>
      <c r="S303"/>
      <c r="T303"/>
    </row>
    <row r="304" spans="1:20" x14ac:dyDescent="0.25">
      <c r="A304" s="86" t="s">
        <v>1527</v>
      </c>
      <c r="B304" s="48" t="s">
        <v>67</v>
      </c>
      <c r="K304">
        <v>0</v>
      </c>
      <c r="N304" s="72" t="s">
        <v>1611</v>
      </c>
      <c r="O304" t="s">
        <v>24</v>
      </c>
      <c r="P304">
        <v>21</v>
      </c>
      <c r="S304"/>
      <c r="T304"/>
    </row>
    <row r="305" spans="1:20" x14ac:dyDescent="0.25">
      <c r="A305" s="86" t="s">
        <v>363</v>
      </c>
      <c r="B305" t="s">
        <v>160</v>
      </c>
      <c r="C305">
        <v>9</v>
      </c>
      <c r="D305">
        <v>8</v>
      </c>
      <c r="F305">
        <v>11</v>
      </c>
      <c r="K305">
        <v>28</v>
      </c>
      <c r="N305" s="72" t="s">
        <v>12</v>
      </c>
      <c r="O305" t="s">
        <v>24</v>
      </c>
      <c r="P305">
        <v>44</v>
      </c>
      <c r="Q305" s="131">
        <v>26975</v>
      </c>
      <c r="S305"/>
      <c r="T305"/>
    </row>
    <row r="306" spans="1:20" x14ac:dyDescent="0.25">
      <c r="A306" s="86" t="s">
        <v>1718</v>
      </c>
      <c r="B306" t="s">
        <v>158</v>
      </c>
      <c r="K306">
        <v>0</v>
      </c>
      <c r="N306" s="72" t="s">
        <v>1727</v>
      </c>
      <c r="O306" t="s">
        <v>23</v>
      </c>
      <c r="P306">
        <v>53</v>
      </c>
      <c r="Q306" s="131">
        <v>23318</v>
      </c>
      <c r="S306"/>
      <c r="T306"/>
    </row>
    <row r="307" spans="1:20" x14ac:dyDescent="0.25">
      <c r="A307" s="86" t="s">
        <v>466</v>
      </c>
      <c r="B307" t="s">
        <v>157</v>
      </c>
      <c r="K307">
        <v>0</v>
      </c>
      <c r="N307" s="72" t="s">
        <v>63</v>
      </c>
      <c r="O307" t="s">
        <v>23</v>
      </c>
      <c r="P307">
        <v>40</v>
      </c>
      <c r="Q307" s="131">
        <v>27985</v>
      </c>
      <c r="S307"/>
      <c r="T307"/>
    </row>
    <row r="308" spans="1:20" x14ac:dyDescent="0.25">
      <c r="A308" s="86" t="s">
        <v>1849</v>
      </c>
      <c r="B308" t="s">
        <v>157</v>
      </c>
      <c r="K308">
        <v>0</v>
      </c>
      <c r="N308" s="72" t="s">
        <v>155</v>
      </c>
      <c r="O308" t="s">
        <v>23</v>
      </c>
      <c r="P308">
        <v>41</v>
      </c>
      <c r="Q308" s="131" t="s">
        <v>2096</v>
      </c>
      <c r="S308"/>
      <c r="T308"/>
    </row>
    <row r="309" spans="1:20" x14ac:dyDescent="0.25">
      <c r="A309" s="86" t="s">
        <v>1781</v>
      </c>
      <c r="B309" t="s">
        <v>158</v>
      </c>
      <c r="C309">
        <v>72</v>
      </c>
      <c r="E309">
        <v>115</v>
      </c>
      <c r="K309">
        <v>187</v>
      </c>
      <c r="N309" s="72" t="s">
        <v>12</v>
      </c>
      <c r="O309" t="s">
        <v>23</v>
      </c>
      <c r="P309">
        <v>46</v>
      </c>
      <c r="Q309" s="131">
        <v>26200</v>
      </c>
      <c r="S309"/>
      <c r="T309"/>
    </row>
    <row r="310" spans="1:20" x14ac:dyDescent="0.25">
      <c r="A310" s="86" t="s">
        <v>320</v>
      </c>
      <c r="B310" t="s">
        <v>156</v>
      </c>
      <c r="K310">
        <v>0</v>
      </c>
      <c r="N310" s="72" t="s">
        <v>10</v>
      </c>
      <c r="O310" t="s">
        <v>23</v>
      </c>
      <c r="P310">
        <v>33</v>
      </c>
      <c r="S310"/>
      <c r="T310"/>
    </row>
    <row r="311" spans="1:20" x14ac:dyDescent="0.25">
      <c r="A311" s="86" t="s">
        <v>358</v>
      </c>
      <c r="B311" t="s">
        <v>158</v>
      </c>
      <c r="K311">
        <v>0</v>
      </c>
      <c r="N311" s="72" t="s">
        <v>12</v>
      </c>
      <c r="O311" t="s">
        <v>23</v>
      </c>
      <c r="P311">
        <v>45</v>
      </c>
      <c r="Q311" s="131">
        <v>25762</v>
      </c>
      <c r="S311"/>
      <c r="T311"/>
    </row>
    <row r="312" spans="1:20" x14ac:dyDescent="0.25">
      <c r="A312" s="86" t="s">
        <v>1509</v>
      </c>
      <c r="B312" t="s">
        <v>156</v>
      </c>
      <c r="K312">
        <v>0</v>
      </c>
      <c r="N312" s="72" t="s">
        <v>14</v>
      </c>
      <c r="O312" t="s">
        <v>851</v>
      </c>
      <c r="P312">
        <v>22</v>
      </c>
      <c r="Q312" s="131">
        <v>34712</v>
      </c>
      <c r="S312"/>
      <c r="T312"/>
    </row>
    <row r="313" spans="1:20" x14ac:dyDescent="0.25">
      <c r="A313" s="86" t="s">
        <v>643</v>
      </c>
      <c r="B313" t="s">
        <v>157</v>
      </c>
      <c r="K313">
        <v>0</v>
      </c>
      <c r="N313" s="72" t="s">
        <v>38</v>
      </c>
      <c r="O313" t="s">
        <v>23</v>
      </c>
      <c r="P313">
        <v>40</v>
      </c>
      <c r="S313"/>
      <c r="T313"/>
    </row>
    <row r="314" spans="1:20" x14ac:dyDescent="0.25">
      <c r="A314" s="86" t="s">
        <v>202</v>
      </c>
      <c r="B314" t="s">
        <v>157</v>
      </c>
      <c r="K314">
        <v>0</v>
      </c>
      <c r="N314" s="72" t="s">
        <v>155</v>
      </c>
      <c r="O314" t="s">
        <v>23</v>
      </c>
      <c r="P314">
        <v>42</v>
      </c>
      <c r="S314"/>
      <c r="T314"/>
    </row>
    <row r="315" spans="1:20" x14ac:dyDescent="0.25">
      <c r="A315" s="86" t="s">
        <v>356</v>
      </c>
      <c r="B315" t="s">
        <v>156</v>
      </c>
      <c r="K315">
        <v>0</v>
      </c>
      <c r="N315" s="72" t="s">
        <v>12</v>
      </c>
      <c r="O315" t="s">
        <v>23</v>
      </c>
      <c r="P315">
        <v>25</v>
      </c>
      <c r="S315"/>
      <c r="T315"/>
    </row>
    <row r="316" spans="1:20" x14ac:dyDescent="0.25">
      <c r="A316" s="86" t="s">
        <v>718</v>
      </c>
      <c r="B316" t="s">
        <v>156</v>
      </c>
      <c r="K316">
        <v>0</v>
      </c>
      <c r="N316" s="72" t="s">
        <v>657</v>
      </c>
      <c r="O316" t="s">
        <v>23</v>
      </c>
      <c r="P316">
        <v>30</v>
      </c>
      <c r="S316"/>
      <c r="T316"/>
    </row>
    <row r="317" spans="1:20" x14ac:dyDescent="0.25">
      <c r="A317" s="86" t="s">
        <v>2002</v>
      </c>
      <c r="B317" t="s">
        <v>157</v>
      </c>
      <c r="K317">
        <v>0</v>
      </c>
      <c r="N317" s="72" t="s">
        <v>657</v>
      </c>
      <c r="O317" t="s">
        <v>23</v>
      </c>
      <c r="S317"/>
      <c r="T317"/>
    </row>
    <row r="318" spans="1:20" x14ac:dyDescent="0.25">
      <c r="A318" s="86" t="s">
        <v>1601</v>
      </c>
      <c r="B318" t="s">
        <v>157</v>
      </c>
      <c r="K318">
        <v>0</v>
      </c>
      <c r="N318" s="72" t="s">
        <v>154</v>
      </c>
      <c r="O318" t="s">
        <v>23</v>
      </c>
      <c r="S318"/>
      <c r="T318"/>
    </row>
    <row r="319" spans="1:20" x14ac:dyDescent="0.25">
      <c r="A319" s="86" t="s">
        <v>560</v>
      </c>
      <c r="B319" t="s">
        <v>157</v>
      </c>
      <c r="F319">
        <v>13</v>
      </c>
      <c r="K319">
        <v>13</v>
      </c>
      <c r="N319" s="72" t="s">
        <v>154</v>
      </c>
      <c r="O319" s="48" t="s">
        <v>23</v>
      </c>
      <c r="P319">
        <v>39</v>
      </c>
      <c r="Q319" s="131">
        <v>28928</v>
      </c>
      <c r="S319"/>
      <c r="T319"/>
    </row>
    <row r="320" spans="1:20" x14ac:dyDescent="0.25">
      <c r="A320" s="86" t="s">
        <v>831</v>
      </c>
      <c r="B320" t="s">
        <v>156</v>
      </c>
      <c r="K320">
        <v>0</v>
      </c>
      <c r="N320" s="72" t="s">
        <v>43</v>
      </c>
      <c r="O320" t="s">
        <v>23</v>
      </c>
      <c r="P320">
        <v>33</v>
      </c>
      <c r="Q320" s="131">
        <v>30561</v>
      </c>
      <c r="S320"/>
      <c r="T320"/>
    </row>
    <row r="321" spans="1:20" x14ac:dyDescent="0.25">
      <c r="A321" s="86" t="s">
        <v>334</v>
      </c>
      <c r="B321" t="s">
        <v>157</v>
      </c>
      <c r="K321">
        <v>0</v>
      </c>
      <c r="N321" s="72" t="s">
        <v>63</v>
      </c>
      <c r="O321" t="s">
        <v>23</v>
      </c>
      <c r="P321">
        <v>41</v>
      </c>
      <c r="S321"/>
      <c r="T321"/>
    </row>
    <row r="322" spans="1:20" x14ac:dyDescent="0.25">
      <c r="A322" s="86" t="s">
        <v>1878</v>
      </c>
      <c r="B322" t="s">
        <v>159</v>
      </c>
      <c r="K322">
        <v>0</v>
      </c>
      <c r="N322" s="72" t="s">
        <v>154</v>
      </c>
      <c r="O322" t="s">
        <v>23</v>
      </c>
      <c r="P322">
        <v>61</v>
      </c>
      <c r="Q322" s="131">
        <v>20536</v>
      </c>
      <c r="S322"/>
      <c r="T322"/>
    </row>
    <row r="323" spans="1:20" x14ac:dyDescent="0.25">
      <c r="A323" s="86" t="s">
        <v>1127</v>
      </c>
      <c r="B323" t="s">
        <v>160</v>
      </c>
      <c r="K323">
        <v>0</v>
      </c>
      <c r="N323" s="72" t="s">
        <v>38</v>
      </c>
      <c r="O323" t="s">
        <v>24</v>
      </c>
      <c r="P323">
        <v>48</v>
      </c>
      <c r="Q323" s="131">
        <v>25315</v>
      </c>
      <c r="S323"/>
      <c r="T323"/>
    </row>
    <row r="324" spans="1:20" x14ac:dyDescent="0.25">
      <c r="A324" s="86" t="s">
        <v>563</v>
      </c>
      <c r="B324" t="s">
        <v>161</v>
      </c>
      <c r="F324">
        <v>75</v>
      </c>
      <c r="K324">
        <v>75</v>
      </c>
      <c r="N324" s="72" t="s">
        <v>505</v>
      </c>
      <c r="O324" s="48" t="s">
        <v>24</v>
      </c>
      <c r="P324">
        <v>58</v>
      </c>
      <c r="Q324" s="131" t="s">
        <v>1732</v>
      </c>
      <c r="S324"/>
      <c r="T324"/>
    </row>
    <row r="325" spans="1:20" x14ac:dyDescent="0.25">
      <c r="A325" s="86" t="s">
        <v>221</v>
      </c>
      <c r="B325" t="s">
        <v>162</v>
      </c>
      <c r="D325">
        <v>93</v>
      </c>
      <c r="E325">
        <v>125</v>
      </c>
      <c r="F325">
        <v>100</v>
      </c>
      <c r="K325">
        <v>318</v>
      </c>
      <c r="N325" s="72" t="s">
        <v>38</v>
      </c>
      <c r="O325" t="s">
        <v>24</v>
      </c>
      <c r="P325">
        <v>67</v>
      </c>
      <c r="Q325" s="131">
        <v>18656</v>
      </c>
      <c r="S325"/>
      <c r="T325"/>
    </row>
    <row r="326" spans="1:20" x14ac:dyDescent="0.25">
      <c r="A326" s="86" t="s">
        <v>461</v>
      </c>
      <c r="B326" t="s">
        <v>160</v>
      </c>
      <c r="K326">
        <v>0</v>
      </c>
      <c r="N326" s="72" t="s">
        <v>38</v>
      </c>
      <c r="O326" t="s">
        <v>24</v>
      </c>
      <c r="P326">
        <v>49</v>
      </c>
      <c r="S326"/>
      <c r="T326"/>
    </row>
    <row r="327" spans="1:20" x14ac:dyDescent="0.25">
      <c r="A327" s="86" t="s">
        <v>833</v>
      </c>
      <c r="B327" t="s">
        <v>160</v>
      </c>
      <c r="K327">
        <v>0</v>
      </c>
      <c r="N327" s="72" t="s">
        <v>38</v>
      </c>
      <c r="O327" t="s">
        <v>24</v>
      </c>
      <c r="P327">
        <v>40</v>
      </c>
      <c r="S327"/>
      <c r="T327"/>
    </row>
    <row r="328" spans="1:20" x14ac:dyDescent="0.25">
      <c r="A328" s="86" t="s">
        <v>527</v>
      </c>
      <c r="B328" t="s">
        <v>67</v>
      </c>
      <c r="K328">
        <v>0</v>
      </c>
      <c r="N328" s="72" t="s">
        <v>108</v>
      </c>
      <c r="O328" t="s">
        <v>24</v>
      </c>
      <c r="P328">
        <v>33</v>
      </c>
      <c r="S328"/>
      <c r="T328"/>
    </row>
    <row r="329" spans="1:20" x14ac:dyDescent="0.25">
      <c r="A329" s="86" t="s">
        <v>2115</v>
      </c>
      <c r="B329" t="s">
        <v>160</v>
      </c>
      <c r="K329">
        <v>0</v>
      </c>
      <c r="N329" s="72" t="s">
        <v>12</v>
      </c>
      <c r="O329" t="s">
        <v>24</v>
      </c>
      <c r="P329">
        <v>46</v>
      </c>
      <c r="Q329" s="131">
        <v>25924</v>
      </c>
      <c r="S329"/>
      <c r="T329"/>
    </row>
    <row r="330" spans="1:20" x14ac:dyDescent="0.25">
      <c r="A330" s="86" t="s">
        <v>1746</v>
      </c>
      <c r="B330" t="s">
        <v>162</v>
      </c>
      <c r="K330">
        <v>0</v>
      </c>
      <c r="N330" s="72" t="s">
        <v>63</v>
      </c>
      <c r="O330" t="s">
        <v>24</v>
      </c>
      <c r="P330">
        <v>62</v>
      </c>
      <c r="Q330" s="131">
        <v>19953</v>
      </c>
      <c r="S330"/>
      <c r="T330"/>
    </row>
    <row r="331" spans="1:20" x14ac:dyDescent="0.25">
      <c r="A331" s="86" t="s">
        <v>270</v>
      </c>
      <c r="B331" t="s">
        <v>161</v>
      </c>
      <c r="K331">
        <v>0</v>
      </c>
      <c r="N331" s="72" t="s">
        <v>43</v>
      </c>
      <c r="O331" t="s">
        <v>24</v>
      </c>
      <c r="P331">
        <v>51</v>
      </c>
      <c r="Q331" s="131">
        <v>23992</v>
      </c>
      <c r="S331"/>
      <c r="T331"/>
    </row>
    <row r="332" spans="1:20" x14ac:dyDescent="0.25">
      <c r="A332" s="86" t="s">
        <v>691</v>
      </c>
      <c r="B332" t="s">
        <v>161</v>
      </c>
      <c r="K332">
        <v>0</v>
      </c>
      <c r="N332" s="72" t="s">
        <v>14</v>
      </c>
      <c r="O332" t="s">
        <v>24</v>
      </c>
      <c r="P332">
        <v>50</v>
      </c>
      <c r="Q332" s="131" t="s">
        <v>2106</v>
      </c>
      <c r="S332"/>
      <c r="T332"/>
    </row>
    <row r="333" spans="1:20" x14ac:dyDescent="0.25">
      <c r="A333" s="86" t="s">
        <v>1160</v>
      </c>
      <c r="B333" t="s">
        <v>161</v>
      </c>
      <c r="K333">
        <v>0</v>
      </c>
      <c r="N333" s="72" t="s">
        <v>505</v>
      </c>
      <c r="O333" t="s">
        <v>24</v>
      </c>
      <c r="P333">
        <v>53</v>
      </c>
      <c r="S333"/>
      <c r="T333"/>
    </row>
    <row r="334" spans="1:20" x14ac:dyDescent="0.25">
      <c r="A334" s="86" t="s">
        <v>220</v>
      </c>
      <c r="B334" t="s">
        <v>162</v>
      </c>
      <c r="K334">
        <v>0</v>
      </c>
      <c r="N334" s="72" t="s">
        <v>38</v>
      </c>
      <c r="O334" t="s">
        <v>24</v>
      </c>
      <c r="P334">
        <v>67</v>
      </c>
      <c r="S334"/>
      <c r="T334"/>
    </row>
    <row r="335" spans="1:20" x14ac:dyDescent="0.25">
      <c r="A335" s="86" t="s">
        <v>524</v>
      </c>
      <c r="B335" t="s">
        <v>67</v>
      </c>
      <c r="C335">
        <v>132</v>
      </c>
      <c r="D335">
        <v>119</v>
      </c>
      <c r="E335">
        <v>151</v>
      </c>
      <c r="F335">
        <v>129</v>
      </c>
      <c r="K335">
        <v>531</v>
      </c>
      <c r="N335" s="72" t="s">
        <v>63</v>
      </c>
      <c r="O335" t="s">
        <v>24</v>
      </c>
      <c r="P335">
        <v>36</v>
      </c>
      <c r="Q335" s="131">
        <v>29845</v>
      </c>
      <c r="S335"/>
      <c r="T335"/>
    </row>
    <row r="336" spans="1:20" x14ac:dyDescent="0.25">
      <c r="A336" s="86" t="s">
        <v>498</v>
      </c>
      <c r="B336" t="s">
        <v>159</v>
      </c>
      <c r="K336">
        <v>0</v>
      </c>
      <c r="N336" s="72" t="s">
        <v>38</v>
      </c>
      <c r="O336" t="s">
        <v>23</v>
      </c>
      <c r="P336">
        <v>55</v>
      </c>
      <c r="S336"/>
      <c r="T336"/>
    </row>
    <row r="337" spans="1:20" x14ac:dyDescent="0.25">
      <c r="A337" s="86" t="s">
        <v>1913</v>
      </c>
      <c r="B337" t="s">
        <v>156</v>
      </c>
      <c r="K337">
        <v>0</v>
      </c>
      <c r="N337" s="72" t="s">
        <v>63</v>
      </c>
      <c r="O337" t="s">
        <v>23</v>
      </c>
      <c r="P337">
        <v>25</v>
      </c>
      <c r="Q337" s="131">
        <v>33730</v>
      </c>
      <c r="S337"/>
      <c r="T337"/>
    </row>
    <row r="338" spans="1:20" x14ac:dyDescent="0.25">
      <c r="A338" s="86" t="s">
        <v>1773</v>
      </c>
      <c r="B338" t="s">
        <v>67</v>
      </c>
      <c r="C338">
        <v>83</v>
      </c>
      <c r="D338">
        <v>88</v>
      </c>
      <c r="K338">
        <v>171</v>
      </c>
      <c r="N338" s="72" t="s">
        <v>1805</v>
      </c>
      <c r="O338" t="s">
        <v>24</v>
      </c>
      <c r="P338">
        <v>32</v>
      </c>
      <c r="Q338" s="131">
        <v>31469</v>
      </c>
      <c r="S338"/>
      <c r="T338"/>
    </row>
    <row r="339" spans="1:20" x14ac:dyDescent="0.25">
      <c r="A339" s="86" t="s">
        <v>921</v>
      </c>
      <c r="B339" t="s">
        <v>67</v>
      </c>
      <c r="K339">
        <v>0</v>
      </c>
      <c r="N339" s="72" t="s">
        <v>14</v>
      </c>
      <c r="O339" t="s">
        <v>24</v>
      </c>
      <c r="P339">
        <v>35</v>
      </c>
      <c r="Q339" s="131" t="s">
        <v>1438</v>
      </c>
      <c r="S339"/>
      <c r="T339"/>
    </row>
    <row r="340" spans="1:20" x14ac:dyDescent="0.25">
      <c r="A340" s="86" t="s">
        <v>176</v>
      </c>
      <c r="B340" t="s">
        <v>67</v>
      </c>
      <c r="C340">
        <v>39</v>
      </c>
      <c r="D340">
        <v>33</v>
      </c>
      <c r="E340">
        <v>36</v>
      </c>
      <c r="F340">
        <v>57</v>
      </c>
      <c r="K340">
        <v>165</v>
      </c>
      <c r="N340" s="72" t="s">
        <v>12</v>
      </c>
      <c r="O340" t="s">
        <v>24</v>
      </c>
      <c r="P340">
        <v>27</v>
      </c>
      <c r="Q340" s="131">
        <v>33276</v>
      </c>
      <c r="S340"/>
      <c r="T340"/>
    </row>
    <row r="341" spans="1:20" x14ac:dyDescent="0.25">
      <c r="A341" s="86" t="s">
        <v>391</v>
      </c>
      <c r="B341" t="s">
        <v>160</v>
      </c>
      <c r="K341">
        <v>0</v>
      </c>
      <c r="N341" s="72" t="s">
        <v>39</v>
      </c>
      <c r="O341" t="s">
        <v>24</v>
      </c>
      <c r="P341">
        <v>41</v>
      </c>
      <c r="Q341" s="131" t="s">
        <v>2100</v>
      </c>
      <c r="S341"/>
      <c r="T341"/>
    </row>
    <row r="342" spans="1:20" x14ac:dyDescent="0.25">
      <c r="A342" s="86" t="s">
        <v>578</v>
      </c>
      <c r="B342" t="s">
        <v>157</v>
      </c>
      <c r="C342">
        <v>38</v>
      </c>
      <c r="E342">
        <v>139</v>
      </c>
      <c r="F342">
        <v>75</v>
      </c>
      <c r="K342">
        <v>252</v>
      </c>
      <c r="N342" s="72" t="s">
        <v>43</v>
      </c>
      <c r="O342" s="48" t="s">
        <v>23</v>
      </c>
      <c r="P342">
        <v>39</v>
      </c>
      <c r="Q342" s="131">
        <v>28760</v>
      </c>
      <c r="S342"/>
      <c r="T342"/>
    </row>
    <row r="343" spans="1:20" x14ac:dyDescent="0.25">
      <c r="A343" s="86" t="s">
        <v>1648</v>
      </c>
      <c r="B343" t="s">
        <v>67</v>
      </c>
      <c r="K343">
        <v>0</v>
      </c>
      <c r="N343" s="72" t="s">
        <v>63</v>
      </c>
      <c r="O343" t="s">
        <v>24</v>
      </c>
      <c r="P343">
        <v>37</v>
      </c>
      <c r="Q343" s="131">
        <v>28973</v>
      </c>
      <c r="S343"/>
      <c r="T343"/>
    </row>
    <row r="344" spans="1:20" x14ac:dyDescent="0.25">
      <c r="A344" s="86" t="s">
        <v>2152</v>
      </c>
      <c r="B344" t="s">
        <v>158</v>
      </c>
      <c r="K344">
        <v>0</v>
      </c>
      <c r="N344" s="72" t="s">
        <v>505</v>
      </c>
      <c r="O344" t="s">
        <v>23</v>
      </c>
      <c r="P344">
        <v>51</v>
      </c>
      <c r="Q344" s="131">
        <v>24180</v>
      </c>
      <c r="S344"/>
      <c r="T344"/>
    </row>
    <row r="345" spans="1:20" x14ac:dyDescent="0.25">
      <c r="A345" s="86" t="s">
        <v>2098</v>
      </c>
      <c r="B345" t="s">
        <v>67</v>
      </c>
      <c r="K345">
        <v>0</v>
      </c>
      <c r="N345" s="72" t="s">
        <v>505</v>
      </c>
      <c r="O345" t="s">
        <v>24</v>
      </c>
      <c r="P345">
        <v>39</v>
      </c>
      <c r="Q345" s="131" t="s">
        <v>2099</v>
      </c>
      <c r="S345"/>
      <c r="T345"/>
    </row>
    <row r="346" spans="1:20" x14ac:dyDescent="0.25">
      <c r="A346" s="86" t="s">
        <v>787</v>
      </c>
      <c r="B346" t="s">
        <v>67</v>
      </c>
      <c r="K346">
        <v>0</v>
      </c>
      <c r="N346" s="72" t="s">
        <v>657</v>
      </c>
      <c r="O346" t="s">
        <v>24</v>
      </c>
      <c r="P346">
        <v>33</v>
      </c>
      <c r="S346"/>
      <c r="T346"/>
    </row>
    <row r="347" spans="1:20" x14ac:dyDescent="0.25">
      <c r="A347" s="86" t="s">
        <v>2327</v>
      </c>
      <c r="B347" t="s">
        <v>67</v>
      </c>
      <c r="E347">
        <v>56</v>
      </c>
      <c r="K347">
        <v>56</v>
      </c>
      <c r="N347" s="72" t="s">
        <v>505</v>
      </c>
      <c r="O347" t="s">
        <v>24</v>
      </c>
      <c r="P347">
        <v>32</v>
      </c>
      <c r="Q347" s="131">
        <v>31406</v>
      </c>
      <c r="S347"/>
      <c r="T347"/>
    </row>
    <row r="348" spans="1:20" x14ac:dyDescent="0.25">
      <c r="A348" s="86" t="s">
        <v>1522</v>
      </c>
      <c r="B348" t="s">
        <v>160</v>
      </c>
      <c r="C348">
        <v>41</v>
      </c>
      <c r="D348">
        <v>35</v>
      </c>
      <c r="E348">
        <v>49</v>
      </c>
      <c r="F348">
        <v>53</v>
      </c>
      <c r="K348">
        <v>178</v>
      </c>
      <c r="N348" s="72" t="s">
        <v>14</v>
      </c>
      <c r="O348" t="s">
        <v>24</v>
      </c>
      <c r="P348">
        <v>49</v>
      </c>
      <c r="Q348" s="131">
        <v>25283</v>
      </c>
      <c r="S348"/>
      <c r="T348"/>
    </row>
    <row r="349" spans="1:20" x14ac:dyDescent="0.25">
      <c r="A349" s="86" t="s">
        <v>690</v>
      </c>
      <c r="B349" s="48" t="s">
        <v>160</v>
      </c>
      <c r="K349">
        <v>0</v>
      </c>
      <c r="N349" s="72" t="s">
        <v>12</v>
      </c>
      <c r="O349" t="s">
        <v>24</v>
      </c>
      <c r="P349">
        <v>43</v>
      </c>
      <c r="Q349" s="131">
        <v>26611</v>
      </c>
      <c r="S349"/>
      <c r="T349"/>
    </row>
    <row r="350" spans="1:20" x14ac:dyDescent="0.25">
      <c r="A350" s="86" t="s">
        <v>1167</v>
      </c>
      <c r="B350" t="s">
        <v>160</v>
      </c>
      <c r="K350">
        <v>0</v>
      </c>
      <c r="N350" s="72" t="s">
        <v>38</v>
      </c>
      <c r="O350" t="s">
        <v>24</v>
      </c>
      <c r="P350">
        <v>44</v>
      </c>
      <c r="Q350" s="131">
        <v>26768</v>
      </c>
      <c r="S350"/>
      <c r="T350"/>
    </row>
    <row r="351" spans="1:20" x14ac:dyDescent="0.25">
      <c r="A351" s="86" t="s">
        <v>536</v>
      </c>
      <c r="B351" t="s">
        <v>160</v>
      </c>
      <c r="K351">
        <v>0</v>
      </c>
      <c r="N351" s="72" t="s">
        <v>12</v>
      </c>
      <c r="O351" t="s">
        <v>24</v>
      </c>
      <c r="P351">
        <v>43</v>
      </c>
      <c r="Q351" s="131">
        <v>27089</v>
      </c>
      <c r="S351"/>
      <c r="T351"/>
    </row>
    <row r="352" spans="1:20" x14ac:dyDescent="0.25">
      <c r="A352" s="86" t="s">
        <v>1819</v>
      </c>
      <c r="B352" t="s">
        <v>67</v>
      </c>
      <c r="F352">
        <v>10</v>
      </c>
      <c r="K352">
        <v>10</v>
      </c>
      <c r="N352" s="72" t="s">
        <v>38</v>
      </c>
      <c r="O352" t="s">
        <v>24</v>
      </c>
      <c r="P352">
        <v>37</v>
      </c>
      <c r="Q352" s="131">
        <v>29531</v>
      </c>
      <c r="S352"/>
      <c r="T352"/>
    </row>
    <row r="353" spans="1:20" x14ac:dyDescent="0.25">
      <c r="A353" s="86" t="s">
        <v>537</v>
      </c>
      <c r="B353" t="s">
        <v>160</v>
      </c>
      <c r="K353">
        <v>0</v>
      </c>
      <c r="N353" s="72" t="s">
        <v>12</v>
      </c>
      <c r="O353" t="s">
        <v>24</v>
      </c>
      <c r="P353">
        <v>40</v>
      </c>
      <c r="S353"/>
      <c r="T353"/>
    </row>
    <row r="354" spans="1:20" x14ac:dyDescent="0.25">
      <c r="A354" s="86" t="s">
        <v>1753</v>
      </c>
      <c r="B354" t="s">
        <v>156</v>
      </c>
      <c r="C354">
        <v>75</v>
      </c>
      <c r="K354">
        <v>75</v>
      </c>
      <c r="N354" s="72" t="s">
        <v>63</v>
      </c>
      <c r="O354" t="s">
        <v>23</v>
      </c>
      <c r="P354">
        <v>28</v>
      </c>
      <c r="Q354" s="131">
        <v>32471</v>
      </c>
      <c r="S354"/>
      <c r="T354"/>
    </row>
    <row r="355" spans="1:20" x14ac:dyDescent="0.25">
      <c r="A355" s="86" t="s">
        <v>1973</v>
      </c>
      <c r="B355" t="s">
        <v>67</v>
      </c>
      <c r="K355">
        <v>0</v>
      </c>
      <c r="N355" s="72" t="s">
        <v>653</v>
      </c>
      <c r="O355" t="s">
        <v>24</v>
      </c>
      <c r="S355"/>
      <c r="T355"/>
    </row>
    <row r="356" spans="1:20" x14ac:dyDescent="0.25">
      <c r="A356" s="86" t="s">
        <v>2341</v>
      </c>
      <c r="B356" t="s">
        <v>67</v>
      </c>
      <c r="E356">
        <v>118</v>
      </c>
      <c r="K356">
        <v>118</v>
      </c>
      <c r="N356" s="72" t="s">
        <v>14</v>
      </c>
      <c r="O356" t="s">
        <v>24</v>
      </c>
      <c r="P356">
        <v>37</v>
      </c>
      <c r="Q356" s="131">
        <v>29475</v>
      </c>
      <c r="S356"/>
      <c r="T356"/>
    </row>
    <row r="357" spans="1:20" x14ac:dyDescent="0.25">
      <c r="A357" s="86" t="s">
        <v>1351</v>
      </c>
      <c r="B357" t="s">
        <v>160</v>
      </c>
      <c r="E357">
        <v>78</v>
      </c>
      <c r="K357">
        <v>78</v>
      </c>
      <c r="N357" s="72" t="s">
        <v>1400</v>
      </c>
      <c r="O357" t="s">
        <v>24</v>
      </c>
      <c r="P357">
        <v>44</v>
      </c>
      <c r="Q357" s="131">
        <v>26888</v>
      </c>
      <c r="S357"/>
      <c r="T357"/>
    </row>
    <row r="358" spans="1:20" x14ac:dyDescent="0.25">
      <c r="A358" s="86" t="s">
        <v>2198</v>
      </c>
      <c r="B358" t="s">
        <v>67</v>
      </c>
      <c r="C358">
        <v>27</v>
      </c>
      <c r="D358">
        <v>25</v>
      </c>
      <c r="K358">
        <v>52</v>
      </c>
      <c r="N358" s="72" t="s">
        <v>38</v>
      </c>
      <c r="O358" t="s">
        <v>24</v>
      </c>
      <c r="P358">
        <v>33</v>
      </c>
      <c r="Q358" s="131">
        <v>31089</v>
      </c>
      <c r="S358"/>
      <c r="T358"/>
    </row>
    <row r="359" spans="1:20" x14ac:dyDescent="0.25">
      <c r="A359" s="86" t="s">
        <v>2329</v>
      </c>
      <c r="B359" t="s">
        <v>160</v>
      </c>
      <c r="E359">
        <v>71</v>
      </c>
      <c r="K359">
        <v>71</v>
      </c>
      <c r="N359" s="72" t="s">
        <v>154</v>
      </c>
      <c r="O359" t="s">
        <v>24</v>
      </c>
      <c r="P359">
        <v>43</v>
      </c>
      <c r="Q359" s="131">
        <v>27273</v>
      </c>
      <c r="S359"/>
      <c r="T359"/>
    </row>
    <row r="360" spans="1:20" x14ac:dyDescent="0.25">
      <c r="A360" s="86" t="s">
        <v>2136</v>
      </c>
      <c r="B360" t="s">
        <v>67</v>
      </c>
      <c r="K360">
        <v>0</v>
      </c>
      <c r="N360" s="72" t="s">
        <v>2166</v>
      </c>
      <c r="O360" t="s">
        <v>24</v>
      </c>
      <c r="P360">
        <v>23</v>
      </c>
      <c r="Q360" s="131">
        <v>34342</v>
      </c>
      <c r="S360"/>
      <c r="T360"/>
    </row>
    <row r="361" spans="1:20" x14ac:dyDescent="0.25">
      <c r="A361" s="86" t="s">
        <v>895</v>
      </c>
      <c r="B361" t="s">
        <v>160</v>
      </c>
      <c r="C361">
        <v>10</v>
      </c>
      <c r="D361">
        <v>16</v>
      </c>
      <c r="F361">
        <v>13</v>
      </c>
      <c r="K361">
        <v>39</v>
      </c>
      <c r="N361" s="72" t="s">
        <v>12</v>
      </c>
      <c r="O361" t="s">
        <v>24</v>
      </c>
      <c r="P361">
        <v>49</v>
      </c>
      <c r="Q361" s="131">
        <v>25400</v>
      </c>
      <c r="S361"/>
      <c r="T361"/>
    </row>
    <row r="362" spans="1:20" x14ac:dyDescent="0.25">
      <c r="A362" s="86" t="s">
        <v>1379</v>
      </c>
      <c r="B362" s="48" t="s">
        <v>67</v>
      </c>
      <c r="K362">
        <v>0</v>
      </c>
      <c r="N362" s="72" t="s">
        <v>12</v>
      </c>
      <c r="O362" t="s">
        <v>24</v>
      </c>
      <c r="P362">
        <v>24</v>
      </c>
      <c r="Q362" s="131" t="s">
        <v>1433</v>
      </c>
      <c r="S362"/>
      <c r="T362"/>
    </row>
    <row r="363" spans="1:20" x14ac:dyDescent="0.25">
      <c r="A363" s="86" t="s">
        <v>1935</v>
      </c>
      <c r="B363" t="s">
        <v>67</v>
      </c>
      <c r="C363">
        <v>59</v>
      </c>
      <c r="D363">
        <v>71</v>
      </c>
      <c r="E363">
        <v>74</v>
      </c>
      <c r="K363">
        <v>204</v>
      </c>
      <c r="N363" s="72" t="s">
        <v>63</v>
      </c>
      <c r="O363" t="s">
        <v>24</v>
      </c>
      <c r="P363">
        <v>39</v>
      </c>
      <c r="Q363" s="131">
        <v>28775</v>
      </c>
      <c r="S363"/>
      <c r="T363"/>
    </row>
    <row r="364" spans="1:20" x14ac:dyDescent="0.25">
      <c r="A364" s="86" t="s">
        <v>1201</v>
      </c>
      <c r="B364" t="s">
        <v>67</v>
      </c>
      <c r="K364">
        <v>0</v>
      </c>
      <c r="N364" s="72" t="s">
        <v>14</v>
      </c>
      <c r="O364" t="s">
        <v>24</v>
      </c>
      <c r="P364">
        <v>31</v>
      </c>
      <c r="Q364" s="131">
        <v>31489</v>
      </c>
      <c r="S364"/>
      <c r="T364"/>
    </row>
    <row r="365" spans="1:20" x14ac:dyDescent="0.25">
      <c r="A365" s="86" t="s">
        <v>997</v>
      </c>
      <c r="B365" t="s">
        <v>67</v>
      </c>
      <c r="K365">
        <v>0</v>
      </c>
      <c r="N365" t="s">
        <v>1324</v>
      </c>
      <c r="O365" s="48" t="s">
        <v>24</v>
      </c>
      <c r="P365">
        <v>31</v>
      </c>
      <c r="S365"/>
      <c r="T365"/>
    </row>
    <row r="366" spans="1:20" x14ac:dyDescent="0.25">
      <c r="A366" s="86" t="s">
        <v>210</v>
      </c>
      <c r="B366" t="s">
        <v>160</v>
      </c>
      <c r="K366">
        <v>0</v>
      </c>
      <c r="N366" s="72" t="s">
        <v>38</v>
      </c>
      <c r="O366" t="s">
        <v>24</v>
      </c>
      <c r="P366">
        <v>48</v>
      </c>
      <c r="Q366" s="131">
        <v>24987</v>
      </c>
      <c r="S366"/>
      <c r="T366"/>
    </row>
    <row r="367" spans="1:20" x14ac:dyDescent="0.25">
      <c r="A367" s="86" t="s">
        <v>937</v>
      </c>
      <c r="B367" t="s">
        <v>67</v>
      </c>
      <c r="K367">
        <v>0</v>
      </c>
      <c r="N367" s="72" t="s">
        <v>653</v>
      </c>
      <c r="O367" t="s">
        <v>24</v>
      </c>
      <c r="P367">
        <v>38</v>
      </c>
      <c r="S367"/>
      <c r="T367"/>
    </row>
    <row r="368" spans="1:20" x14ac:dyDescent="0.25">
      <c r="A368" s="86" t="s">
        <v>1394</v>
      </c>
      <c r="B368" t="s">
        <v>160</v>
      </c>
      <c r="K368">
        <v>0</v>
      </c>
      <c r="N368" s="72" t="s">
        <v>43</v>
      </c>
      <c r="O368" t="s">
        <v>24</v>
      </c>
      <c r="P368">
        <v>40</v>
      </c>
      <c r="Q368" s="131">
        <v>28421</v>
      </c>
      <c r="S368"/>
      <c r="T368"/>
    </row>
    <row r="369" spans="1:20" x14ac:dyDescent="0.25">
      <c r="A369" s="86" t="s">
        <v>1395</v>
      </c>
      <c r="B369" t="s">
        <v>67</v>
      </c>
      <c r="K369">
        <v>0</v>
      </c>
      <c r="N369" s="72" t="s">
        <v>38</v>
      </c>
      <c r="O369" t="s">
        <v>24</v>
      </c>
      <c r="P369">
        <v>30</v>
      </c>
      <c r="Q369" s="131" t="s">
        <v>1673</v>
      </c>
      <c r="S369"/>
      <c r="T369"/>
    </row>
    <row r="370" spans="1:20" x14ac:dyDescent="0.25">
      <c r="A370" s="86" t="s">
        <v>2286</v>
      </c>
      <c r="B370" t="s">
        <v>160</v>
      </c>
      <c r="C370">
        <v>7</v>
      </c>
      <c r="D370">
        <v>14</v>
      </c>
      <c r="E370">
        <v>17</v>
      </c>
      <c r="K370">
        <v>38</v>
      </c>
      <c r="N370" s="72" t="s">
        <v>12</v>
      </c>
      <c r="O370" t="s">
        <v>24</v>
      </c>
      <c r="P370">
        <v>42</v>
      </c>
      <c r="Q370" s="131">
        <v>27732</v>
      </c>
      <c r="S370"/>
      <c r="T370"/>
    </row>
    <row r="371" spans="1:20" x14ac:dyDescent="0.25">
      <c r="A371" s="86" t="s">
        <v>974</v>
      </c>
      <c r="B371" t="s">
        <v>160</v>
      </c>
      <c r="K371">
        <v>0</v>
      </c>
      <c r="N371" s="72" t="s">
        <v>38</v>
      </c>
      <c r="O371" t="s">
        <v>24</v>
      </c>
      <c r="P371">
        <v>44</v>
      </c>
      <c r="Q371" s="131" t="s">
        <v>1437</v>
      </c>
      <c r="S371"/>
      <c r="T371"/>
    </row>
    <row r="372" spans="1:20" x14ac:dyDescent="0.25">
      <c r="A372" s="86" t="s">
        <v>1712</v>
      </c>
      <c r="B372" t="s">
        <v>160</v>
      </c>
      <c r="K372">
        <v>0</v>
      </c>
      <c r="N372" s="72" t="s">
        <v>505</v>
      </c>
      <c r="O372" t="s">
        <v>24</v>
      </c>
      <c r="P372">
        <v>49</v>
      </c>
      <c r="Q372" s="131">
        <v>24681</v>
      </c>
      <c r="S372"/>
      <c r="T372"/>
    </row>
    <row r="373" spans="1:20" x14ac:dyDescent="0.25">
      <c r="A373" s="86" t="s">
        <v>1596</v>
      </c>
      <c r="B373" t="s">
        <v>67</v>
      </c>
      <c r="K373">
        <v>0</v>
      </c>
      <c r="N373" s="72" t="s">
        <v>1616</v>
      </c>
      <c r="O373" t="s">
        <v>24</v>
      </c>
      <c r="S373"/>
      <c r="T373"/>
    </row>
    <row r="374" spans="1:20" x14ac:dyDescent="0.25">
      <c r="A374" s="86" t="s">
        <v>1993</v>
      </c>
      <c r="B374" t="s">
        <v>158</v>
      </c>
      <c r="K374">
        <v>0</v>
      </c>
      <c r="N374" s="72" t="s">
        <v>14</v>
      </c>
      <c r="O374" t="s">
        <v>23</v>
      </c>
      <c r="S374"/>
      <c r="T374"/>
    </row>
    <row r="375" spans="1:20" x14ac:dyDescent="0.25">
      <c r="A375" s="86" t="s">
        <v>2225</v>
      </c>
      <c r="B375" t="s">
        <v>157</v>
      </c>
      <c r="C375">
        <v>34</v>
      </c>
      <c r="D375">
        <v>35</v>
      </c>
      <c r="E375">
        <v>58</v>
      </c>
      <c r="K375">
        <v>127</v>
      </c>
      <c r="N375" s="72" t="s">
        <v>38</v>
      </c>
      <c r="O375" t="s">
        <v>23</v>
      </c>
      <c r="P375">
        <v>42</v>
      </c>
      <c r="Q375" s="131">
        <v>27856</v>
      </c>
      <c r="S375"/>
      <c r="T375"/>
    </row>
    <row r="376" spans="1:20" x14ac:dyDescent="0.25">
      <c r="A376" s="86" t="s">
        <v>2269</v>
      </c>
      <c r="B376" t="s">
        <v>67</v>
      </c>
      <c r="D376">
        <v>109</v>
      </c>
      <c r="K376">
        <v>109</v>
      </c>
      <c r="N376" s="72" t="s">
        <v>155</v>
      </c>
      <c r="O376" t="s">
        <v>24</v>
      </c>
      <c r="P376">
        <v>35</v>
      </c>
      <c r="Q376" s="131">
        <v>30127</v>
      </c>
      <c r="S376"/>
      <c r="T376"/>
    </row>
    <row r="377" spans="1:20" x14ac:dyDescent="0.25">
      <c r="A377" s="86" t="s">
        <v>616</v>
      </c>
      <c r="B377" t="s">
        <v>67</v>
      </c>
      <c r="K377">
        <v>0</v>
      </c>
      <c r="N377" s="72" t="s">
        <v>650</v>
      </c>
      <c r="O377" t="s">
        <v>24</v>
      </c>
      <c r="P377">
        <v>30</v>
      </c>
      <c r="S377"/>
      <c r="T377"/>
    </row>
    <row r="378" spans="1:20" x14ac:dyDescent="0.25">
      <c r="A378" s="86" t="s">
        <v>1247</v>
      </c>
      <c r="B378" t="s">
        <v>67</v>
      </c>
      <c r="K378">
        <v>0</v>
      </c>
      <c r="N378" s="72" t="s">
        <v>505</v>
      </c>
      <c r="O378" t="s">
        <v>24</v>
      </c>
      <c r="P378">
        <v>26</v>
      </c>
      <c r="Q378" s="131">
        <v>32757</v>
      </c>
      <c r="S378"/>
      <c r="T378"/>
    </row>
    <row r="379" spans="1:20" x14ac:dyDescent="0.25">
      <c r="A379" s="86" t="s">
        <v>1662</v>
      </c>
      <c r="B379" t="s">
        <v>161</v>
      </c>
      <c r="C379">
        <v>70</v>
      </c>
      <c r="D379">
        <v>68</v>
      </c>
      <c r="E379">
        <v>92</v>
      </c>
      <c r="K379">
        <v>230</v>
      </c>
      <c r="N379" s="72" t="s">
        <v>14</v>
      </c>
      <c r="O379" t="s">
        <v>24</v>
      </c>
      <c r="P379">
        <v>53</v>
      </c>
      <c r="Q379" s="131">
        <v>23899</v>
      </c>
      <c r="S379"/>
      <c r="T379"/>
    </row>
    <row r="380" spans="1:20" x14ac:dyDescent="0.25">
      <c r="A380" s="86" t="s">
        <v>880</v>
      </c>
      <c r="B380" t="s">
        <v>67</v>
      </c>
      <c r="K380">
        <v>0</v>
      </c>
      <c r="N380" s="72" t="s">
        <v>63</v>
      </c>
      <c r="O380" t="s">
        <v>24</v>
      </c>
      <c r="P380">
        <v>27</v>
      </c>
      <c r="S380"/>
      <c r="T380"/>
    </row>
    <row r="381" spans="1:20" x14ac:dyDescent="0.25">
      <c r="A381" s="86" t="s">
        <v>2196</v>
      </c>
      <c r="B381" t="s">
        <v>160</v>
      </c>
      <c r="C381">
        <v>21</v>
      </c>
      <c r="D381">
        <v>27</v>
      </c>
      <c r="E381">
        <v>31</v>
      </c>
      <c r="F381">
        <v>21</v>
      </c>
      <c r="K381">
        <v>100</v>
      </c>
      <c r="N381" s="72" t="s">
        <v>108</v>
      </c>
      <c r="O381" t="s">
        <v>24</v>
      </c>
      <c r="P381">
        <v>44</v>
      </c>
      <c r="Q381" s="131">
        <v>26976</v>
      </c>
      <c r="S381"/>
      <c r="T381"/>
    </row>
    <row r="382" spans="1:20" x14ac:dyDescent="0.25">
      <c r="A382" s="86" t="s">
        <v>788</v>
      </c>
      <c r="B382" t="s">
        <v>160</v>
      </c>
      <c r="D382">
        <v>124</v>
      </c>
      <c r="K382">
        <v>124</v>
      </c>
      <c r="N382" s="72" t="s">
        <v>155</v>
      </c>
      <c r="O382" t="s">
        <v>24</v>
      </c>
      <c r="P382">
        <v>44</v>
      </c>
      <c r="Q382" s="131">
        <v>26837</v>
      </c>
      <c r="S382"/>
      <c r="T382"/>
    </row>
    <row r="383" spans="1:20" x14ac:dyDescent="0.25">
      <c r="A383" s="86" t="s">
        <v>502</v>
      </c>
      <c r="B383" t="s">
        <v>160</v>
      </c>
      <c r="K383">
        <v>0</v>
      </c>
      <c r="N383" s="72" t="s">
        <v>505</v>
      </c>
      <c r="O383" t="s">
        <v>24</v>
      </c>
      <c r="P383">
        <v>41</v>
      </c>
      <c r="S383"/>
      <c r="T383"/>
    </row>
    <row r="384" spans="1:20" x14ac:dyDescent="0.25">
      <c r="A384" s="86" t="s">
        <v>1150</v>
      </c>
      <c r="B384" t="s">
        <v>67</v>
      </c>
      <c r="K384">
        <v>0</v>
      </c>
      <c r="N384" s="72" t="s">
        <v>1148</v>
      </c>
      <c r="O384" t="s">
        <v>24</v>
      </c>
      <c r="P384">
        <v>36</v>
      </c>
      <c r="S384"/>
      <c r="T384"/>
    </row>
    <row r="385" spans="1:20" x14ac:dyDescent="0.25">
      <c r="A385" s="86" t="s">
        <v>1723</v>
      </c>
      <c r="B385" t="s">
        <v>67</v>
      </c>
      <c r="K385">
        <v>0</v>
      </c>
      <c r="N385" s="72" t="s">
        <v>505</v>
      </c>
      <c r="O385" t="s">
        <v>24</v>
      </c>
      <c r="P385">
        <v>39</v>
      </c>
      <c r="Q385" s="131">
        <v>28461</v>
      </c>
      <c r="S385"/>
      <c r="T385"/>
    </row>
    <row r="386" spans="1:20" x14ac:dyDescent="0.25">
      <c r="A386" s="86" t="s">
        <v>651</v>
      </c>
      <c r="B386" t="s">
        <v>160</v>
      </c>
      <c r="K386">
        <v>0</v>
      </c>
      <c r="N386" s="72" t="s">
        <v>14</v>
      </c>
      <c r="O386" t="s">
        <v>24</v>
      </c>
      <c r="P386">
        <v>42</v>
      </c>
      <c r="Q386" s="131">
        <v>27472</v>
      </c>
      <c r="S386"/>
      <c r="T386"/>
    </row>
    <row r="387" spans="1:20" x14ac:dyDescent="0.25">
      <c r="A387" s="86" t="s">
        <v>1946</v>
      </c>
      <c r="B387" t="s">
        <v>160</v>
      </c>
      <c r="K387">
        <v>0</v>
      </c>
      <c r="N387" s="72" t="s">
        <v>1639</v>
      </c>
      <c r="O387" t="s">
        <v>24</v>
      </c>
      <c r="S387"/>
      <c r="T387"/>
    </row>
    <row r="388" spans="1:20" x14ac:dyDescent="0.25">
      <c r="A388" s="86" t="s">
        <v>2233</v>
      </c>
      <c r="B388" t="s">
        <v>161</v>
      </c>
      <c r="C388">
        <v>128</v>
      </c>
      <c r="D388">
        <v>151</v>
      </c>
      <c r="E388">
        <v>169</v>
      </c>
      <c r="F388">
        <v>146</v>
      </c>
      <c r="K388">
        <v>594</v>
      </c>
      <c r="N388" s="72" t="s">
        <v>38</v>
      </c>
      <c r="O388" t="s">
        <v>24</v>
      </c>
      <c r="P388">
        <v>54</v>
      </c>
      <c r="Q388" s="131">
        <v>23242</v>
      </c>
      <c r="S388"/>
      <c r="T388"/>
    </row>
    <row r="389" spans="1:20" x14ac:dyDescent="0.25">
      <c r="A389" s="86" t="s">
        <v>670</v>
      </c>
      <c r="B389" t="s">
        <v>67</v>
      </c>
      <c r="K389">
        <v>0</v>
      </c>
      <c r="N389" s="72" t="s">
        <v>657</v>
      </c>
      <c r="O389" t="s">
        <v>24</v>
      </c>
      <c r="P389">
        <v>30</v>
      </c>
      <c r="S389"/>
      <c r="T389"/>
    </row>
    <row r="390" spans="1:20" x14ac:dyDescent="0.25">
      <c r="A390" s="86" t="s">
        <v>1640</v>
      </c>
      <c r="B390" t="s">
        <v>67</v>
      </c>
      <c r="K390">
        <v>0</v>
      </c>
      <c r="N390" s="72" t="s">
        <v>1641</v>
      </c>
      <c r="O390" t="s">
        <v>24</v>
      </c>
      <c r="P390">
        <v>39</v>
      </c>
      <c r="Q390" s="131">
        <v>28292</v>
      </c>
      <c r="S390"/>
      <c r="T390"/>
    </row>
    <row r="391" spans="1:20" x14ac:dyDescent="0.25">
      <c r="A391" s="86" t="s">
        <v>1751</v>
      </c>
      <c r="B391" t="s">
        <v>160</v>
      </c>
      <c r="C391">
        <v>107</v>
      </c>
      <c r="E391">
        <v>148</v>
      </c>
      <c r="F391">
        <v>101</v>
      </c>
      <c r="K391">
        <v>356</v>
      </c>
      <c r="N391" s="72" t="s">
        <v>63</v>
      </c>
      <c r="O391" t="s">
        <v>24</v>
      </c>
      <c r="P391">
        <v>49</v>
      </c>
      <c r="Q391" s="131">
        <v>25385</v>
      </c>
      <c r="S391"/>
      <c r="T391"/>
    </row>
    <row r="392" spans="1:20" x14ac:dyDescent="0.25">
      <c r="A392" s="86" t="s">
        <v>1523</v>
      </c>
      <c r="B392" t="s">
        <v>161</v>
      </c>
      <c r="K392">
        <v>0</v>
      </c>
      <c r="N392" s="72" t="s">
        <v>14</v>
      </c>
      <c r="O392" t="s">
        <v>24</v>
      </c>
      <c r="P392">
        <v>56</v>
      </c>
      <c r="Q392" s="131" t="s">
        <v>1524</v>
      </c>
      <c r="S392"/>
    </row>
    <row r="393" spans="1:20" x14ac:dyDescent="0.25">
      <c r="A393" s="86" t="s">
        <v>762</v>
      </c>
      <c r="B393" t="s">
        <v>162</v>
      </c>
      <c r="K393">
        <v>0</v>
      </c>
      <c r="N393" s="72" t="s">
        <v>1607</v>
      </c>
      <c r="O393" t="s">
        <v>24</v>
      </c>
      <c r="P393">
        <v>61</v>
      </c>
      <c r="S393"/>
    </row>
    <row r="394" spans="1:20" x14ac:dyDescent="0.25">
      <c r="A394" s="86" t="s">
        <v>285</v>
      </c>
      <c r="B394" t="s">
        <v>161</v>
      </c>
      <c r="K394">
        <v>0</v>
      </c>
      <c r="N394" s="72" t="s">
        <v>154</v>
      </c>
      <c r="O394" t="s">
        <v>24</v>
      </c>
      <c r="P394">
        <v>54</v>
      </c>
      <c r="Q394" s="131">
        <v>22702</v>
      </c>
      <c r="S394"/>
    </row>
    <row r="395" spans="1:20" x14ac:dyDescent="0.25">
      <c r="A395" s="86" t="s">
        <v>1843</v>
      </c>
      <c r="B395" t="s">
        <v>162</v>
      </c>
      <c r="K395">
        <v>0</v>
      </c>
      <c r="N395" s="72" t="s">
        <v>1854</v>
      </c>
      <c r="O395" t="s">
        <v>24</v>
      </c>
      <c r="P395">
        <v>64</v>
      </c>
      <c r="Q395" s="131">
        <v>19298</v>
      </c>
      <c r="S395"/>
    </row>
    <row r="396" spans="1:20" x14ac:dyDescent="0.25">
      <c r="A396" s="86" t="s">
        <v>464</v>
      </c>
      <c r="B396" t="s">
        <v>162</v>
      </c>
      <c r="K396">
        <v>0</v>
      </c>
      <c r="N396" s="72" t="s">
        <v>12</v>
      </c>
      <c r="O396" s="48" t="s">
        <v>24</v>
      </c>
      <c r="P396">
        <v>61</v>
      </c>
      <c r="Q396" s="131">
        <v>20282</v>
      </c>
      <c r="S396"/>
    </row>
    <row r="397" spans="1:20" x14ac:dyDescent="0.25">
      <c r="A397" s="86" t="s">
        <v>226</v>
      </c>
      <c r="B397" t="s">
        <v>161</v>
      </c>
      <c r="C397">
        <v>97</v>
      </c>
      <c r="D397">
        <v>100</v>
      </c>
      <c r="K397">
        <v>197</v>
      </c>
      <c r="N397" s="72" t="s">
        <v>38</v>
      </c>
      <c r="O397" t="s">
        <v>24</v>
      </c>
      <c r="P397">
        <v>55</v>
      </c>
      <c r="Q397" s="131">
        <v>22818</v>
      </c>
      <c r="S397"/>
    </row>
    <row r="398" spans="1:20" x14ac:dyDescent="0.25">
      <c r="A398" s="86" t="s">
        <v>303</v>
      </c>
      <c r="B398" t="s">
        <v>67</v>
      </c>
      <c r="K398">
        <v>0</v>
      </c>
      <c r="N398" s="72" t="s">
        <v>12</v>
      </c>
      <c r="O398" t="s">
        <v>24</v>
      </c>
      <c r="P398">
        <v>35</v>
      </c>
      <c r="Q398" s="131">
        <v>29511</v>
      </c>
      <c r="S398"/>
    </row>
    <row r="399" spans="1:20" x14ac:dyDescent="0.25">
      <c r="A399" s="86" t="s">
        <v>2034</v>
      </c>
      <c r="B399" t="s">
        <v>67</v>
      </c>
      <c r="K399">
        <v>0</v>
      </c>
      <c r="N399" s="72" t="s">
        <v>505</v>
      </c>
      <c r="O399" t="s">
        <v>24</v>
      </c>
      <c r="P399">
        <v>32</v>
      </c>
      <c r="Q399" s="131" t="s">
        <v>2035</v>
      </c>
      <c r="S399"/>
    </row>
    <row r="400" spans="1:20" x14ac:dyDescent="0.25">
      <c r="A400" s="86" t="s">
        <v>1807</v>
      </c>
      <c r="B400" t="s">
        <v>67</v>
      </c>
      <c r="K400">
        <v>0</v>
      </c>
      <c r="N400" s="72" t="s">
        <v>38</v>
      </c>
      <c r="O400" t="s">
        <v>24</v>
      </c>
      <c r="P400">
        <v>32</v>
      </c>
      <c r="Q400" s="131">
        <v>30879</v>
      </c>
      <c r="S400"/>
    </row>
    <row r="401" spans="1:20" x14ac:dyDescent="0.25">
      <c r="A401" s="86" t="s">
        <v>1030</v>
      </c>
      <c r="B401" t="s">
        <v>161</v>
      </c>
      <c r="K401">
        <v>0</v>
      </c>
      <c r="N401" s="72" t="s">
        <v>154</v>
      </c>
      <c r="O401" s="48" t="s">
        <v>24</v>
      </c>
      <c r="P401">
        <v>52</v>
      </c>
      <c r="S401"/>
    </row>
    <row r="402" spans="1:20" x14ac:dyDescent="0.25">
      <c r="A402" s="86" t="s">
        <v>550</v>
      </c>
      <c r="B402" t="s">
        <v>67</v>
      </c>
      <c r="K402">
        <v>0</v>
      </c>
      <c r="N402" s="72" t="s">
        <v>154</v>
      </c>
      <c r="O402" t="s">
        <v>24</v>
      </c>
      <c r="P402">
        <v>37</v>
      </c>
      <c r="Q402" s="131" t="s">
        <v>2020</v>
      </c>
      <c r="S402"/>
    </row>
    <row r="403" spans="1:20" x14ac:dyDescent="0.25">
      <c r="A403" s="86" t="s">
        <v>2362</v>
      </c>
      <c r="B403" t="s">
        <v>160</v>
      </c>
      <c r="E403">
        <v>164</v>
      </c>
      <c r="K403">
        <v>164</v>
      </c>
      <c r="N403" s="72" t="s">
        <v>154</v>
      </c>
      <c r="O403" t="s">
        <v>24</v>
      </c>
      <c r="P403">
        <v>42</v>
      </c>
      <c r="Q403" s="131">
        <v>27701</v>
      </c>
      <c r="S403"/>
      <c r="T403"/>
    </row>
    <row r="404" spans="1:20" x14ac:dyDescent="0.25">
      <c r="A404" s="86" t="s">
        <v>539</v>
      </c>
      <c r="B404" t="s">
        <v>161</v>
      </c>
      <c r="F404">
        <v>118</v>
      </c>
      <c r="K404">
        <v>118</v>
      </c>
      <c r="N404" s="72" t="s">
        <v>38</v>
      </c>
      <c r="O404" t="s">
        <v>24</v>
      </c>
      <c r="P404">
        <v>57</v>
      </c>
      <c r="Q404" s="131">
        <v>22239</v>
      </c>
      <c r="S404"/>
      <c r="T404"/>
    </row>
    <row r="405" spans="1:20" x14ac:dyDescent="0.25">
      <c r="A405" s="86" t="s">
        <v>1542</v>
      </c>
      <c r="B405" t="s">
        <v>160</v>
      </c>
      <c r="K405">
        <v>0</v>
      </c>
      <c r="N405" s="72" t="s">
        <v>1618</v>
      </c>
      <c r="O405" t="s">
        <v>24</v>
      </c>
      <c r="S405"/>
      <c r="T405"/>
    </row>
    <row r="406" spans="1:20" x14ac:dyDescent="0.25">
      <c r="A406" s="86" t="s">
        <v>726</v>
      </c>
      <c r="B406" t="s">
        <v>161</v>
      </c>
      <c r="K406">
        <v>0</v>
      </c>
      <c r="N406" s="72" t="s">
        <v>658</v>
      </c>
      <c r="O406" t="s">
        <v>24</v>
      </c>
      <c r="P406">
        <v>50</v>
      </c>
      <c r="S406"/>
      <c r="T406"/>
    </row>
    <row r="407" spans="1:20" x14ac:dyDescent="0.25">
      <c r="A407" s="86" t="s">
        <v>247</v>
      </c>
      <c r="B407" t="s">
        <v>162</v>
      </c>
      <c r="K407">
        <v>0</v>
      </c>
      <c r="N407" s="72" t="s">
        <v>63</v>
      </c>
      <c r="O407" t="s">
        <v>24</v>
      </c>
      <c r="P407">
        <v>61</v>
      </c>
      <c r="Q407" s="131">
        <v>20458</v>
      </c>
      <c r="S407"/>
      <c r="T407"/>
    </row>
    <row r="408" spans="1:20" x14ac:dyDescent="0.25">
      <c r="A408" s="86" t="s">
        <v>203</v>
      </c>
      <c r="B408" t="s">
        <v>160</v>
      </c>
      <c r="K408">
        <v>0</v>
      </c>
      <c r="N408" s="72" t="s">
        <v>38</v>
      </c>
      <c r="O408" t="s">
        <v>24</v>
      </c>
      <c r="P408">
        <v>47</v>
      </c>
      <c r="S408"/>
      <c r="T408"/>
    </row>
    <row r="409" spans="1:20" x14ac:dyDescent="0.25">
      <c r="A409" s="86" t="s">
        <v>1655</v>
      </c>
      <c r="B409" t="s">
        <v>162</v>
      </c>
      <c r="K409">
        <v>0</v>
      </c>
      <c r="N409" s="72" t="s">
        <v>43</v>
      </c>
      <c r="O409" t="s">
        <v>24</v>
      </c>
      <c r="P409">
        <v>60</v>
      </c>
      <c r="S409"/>
      <c r="T409"/>
    </row>
    <row r="410" spans="1:20" x14ac:dyDescent="0.25">
      <c r="A410" s="86" t="s">
        <v>199</v>
      </c>
      <c r="B410" t="s">
        <v>67</v>
      </c>
      <c r="K410">
        <v>0</v>
      </c>
      <c r="N410" s="72" t="s">
        <v>38</v>
      </c>
      <c r="O410" t="s">
        <v>24</v>
      </c>
      <c r="P410">
        <v>26</v>
      </c>
      <c r="S410"/>
      <c r="T410"/>
    </row>
    <row r="411" spans="1:20" x14ac:dyDescent="0.25">
      <c r="A411" s="86" t="s">
        <v>1164</v>
      </c>
      <c r="B411" t="s">
        <v>162</v>
      </c>
      <c r="F411">
        <v>108</v>
      </c>
      <c r="K411">
        <v>108</v>
      </c>
      <c r="N411" s="72" t="s">
        <v>2480</v>
      </c>
      <c r="O411" t="s">
        <v>24</v>
      </c>
      <c r="P411">
        <v>61</v>
      </c>
      <c r="Q411" s="131">
        <v>20840</v>
      </c>
      <c r="S411"/>
      <c r="T411"/>
    </row>
    <row r="412" spans="1:20" x14ac:dyDescent="0.25">
      <c r="A412" s="86" t="s">
        <v>1117</v>
      </c>
      <c r="B412" t="s">
        <v>160</v>
      </c>
      <c r="K412">
        <v>0</v>
      </c>
      <c r="N412" s="72" t="s">
        <v>38</v>
      </c>
      <c r="O412" t="s">
        <v>24</v>
      </c>
      <c r="P412">
        <v>48</v>
      </c>
      <c r="S412"/>
      <c r="T412"/>
    </row>
    <row r="413" spans="1:20" x14ac:dyDescent="0.25">
      <c r="A413" s="86" t="s">
        <v>1190</v>
      </c>
      <c r="B413" t="s">
        <v>161</v>
      </c>
      <c r="K413">
        <v>0</v>
      </c>
      <c r="N413" s="72" t="s">
        <v>38</v>
      </c>
      <c r="O413" t="s">
        <v>24</v>
      </c>
      <c r="P413">
        <v>55</v>
      </c>
      <c r="S413"/>
      <c r="T413"/>
    </row>
    <row r="414" spans="1:20" x14ac:dyDescent="0.25">
      <c r="A414" s="86" t="s">
        <v>1465</v>
      </c>
      <c r="B414" t="s">
        <v>160</v>
      </c>
      <c r="C414">
        <v>81</v>
      </c>
      <c r="D414">
        <v>94</v>
      </c>
      <c r="E414">
        <v>135</v>
      </c>
      <c r="F414">
        <v>125</v>
      </c>
      <c r="K414">
        <v>435</v>
      </c>
      <c r="N414" s="72" t="s">
        <v>12</v>
      </c>
      <c r="O414" t="s">
        <v>24</v>
      </c>
      <c r="P414">
        <v>42</v>
      </c>
      <c r="Q414" s="131">
        <v>27618</v>
      </c>
      <c r="S414"/>
      <c r="T414"/>
    </row>
    <row r="415" spans="1:20" x14ac:dyDescent="0.25">
      <c r="A415" s="86" t="s">
        <v>1360</v>
      </c>
      <c r="B415" t="s">
        <v>162</v>
      </c>
      <c r="F415">
        <v>121</v>
      </c>
      <c r="K415">
        <v>121</v>
      </c>
      <c r="N415" s="72" t="s">
        <v>38</v>
      </c>
      <c r="O415" t="s">
        <v>24</v>
      </c>
      <c r="P415">
        <v>62</v>
      </c>
      <c r="Q415" s="131" t="s">
        <v>2092</v>
      </c>
      <c r="S415"/>
      <c r="T415"/>
    </row>
    <row r="416" spans="1:20" x14ac:dyDescent="0.25">
      <c r="A416" s="86" t="s">
        <v>1829</v>
      </c>
      <c r="B416" t="s">
        <v>160</v>
      </c>
      <c r="K416">
        <v>0</v>
      </c>
      <c r="N416" s="72" t="s">
        <v>650</v>
      </c>
      <c r="O416" t="s">
        <v>24</v>
      </c>
      <c r="P416">
        <v>44</v>
      </c>
      <c r="Q416" s="131">
        <v>26485</v>
      </c>
      <c r="S416"/>
      <c r="T416"/>
    </row>
    <row r="417" spans="1:20" x14ac:dyDescent="0.25">
      <c r="A417" s="86" t="s">
        <v>860</v>
      </c>
      <c r="B417" t="s">
        <v>67</v>
      </c>
      <c r="K417">
        <v>0</v>
      </c>
      <c r="N417" s="72" t="s">
        <v>155</v>
      </c>
      <c r="O417" t="s">
        <v>24</v>
      </c>
      <c r="P417">
        <v>36</v>
      </c>
      <c r="S417"/>
      <c r="T417"/>
    </row>
    <row r="418" spans="1:20" x14ac:dyDescent="0.25">
      <c r="A418" s="86" t="s">
        <v>1583</v>
      </c>
      <c r="B418" t="s">
        <v>161</v>
      </c>
      <c r="K418">
        <v>0</v>
      </c>
      <c r="N418" s="72" t="s">
        <v>932</v>
      </c>
      <c r="O418" t="s">
        <v>24</v>
      </c>
      <c r="S418"/>
      <c r="T418"/>
    </row>
    <row r="419" spans="1:20" x14ac:dyDescent="0.25">
      <c r="A419" s="86" t="s">
        <v>1322</v>
      </c>
      <c r="B419" t="s">
        <v>160</v>
      </c>
      <c r="C419">
        <v>146</v>
      </c>
      <c r="K419">
        <v>146</v>
      </c>
      <c r="N419" s="72" t="s">
        <v>63</v>
      </c>
      <c r="O419" t="s">
        <v>24</v>
      </c>
      <c r="P419">
        <v>48</v>
      </c>
      <c r="Q419" s="131">
        <v>24987</v>
      </c>
      <c r="S419"/>
      <c r="T419"/>
    </row>
    <row r="420" spans="1:20" x14ac:dyDescent="0.25">
      <c r="A420" s="86" t="s">
        <v>1322</v>
      </c>
      <c r="B420" t="s">
        <v>161</v>
      </c>
      <c r="D420">
        <v>147</v>
      </c>
      <c r="K420">
        <v>147</v>
      </c>
      <c r="N420" s="72" t="s">
        <v>63</v>
      </c>
      <c r="O420" t="s">
        <v>24</v>
      </c>
      <c r="P420">
        <v>50</v>
      </c>
      <c r="Q420" s="131">
        <v>24987</v>
      </c>
      <c r="S420"/>
      <c r="T420"/>
    </row>
    <row r="421" spans="1:20" x14ac:dyDescent="0.25">
      <c r="A421" s="86" t="s">
        <v>431</v>
      </c>
      <c r="B421" t="s">
        <v>67</v>
      </c>
      <c r="K421">
        <v>0</v>
      </c>
      <c r="N421" s="72" t="s">
        <v>63</v>
      </c>
      <c r="O421" t="s">
        <v>24</v>
      </c>
      <c r="P421">
        <v>30</v>
      </c>
      <c r="S421"/>
      <c r="T421"/>
    </row>
    <row r="422" spans="1:20" x14ac:dyDescent="0.25">
      <c r="A422" s="86" t="s">
        <v>801</v>
      </c>
      <c r="B422" t="s">
        <v>161</v>
      </c>
      <c r="K422">
        <v>0</v>
      </c>
      <c r="N422" s="72" t="s">
        <v>657</v>
      </c>
      <c r="O422" t="s">
        <v>24</v>
      </c>
      <c r="P422">
        <v>54</v>
      </c>
      <c r="S422"/>
      <c r="T422"/>
    </row>
    <row r="423" spans="1:20" x14ac:dyDescent="0.25">
      <c r="A423" s="86" t="s">
        <v>2322</v>
      </c>
      <c r="B423" t="s">
        <v>67</v>
      </c>
      <c r="C423">
        <v>35</v>
      </c>
      <c r="E423">
        <v>40</v>
      </c>
      <c r="F423">
        <v>54</v>
      </c>
      <c r="K423">
        <v>129</v>
      </c>
      <c r="N423" s="72" t="s">
        <v>38</v>
      </c>
      <c r="O423" t="s">
        <v>24</v>
      </c>
      <c r="P423">
        <v>36</v>
      </c>
      <c r="Q423" s="131">
        <v>30136</v>
      </c>
      <c r="S423"/>
      <c r="T423"/>
    </row>
    <row r="424" spans="1:20" x14ac:dyDescent="0.25">
      <c r="A424" s="86" t="s">
        <v>1169</v>
      </c>
      <c r="B424" t="s">
        <v>160</v>
      </c>
      <c r="K424">
        <v>0</v>
      </c>
      <c r="N424" t="s">
        <v>649</v>
      </c>
      <c r="O424" t="s">
        <v>24</v>
      </c>
      <c r="P424">
        <v>45</v>
      </c>
      <c r="S424"/>
      <c r="T424"/>
    </row>
    <row r="425" spans="1:20" x14ac:dyDescent="0.25">
      <c r="A425" s="86" t="s">
        <v>216</v>
      </c>
      <c r="B425" t="s">
        <v>162</v>
      </c>
      <c r="K425">
        <v>0</v>
      </c>
      <c r="N425" s="72" t="s">
        <v>38</v>
      </c>
      <c r="O425" t="s">
        <v>24</v>
      </c>
      <c r="P425">
        <v>60</v>
      </c>
      <c r="Q425" s="131">
        <v>20467</v>
      </c>
      <c r="S425"/>
      <c r="T425"/>
    </row>
    <row r="426" spans="1:20" x14ac:dyDescent="0.25">
      <c r="A426" s="86" t="s">
        <v>1915</v>
      </c>
      <c r="B426" t="s">
        <v>67</v>
      </c>
      <c r="K426">
        <v>0</v>
      </c>
      <c r="N426" s="72" t="s">
        <v>1923</v>
      </c>
      <c r="O426" t="s">
        <v>24</v>
      </c>
      <c r="P426">
        <v>34</v>
      </c>
      <c r="Q426" s="131">
        <v>30405</v>
      </c>
      <c r="S426"/>
      <c r="T426"/>
    </row>
    <row r="427" spans="1:20" x14ac:dyDescent="0.25">
      <c r="A427" s="86" t="s">
        <v>612</v>
      </c>
      <c r="B427" t="s">
        <v>162</v>
      </c>
      <c r="K427">
        <v>0</v>
      </c>
      <c r="N427" s="72" t="s">
        <v>14</v>
      </c>
      <c r="O427" t="s">
        <v>24</v>
      </c>
      <c r="P427">
        <v>65</v>
      </c>
      <c r="Q427" s="131">
        <v>18988</v>
      </c>
      <c r="S427"/>
      <c r="T427"/>
    </row>
    <row r="428" spans="1:20" x14ac:dyDescent="0.25">
      <c r="A428" s="86" t="s">
        <v>246</v>
      </c>
      <c r="B428" t="s">
        <v>1817</v>
      </c>
      <c r="E428">
        <v>199</v>
      </c>
      <c r="K428">
        <v>199</v>
      </c>
      <c r="N428" s="72" t="s">
        <v>63</v>
      </c>
      <c r="O428" t="s">
        <v>24</v>
      </c>
      <c r="P428">
        <v>77</v>
      </c>
      <c r="Q428" s="131">
        <v>15132</v>
      </c>
      <c r="S428"/>
      <c r="T428"/>
    </row>
    <row r="429" spans="1:20" x14ac:dyDescent="0.25">
      <c r="A429" s="86" t="s">
        <v>1557</v>
      </c>
      <c r="B429" t="s">
        <v>160</v>
      </c>
      <c r="K429">
        <v>0</v>
      </c>
      <c r="N429" s="72" t="s">
        <v>653</v>
      </c>
      <c r="O429" t="s">
        <v>24</v>
      </c>
      <c r="S429"/>
      <c r="T429"/>
    </row>
    <row r="430" spans="1:20" x14ac:dyDescent="0.25">
      <c r="A430" s="86" t="s">
        <v>599</v>
      </c>
      <c r="B430" t="s">
        <v>67</v>
      </c>
      <c r="K430">
        <v>0</v>
      </c>
      <c r="N430" s="72" t="s">
        <v>14</v>
      </c>
      <c r="O430" t="s">
        <v>24</v>
      </c>
      <c r="P430">
        <v>30</v>
      </c>
      <c r="S430"/>
      <c r="T430"/>
    </row>
    <row r="431" spans="1:20" x14ac:dyDescent="0.25">
      <c r="A431" s="86" t="s">
        <v>382</v>
      </c>
      <c r="B431" t="s">
        <v>162</v>
      </c>
      <c r="K431">
        <v>0</v>
      </c>
      <c r="N431" s="72" t="s">
        <v>12</v>
      </c>
      <c r="O431" t="s">
        <v>24</v>
      </c>
      <c r="P431">
        <v>62</v>
      </c>
      <c r="Q431" s="131">
        <v>19790</v>
      </c>
      <c r="S431"/>
      <c r="T431"/>
    </row>
    <row r="432" spans="1:20" x14ac:dyDescent="0.25">
      <c r="A432" s="86" t="s">
        <v>1198</v>
      </c>
      <c r="B432" t="s">
        <v>158</v>
      </c>
      <c r="K432">
        <v>0</v>
      </c>
      <c r="N432" s="72" t="s">
        <v>43</v>
      </c>
      <c r="O432" t="s">
        <v>23</v>
      </c>
      <c r="P432">
        <v>50</v>
      </c>
      <c r="S432"/>
      <c r="T432"/>
    </row>
    <row r="433" spans="1:20" x14ac:dyDescent="0.25">
      <c r="A433" s="86" t="s">
        <v>784</v>
      </c>
      <c r="B433" t="s">
        <v>160</v>
      </c>
      <c r="K433">
        <v>0</v>
      </c>
      <c r="N433" s="72" t="s">
        <v>38</v>
      </c>
      <c r="O433" t="s">
        <v>24</v>
      </c>
      <c r="P433">
        <v>49</v>
      </c>
      <c r="Q433" s="131">
        <v>24976</v>
      </c>
      <c r="S433"/>
      <c r="T433"/>
    </row>
    <row r="434" spans="1:20" x14ac:dyDescent="0.25">
      <c r="A434" s="86" t="s">
        <v>1858</v>
      </c>
      <c r="B434" t="s">
        <v>159</v>
      </c>
      <c r="K434">
        <v>0</v>
      </c>
      <c r="N434" s="72" t="s">
        <v>932</v>
      </c>
      <c r="O434" t="s">
        <v>23</v>
      </c>
      <c r="P434">
        <v>56</v>
      </c>
      <c r="Q434" s="131">
        <v>22275</v>
      </c>
      <c r="S434"/>
      <c r="T434"/>
    </row>
    <row r="435" spans="1:20" x14ac:dyDescent="0.25">
      <c r="A435" s="86" t="s">
        <v>1151</v>
      </c>
      <c r="B435" t="s">
        <v>158</v>
      </c>
      <c r="K435">
        <v>0</v>
      </c>
      <c r="N435" s="72" t="s">
        <v>114</v>
      </c>
      <c r="O435" t="s">
        <v>23</v>
      </c>
      <c r="P435">
        <v>51</v>
      </c>
      <c r="S435"/>
      <c r="T435"/>
    </row>
    <row r="436" spans="1:20" x14ac:dyDescent="0.25">
      <c r="A436" s="86" t="s">
        <v>1124</v>
      </c>
      <c r="B436" t="s">
        <v>157</v>
      </c>
      <c r="K436">
        <v>0</v>
      </c>
      <c r="N436" s="72" t="s">
        <v>38</v>
      </c>
      <c r="O436" t="s">
        <v>23</v>
      </c>
      <c r="P436">
        <v>42</v>
      </c>
      <c r="S436"/>
      <c r="T436"/>
    </row>
    <row r="437" spans="1:20" x14ac:dyDescent="0.25">
      <c r="A437" s="86" t="s">
        <v>1425</v>
      </c>
      <c r="B437" t="s">
        <v>158</v>
      </c>
      <c r="K437">
        <v>0</v>
      </c>
      <c r="N437" s="72" t="s">
        <v>38</v>
      </c>
      <c r="O437" t="s">
        <v>23</v>
      </c>
      <c r="P437">
        <v>45</v>
      </c>
      <c r="Q437" s="131">
        <v>26130</v>
      </c>
      <c r="S437"/>
      <c r="T437"/>
    </row>
    <row r="438" spans="1:20" x14ac:dyDescent="0.25">
      <c r="A438" s="86" t="s">
        <v>2024</v>
      </c>
      <c r="B438" t="s">
        <v>158</v>
      </c>
      <c r="K438">
        <v>0</v>
      </c>
      <c r="N438" s="72" t="s">
        <v>155</v>
      </c>
      <c r="O438" t="s">
        <v>23</v>
      </c>
      <c r="P438">
        <v>47</v>
      </c>
      <c r="Q438" s="131">
        <v>25652</v>
      </c>
      <c r="S438"/>
      <c r="T438"/>
    </row>
    <row r="439" spans="1:20" x14ac:dyDescent="0.25">
      <c r="A439" s="86" t="s">
        <v>501</v>
      </c>
      <c r="B439" t="s">
        <v>157</v>
      </c>
      <c r="K439">
        <v>0</v>
      </c>
      <c r="N439" s="72" t="s">
        <v>505</v>
      </c>
      <c r="O439" t="s">
        <v>23</v>
      </c>
      <c r="P439">
        <v>37</v>
      </c>
      <c r="S439"/>
      <c r="T439"/>
    </row>
    <row r="440" spans="1:20" x14ac:dyDescent="0.25">
      <c r="A440" s="86" t="s">
        <v>1989</v>
      </c>
      <c r="B440" t="s">
        <v>157</v>
      </c>
      <c r="K440">
        <v>0</v>
      </c>
      <c r="N440" s="72" t="s">
        <v>14</v>
      </c>
      <c r="O440" t="s">
        <v>23</v>
      </c>
      <c r="S440"/>
      <c r="T440"/>
    </row>
    <row r="441" spans="1:20" x14ac:dyDescent="0.25">
      <c r="A441" s="86" t="s">
        <v>984</v>
      </c>
      <c r="B441" t="s">
        <v>158</v>
      </c>
      <c r="K441">
        <v>0</v>
      </c>
      <c r="N441" s="72" t="s">
        <v>14</v>
      </c>
      <c r="O441" t="s">
        <v>23</v>
      </c>
      <c r="P441">
        <v>53</v>
      </c>
      <c r="S441"/>
      <c r="T441"/>
    </row>
    <row r="442" spans="1:20" x14ac:dyDescent="0.25">
      <c r="A442" s="86" t="s">
        <v>314</v>
      </c>
      <c r="B442" t="s">
        <v>162</v>
      </c>
      <c r="K442">
        <v>0</v>
      </c>
      <c r="N442" s="72" t="s">
        <v>108</v>
      </c>
      <c r="O442" t="s">
        <v>24</v>
      </c>
      <c r="P442">
        <v>61</v>
      </c>
      <c r="Q442" s="131">
        <v>20321</v>
      </c>
      <c r="S442"/>
      <c r="T442"/>
    </row>
    <row r="443" spans="1:20" x14ac:dyDescent="0.25">
      <c r="A443" s="86" t="s">
        <v>1581</v>
      </c>
      <c r="B443" t="s">
        <v>161</v>
      </c>
      <c r="K443">
        <v>0</v>
      </c>
      <c r="N443" s="72" t="s">
        <v>653</v>
      </c>
      <c r="O443" t="s">
        <v>24</v>
      </c>
      <c r="S443"/>
      <c r="T443"/>
    </row>
    <row r="444" spans="1:20" x14ac:dyDescent="0.25">
      <c r="A444" s="86" t="s">
        <v>943</v>
      </c>
      <c r="B444" t="s">
        <v>160</v>
      </c>
      <c r="K444">
        <v>0</v>
      </c>
      <c r="N444" s="72" t="s">
        <v>657</v>
      </c>
      <c r="O444" t="s">
        <v>24</v>
      </c>
      <c r="P444">
        <v>42</v>
      </c>
      <c r="S444"/>
      <c r="T444"/>
    </row>
    <row r="445" spans="1:20" x14ac:dyDescent="0.25">
      <c r="A445" s="86" t="s">
        <v>646</v>
      </c>
      <c r="B445" t="s">
        <v>158</v>
      </c>
      <c r="K445">
        <v>0</v>
      </c>
      <c r="N445" s="72" t="s">
        <v>63</v>
      </c>
      <c r="O445" t="s">
        <v>23</v>
      </c>
      <c r="P445">
        <v>50</v>
      </c>
      <c r="S445"/>
      <c r="T445"/>
    </row>
    <row r="446" spans="1:20" x14ac:dyDescent="0.25">
      <c r="A446" s="86" t="s">
        <v>730</v>
      </c>
      <c r="B446" t="s">
        <v>162</v>
      </c>
      <c r="K446">
        <v>0</v>
      </c>
      <c r="N446" s="72" t="s">
        <v>38</v>
      </c>
      <c r="O446" t="s">
        <v>852</v>
      </c>
      <c r="P446">
        <v>69</v>
      </c>
      <c r="Q446" s="131">
        <v>17708</v>
      </c>
      <c r="S446"/>
      <c r="T446"/>
    </row>
    <row r="447" spans="1:20" x14ac:dyDescent="0.25">
      <c r="A447" s="86" t="s">
        <v>225</v>
      </c>
      <c r="B447" t="s">
        <v>159</v>
      </c>
      <c r="K447">
        <v>0</v>
      </c>
      <c r="N447" s="72" t="s">
        <v>38</v>
      </c>
      <c r="O447" t="s">
        <v>23</v>
      </c>
      <c r="P447">
        <v>56</v>
      </c>
      <c r="S447"/>
      <c r="T447"/>
    </row>
    <row r="448" spans="1:20" x14ac:dyDescent="0.25">
      <c r="A448" s="86" t="s">
        <v>1988</v>
      </c>
      <c r="B448" t="s">
        <v>157</v>
      </c>
      <c r="K448">
        <v>0</v>
      </c>
      <c r="N448" s="72" t="s">
        <v>657</v>
      </c>
      <c r="O448" t="s">
        <v>23</v>
      </c>
      <c r="S448"/>
      <c r="T448"/>
    </row>
    <row r="449" spans="1:20" x14ac:dyDescent="0.25">
      <c r="A449" s="86" t="s">
        <v>1651</v>
      </c>
      <c r="B449" t="s">
        <v>160</v>
      </c>
      <c r="C449">
        <v>42</v>
      </c>
      <c r="D449">
        <v>48</v>
      </c>
      <c r="E449">
        <v>70</v>
      </c>
      <c r="F449">
        <v>49</v>
      </c>
      <c r="K449">
        <v>209</v>
      </c>
      <c r="N449" s="72" t="s">
        <v>108</v>
      </c>
      <c r="O449" t="s">
        <v>24</v>
      </c>
      <c r="P449">
        <v>42</v>
      </c>
      <c r="Q449" s="131">
        <v>27597</v>
      </c>
      <c r="S449"/>
      <c r="T449"/>
    </row>
    <row r="450" spans="1:20" x14ac:dyDescent="0.25">
      <c r="A450" s="86" t="s">
        <v>451</v>
      </c>
      <c r="B450" t="s">
        <v>161</v>
      </c>
      <c r="C450">
        <v>130</v>
      </c>
      <c r="K450">
        <v>130</v>
      </c>
      <c r="N450" s="72" t="s">
        <v>1325</v>
      </c>
      <c r="O450" t="s">
        <v>24</v>
      </c>
      <c r="P450">
        <v>52</v>
      </c>
      <c r="Q450" s="131">
        <v>23897</v>
      </c>
      <c r="S450"/>
      <c r="T450"/>
    </row>
    <row r="451" spans="1:20" x14ac:dyDescent="0.25">
      <c r="A451" s="86" t="s">
        <v>683</v>
      </c>
      <c r="B451" t="s">
        <v>162</v>
      </c>
      <c r="C451">
        <v>144</v>
      </c>
      <c r="D451">
        <v>144</v>
      </c>
      <c r="E451">
        <v>178</v>
      </c>
      <c r="F451">
        <v>150</v>
      </c>
      <c r="K451">
        <v>616</v>
      </c>
      <c r="N451" s="72" t="s">
        <v>43</v>
      </c>
      <c r="O451" t="s">
        <v>24</v>
      </c>
      <c r="P451">
        <v>63</v>
      </c>
      <c r="Q451" s="131">
        <v>20287</v>
      </c>
      <c r="S451"/>
      <c r="T451"/>
    </row>
    <row r="452" spans="1:20" x14ac:dyDescent="0.25">
      <c r="A452" s="86" t="s">
        <v>793</v>
      </c>
      <c r="B452" t="s">
        <v>162</v>
      </c>
      <c r="K452">
        <v>0</v>
      </c>
      <c r="N452" s="72" t="s">
        <v>821</v>
      </c>
      <c r="O452" t="s">
        <v>24</v>
      </c>
      <c r="P452">
        <v>70</v>
      </c>
      <c r="S452"/>
      <c r="T452"/>
    </row>
    <row r="453" spans="1:20" x14ac:dyDescent="0.25">
      <c r="A453" s="86" t="s">
        <v>802</v>
      </c>
      <c r="B453" t="s">
        <v>161</v>
      </c>
      <c r="K453">
        <v>0</v>
      </c>
      <c r="N453" s="72" t="s">
        <v>817</v>
      </c>
      <c r="O453" t="s">
        <v>24</v>
      </c>
      <c r="P453">
        <v>54</v>
      </c>
      <c r="S453"/>
      <c r="T453"/>
    </row>
    <row r="454" spans="1:20" x14ac:dyDescent="0.25">
      <c r="A454" s="86" t="s">
        <v>2042</v>
      </c>
      <c r="B454" t="s">
        <v>1817</v>
      </c>
      <c r="K454">
        <v>0</v>
      </c>
      <c r="N454" s="72" t="s">
        <v>43</v>
      </c>
      <c r="O454" t="s">
        <v>24</v>
      </c>
      <c r="P454">
        <v>74</v>
      </c>
      <c r="Q454" s="131" t="s">
        <v>2043</v>
      </c>
      <c r="S454"/>
      <c r="T454"/>
    </row>
    <row r="455" spans="1:20" x14ac:dyDescent="0.25">
      <c r="A455" s="86" t="s">
        <v>1652</v>
      </c>
      <c r="B455" t="s">
        <v>162</v>
      </c>
      <c r="K455">
        <v>0</v>
      </c>
      <c r="N455" s="72" t="s">
        <v>63</v>
      </c>
      <c r="O455" t="s">
        <v>24</v>
      </c>
      <c r="P455">
        <v>63</v>
      </c>
      <c r="Q455" s="131" t="s">
        <v>2046</v>
      </c>
      <c r="S455"/>
      <c r="T455"/>
    </row>
    <row r="456" spans="1:20" x14ac:dyDescent="0.25">
      <c r="A456" s="86" t="s">
        <v>1089</v>
      </c>
      <c r="B456" t="s">
        <v>160</v>
      </c>
      <c r="K456">
        <v>0</v>
      </c>
      <c r="N456" s="72" t="s">
        <v>12</v>
      </c>
      <c r="O456" t="s">
        <v>24</v>
      </c>
      <c r="P456">
        <v>44</v>
      </c>
      <c r="S456"/>
      <c r="T456"/>
    </row>
    <row r="457" spans="1:20" x14ac:dyDescent="0.25">
      <c r="A457" s="86" t="s">
        <v>1046</v>
      </c>
      <c r="B457" t="s">
        <v>161</v>
      </c>
      <c r="K457">
        <v>0</v>
      </c>
      <c r="N457" s="72" t="s">
        <v>505</v>
      </c>
      <c r="O457" t="s">
        <v>24</v>
      </c>
      <c r="P457">
        <v>58</v>
      </c>
      <c r="S457"/>
      <c r="T457"/>
    </row>
    <row r="458" spans="1:20" x14ac:dyDescent="0.25">
      <c r="A458" s="86" t="s">
        <v>725</v>
      </c>
      <c r="B458" t="s">
        <v>161</v>
      </c>
      <c r="K458">
        <v>0</v>
      </c>
      <c r="N458" s="72" t="s">
        <v>657</v>
      </c>
      <c r="O458" t="s">
        <v>24</v>
      </c>
      <c r="P458">
        <v>56</v>
      </c>
      <c r="S458"/>
      <c r="T458"/>
    </row>
    <row r="459" spans="1:20" x14ac:dyDescent="0.25">
      <c r="A459" s="86" t="s">
        <v>239</v>
      </c>
      <c r="B459" t="s">
        <v>160</v>
      </c>
      <c r="D459">
        <v>32</v>
      </c>
      <c r="F459">
        <v>33</v>
      </c>
      <c r="K459">
        <v>65</v>
      </c>
      <c r="N459" s="72" t="s">
        <v>43</v>
      </c>
      <c r="O459" t="s">
        <v>24</v>
      </c>
      <c r="P459">
        <v>48</v>
      </c>
      <c r="Q459" s="131">
        <v>25721</v>
      </c>
      <c r="S459"/>
      <c r="T459"/>
    </row>
    <row r="460" spans="1:20" x14ac:dyDescent="0.25">
      <c r="A460" s="86" t="s">
        <v>1891</v>
      </c>
      <c r="B460" t="s">
        <v>161</v>
      </c>
      <c r="E460">
        <v>158</v>
      </c>
      <c r="F460">
        <v>128</v>
      </c>
      <c r="K460">
        <v>286</v>
      </c>
      <c r="N460" s="72" t="s">
        <v>14</v>
      </c>
      <c r="O460" t="s">
        <v>24</v>
      </c>
      <c r="P460">
        <v>52</v>
      </c>
      <c r="Q460" s="131">
        <v>24046</v>
      </c>
      <c r="S460"/>
      <c r="T460"/>
    </row>
    <row r="461" spans="1:20" x14ac:dyDescent="0.25">
      <c r="A461" s="86" t="s">
        <v>1904</v>
      </c>
      <c r="B461" t="s">
        <v>157</v>
      </c>
      <c r="K461">
        <v>0</v>
      </c>
      <c r="N461" s="72" t="s">
        <v>1923</v>
      </c>
      <c r="O461" t="s">
        <v>23</v>
      </c>
      <c r="P461">
        <v>42</v>
      </c>
      <c r="Q461" s="131">
        <v>27278</v>
      </c>
      <c r="S461"/>
      <c r="T461"/>
    </row>
    <row r="462" spans="1:20" x14ac:dyDescent="0.25">
      <c r="A462" s="86" t="s">
        <v>179</v>
      </c>
      <c r="B462" t="s">
        <v>158</v>
      </c>
      <c r="C462">
        <v>58</v>
      </c>
      <c r="D462">
        <v>60</v>
      </c>
      <c r="E462">
        <v>106</v>
      </c>
      <c r="F462">
        <v>67</v>
      </c>
      <c r="K462">
        <v>291</v>
      </c>
      <c r="N462" s="72" t="s">
        <v>12</v>
      </c>
      <c r="O462" t="s">
        <v>23</v>
      </c>
      <c r="P462">
        <v>49</v>
      </c>
      <c r="Q462" s="131">
        <v>25400</v>
      </c>
      <c r="S462"/>
      <c r="T462"/>
    </row>
    <row r="463" spans="1:20" x14ac:dyDescent="0.25">
      <c r="A463" s="86" t="s">
        <v>2000</v>
      </c>
      <c r="B463" t="s">
        <v>158</v>
      </c>
      <c r="K463">
        <v>0</v>
      </c>
      <c r="N463" s="72" t="s">
        <v>108</v>
      </c>
      <c r="O463" t="s">
        <v>23</v>
      </c>
      <c r="S463"/>
      <c r="T463"/>
    </row>
    <row r="464" spans="1:20" x14ac:dyDescent="0.25">
      <c r="A464" s="86" t="s">
        <v>855</v>
      </c>
      <c r="B464" t="s">
        <v>158</v>
      </c>
      <c r="K464">
        <v>0</v>
      </c>
      <c r="N464" s="72" t="s">
        <v>43</v>
      </c>
      <c r="O464" t="s">
        <v>23</v>
      </c>
      <c r="P464">
        <v>54</v>
      </c>
      <c r="S464"/>
      <c r="T464"/>
    </row>
    <row r="465" spans="1:20" x14ac:dyDescent="0.25">
      <c r="A465" s="86" t="s">
        <v>508</v>
      </c>
      <c r="B465" t="s">
        <v>159</v>
      </c>
      <c r="K465">
        <v>0</v>
      </c>
      <c r="N465" s="72" t="s">
        <v>108</v>
      </c>
      <c r="O465" t="s">
        <v>23</v>
      </c>
      <c r="P465">
        <v>55</v>
      </c>
      <c r="Q465" s="131">
        <v>22739</v>
      </c>
      <c r="S465"/>
      <c r="T465"/>
    </row>
    <row r="466" spans="1:20" x14ac:dyDescent="0.25">
      <c r="A466" s="86" t="s">
        <v>1122</v>
      </c>
      <c r="B466" t="s">
        <v>160</v>
      </c>
      <c r="E466">
        <v>32</v>
      </c>
      <c r="F466">
        <v>24</v>
      </c>
      <c r="K466">
        <v>56</v>
      </c>
      <c r="N466" s="72" t="s">
        <v>43</v>
      </c>
      <c r="O466" t="s">
        <v>24</v>
      </c>
      <c r="P466">
        <v>46</v>
      </c>
      <c r="Q466" s="131">
        <v>26288</v>
      </c>
      <c r="S466"/>
      <c r="T466"/>
    </row>
    <row r="467" spans="1:20" x14ac:dyDescent="0.25">
      <c r="A467" s="86" t="s">
        <v>896</v>
      </c>
      <c r="B467" t="s">
        <v>160</v>
      </c>
      <c r="K467">
        <v>0</v>
      </c>
      <c r="N467" s="72" t="s">
        <v>12</v>
      </c>
      <c r="O467" t="s">
        <v>24</v>
      </c>
      <c r="P467">
        <v>45</v>
      </c>
      <c r="Q467" s="131">
        <v>26089</v>
      </c>
      <c r="S467"/>
      <c r="T467"/>
    </row>
    <row r="468" spans="1:20" x14ac:dyDescent="0.25">
      <c r="A468" s="86" t="s">
        <v>422</v>
      </c>
      <c r="B468" t="s">
        <v>160</v>
      </c>
      <c r="K468">
        <v>0</v>
      </c>
      <c r="N468" s="72" t="s">
        <v>63</v>
      </c>
      <c r="O468" t="s">
        <v>24</v>
      </c>
      <c r="P468">
        <v>49</v>
      </c>
      <c r="Q468" s="131">
        <v>24609</v>
      </c>
      <c r="S468"/>
      <c r="T468"/>
    </row>
    <row r="469" spans="1:20" x14ac:dyDescent="0.25">
      <c r="A469" s="86" t="s">
        <v>520</v>
      </c>
      <c r="B469" t="s">
        <v>157</v>
      </c>
      <c r="K469">
        <v>0</v>
      </c>
      <c r="N469" s="72" t="s">
        <v>63</v>
      </c>
      <c r="O469" t="s">
        <v>23</v>
      </c>
      <c r="P469">
        <v>40</v>
      </c>
      <c r="Q469" s="131">
        <v>27562</v>
      </c>
      <c r="S469"/>
      <c r="T469"/>
    </row>
    <row r="470" spans="1:20" x14ac:dyDescent="0.25">
      <c r="A470" s="86" t="s">
        <v>1367</v>
      </c>
      <c r="B470" t="s">
        <v>67</v>
      </c>
      <c r="K470">
        <v>0</v>
      </c>
      <c r="N470" s="72" t="s">
        <v>12</v>
      </c>
      <c r="O470" t="s">
        <v>24</v>
      </c>
      <c r="P470">
        <v>39</v>
      </c>
      <c r="Q470" s="131">
        <v>28209</v>
      </c>
      <c r="S470"/>
      <c r="T470"/>
    </row>
    <row r="471" spans="1:20" x14ac:dyDescent="0.25">
      <c r="A471" s="86" t="s">
        <v>765</v>
      </c>
      <c r="B471" t="s">
        <v>156</v>
      </c>
      <c r="K471">
        <v>0</v>
      </c>
      <c r="N471" s="72" t="s">
        <v>51</v>
      </c>
      <c r="O471" t="s">
        <v>23</v>
      </c>
      <c r="P471">
        <v>32</v>
      </c>
      <c r="S471"/>
      <c r="T471"/>
    </row>
    <row r="472" spans="1:20" x14ac:dyDescent="0.25">
      <c r="A472" s="86" t="s">
        <v>386</v>
      </c>
      <c r="B472" t="s">
        <v>161</v>
      </c>
      <c r="C472">
        <v>154</v>
      </c>
      <c r="E472">
        <v>198</v>
      </c>
      <c r="K472">
        <v>352</v>
      </c>
      <c r="N472" s="72" t="s">
        <v>12</v>
      </c>
      <c r="O472" t="s">
        <v>24</v>
      </c>
      <c r="P472">
        <v>59</v>
      </c>
      <c r="Q472" s="131">
        <v>21555</v>
      </c>
      <c r="S472"/>
      <c r="T472"/>
    </row>
    <row r="473" spans="1:20" x14ac:dyDescent="0.25">
      <c r="A473" s="86" t="s">
        <v>592</v>
      </c>
      <c r="B473" t="s">
        <v>67</v>
      </c>
      <c r="K473">
        <v>0</v>
      </c>
      <c r="N473" s="72" t="s">
        <v>654</v>
      </c>
      <c r="O473" t="s">
        <v>24</v>
      </c>
      <c r="P473">
        <v>32</v>
      </c>
      <c r="S473"/>
      <c r="T473"/>
    </row>
    <row r="474" spans="1:20" x14ac:dyDescent="0.25">
      <c r="A474" s="86" t="s">
        <v>2125</v>
      </c>
      <c r="B474" t="s">
        <v>158</v>
      </c>
      <c r="E474">
        <v>185</v>
      </c>
      <c r="K474">
        <v>185</v>
      </c>
      <c r="N474" s="72" t="s">
        <v>1805</v>
      </c>
      <c r="O474" t="s">
        <v>23</v>
      </c>
      <c r="P474">
        <v>45</v>
      </c>
      <c r="Q474" s="131">
        <v>26781</v>
      </c>
      <c r="S474"/>
      <c r="T474"/>
    </row>
    <row r="475" spans="1:20" x14ac:dyDescent="0.25">
      <c r="A475" s="86" t="s">
        <v>2367</v>
      </c>
      <c r="B475" t="s">
        <v>156</v>
      </c>
      <c r="E475">
        <v>89</v>
      </c>
      <c r="K475">
        <v>89</v>
      </c>
      <c r="N475" s="72" t="s">
        <v>505</v>
      </c>
      <c r="O475" t="s">
        <v>23</v>
      </c>
      <c r="P475">
        <v>28</v>
      </c>
      <c r="Q475" s="131">
        <v>32785</v>
      </c>
      <c r="S475"/>
      <c r="T475"/>
    </row>
    <row r="476" spans="1:20" x14ac:dyDescent="0.25">
      <c r="A476" s="86" t="s">
        <v>916</v>
      </c>
      <c r="B476" t="s">
        <v>158</v>
      </c>
      <c r="E476">
        <v>142</v>
      </c>
      <c r="F476">
        <v>74</v>
      </c>
      <c r="K476">
        <v>216</v>
      </c>
      <c r="N476" s="72" t="s">
        <v>108</v>
      </c>
      <c r="O476" t="s">
        <v>23</v>
      </c>
      <c r="P476">
        <v>54</v>
      </c>
      <c r="Q476" s="131">
        <v>23481</v>
      </c>
      <c r="S476"/>
      <c r="T476"/>
    </row>
    <row r="477" spans="1:20" x14ac:dyDescent="0.25">
      <c r="A477" s="86" t="s">
        <v>542</v>
      </c>
      <c r="B477" t="s">
        <v>162</v>
      </c>
      <c r="K477">
        <v>0</v>
      </c>
      <c r="N477" s="72" t="s">
        <v>155</v>
      </c>
      <c r="O477" t="s">
        <v>24</v>
      </c>
      <c r="P477">
        <v>67</v>
      </c>
      <c r="S477"/>
      <c r="T477"/>
    </row>
    <row r="478" spans="1:20" x14ac:dyDescent="0.25">
      <c r="A478" s="86" t="s">
        <v>259</v>
      </c>
      <c r="B478" t="s">
        <v>162</v>
      </c>
      <c r="C478">
        <v>115</v>
      </c>
      <c r="K478">
        <v>115</v>
      </c>
      <c r="N478" s="72" t="s">
        <v>12</v>
      </c>
      <c r="O478" t="s">
        <v>24</v>
      </c>
      <c r="P478">
        <v>63</v>
      </c>
      <c r="Q478" s="131">
        <v>19268</v>
      </c>
      <c r="S478"/>
      <c r="T478"/>
    </row>
    <row r="479" spans="1:20" x14ac:dyDescent="0.25">
      <c r="A479" s="86" t="s">
        <v>641</v>
      </c>
      <c r="B479" t="s">
        <v>157</v>
      </c>
      <c r="K479">
        <v>0</v>
      </c>
      <c r="N479" s="72" t="s">
        <v>817</v>
      </c>
      <c r="O479" t="s">
        <v>23</v>
      </c>
      <c r="P479">
        <v>42</v>
      </c>
      <c r="S479"/>
      <c r="T479"/>
    </row>
    <row r="480" spans="1:20" x14ac:dyDescent="0.25">
      <c r="A480" s="86" t="s">
        <v>664</v>
      </c>
      <c r="B480" t="s">
        <v>67</v>
      </c>
      <c r="K480">
        <v>0</v>
      </c>
      <c r="N480" s="72" t="s">
        <v>653</v>
      </c>
      <c r="O480" t="s">
        <v>24</v>
      </c>
      <c r="P480">
        <v>30</v>
      </c>
      <c r="S480"/>
      <c r="T480"/>
    </row>
    <row r="481" spans="1:20" x14ac:dyDescent="0.25">
      <c r="A481" s="86" t="s">
        <v>1343</v>
      </c>
      <c r="B481" t="s">
        <v>67</v>
      </c>
      <c r="K481">
        <v>0</v>
      </c>
      <c r="N481" s="72" t="s">
        <v>1618</v>
      </c>
      <c r="O481" t="s">
        <v>24</v>
      </c>
      <c r="P481">
        <v>34</v>
      </c>
      <c r="Q481" s="131">
        <v>29856</v>
      </c>
      <c r="S481"/>
      <c r="T481"/>
    </row>
    <row r="482" spans="1:20" x14ac:dyDescent="0.25">
      <c r="A482" s="86" t="s">
        <v>2325</v>
      </c>
      <c r="B482" t="s">
        <v>67</v>
      </c>
      <c r="E482">
        <v>47</v>
      </c>
      <c r="K482">
        <v>47</v>
      </c>
      <c r="N482" s="72" t="s">
        <v>154</v>
      </c>
      <c r="O482" t="s">
        <v>24</v>
      </c>
      <c r="P482">
        <v>18</v>
      </c>
      <c r="Q482" s="131">
        <v>36358</v>
      </c>
      <c r="S482"/>
      <c r="T482"/>
    </row>
    <row r="483" spans="1:20" x14ac:dyDescent="0.25">
      <c r="A483" s="86" t="s">
        <v>2219</v>
      </c>
      <c r="B483" t="s">
        <v>67</v>
      </c>
      <c r="C483">
        <v>108</v>
      </c>
      <c r="D483">
        <v>95</v>
      </c>
      <c r="E483">
        <v>119</v>
      </c>
      <c r="K483">
        <v>322</v>
      </c>
      <c r="N483" s="72" t="s">
        <v>108</v>
      </c>
      <c r="O483" t="s">
        <v>24</v>
      </c>
      <c r="P483">
        <v>27</v>
      </c>
      <c r="Q483" s="131">
        <v>33071</v>
      </c>
      <c r="S483"/>
      <c r="T483"/>
    </row>
    <row r="484" spans="1:20" x14ac:dyDescent="0.25">
      <c r="A484" s="86" t="s">
        <v>982</v>
      </c>
      <c r="B484" t="s">
        <v>161</v>
      </c>
      <c r="K484">
        <v>0</v>
      </c>
      <c r="N484" s="72" t="s">
        <v>656</v>
      </c>
      <c r="O484" t="s">
        <v>24</v>
      </c>
      <c r="P484">
        <v>51</v>
      </c>
      <c r="S484"/>
      <c r="T484"/>
    </row>
    <row r="485" spans="1:20" x14ac:dyDescent="0.25">
      <c r="A485" s="86" t="s">
        <v>680</v>
      </c>
      <c r="B485" t="s">
        <v>160</v>
      </c>
      <c r="K485">
        <v>0</v>
      </c>
      <c r="N485" s="72" t="s">
        <v>1324</v>
      </c>
      <c r="O485" t="s">
        <v>24</v>
      </c>
      <c r="P485">
        <v>40</v>
      </c>
      <c r="S485"/>
      <c r="T485"/>
    </row>
    <row r="486" spans="1:20" x14ac:dyDescent="0.25">
      <c r="A486" s="86" t="s">
        <v>1560</v>
      </c>
      <c r="B486" t="s">
        <v>67</v>
      </c>
      <c r="K486">
        <v>0</v>
      </c>
      <c r="N486" s="72" t="s">
        <v>1618</v>
      </c>
      <c r="O486" t="s">
        <v>24</v>
      </c>
      <c r="S486"/>
      <c r="T486"/>
    </row>
    <row r="487" spans="1:20" x14ac:dyDescent="0.25">
      <c r="A487" s="86" t="s">
        <v>528</v>
      </c>
      <c r="B487" t="s">
        <v>162</v>
      </c>
      <c r="K487">
        <v>0</v>
      </c>
      <c r="N487" s="72" t="s">
        <v>13</v>
      </c>
      <c r="O487" t="s">
        <v>24</v>
      </c>
      <c r="P487">
        <v>61</v>
      </c>
      <c r="S487"/>
      <c r="T487"/>
    </row>
    <row r="488" spans="1:20" x14ac:dyDescent="0.25">
      <c r="A488" s="86" t="s">
        <v>1656</v>
      </c>
      <c r="B488" t="s">
        <v>159</v>
      </c>
      <c r="K488">
        <v>0</v>
      </c>
      <c r="N488" s="72" t="s">
        <v>657</v>
      </c>
      <c r="O488" t="s">
        <v>23</v>
      </c>
      <c r="P488">
        <v>67</v>
      </c>
      <c r="S488"/>
      <c r="T488"/>
    </row>
    <row r="489" spans="1:20" x14ac:dyDescent="0.25">
      <c r="A489" s="86" t="s">
        <v>1417</v>
      </c>
      <c r="B489" t="s">
        <v>159</v>
      </c>
      <c r="D489">
        <v>81</v>
      </c>
      <c r="E489">
        <v>145</v>
      </c>
      <c r="K489">
        <v>226</v>
      </c>
      <c r="N489" s="72" t="s">
        <v>38</v>
      </c>
      <c r="O489" t="s">
        <v>23</v>
      </c>
      <c r="P489">
        <v>63</v>
      </c>
      <c r="Q489" s="131">
        <v>19916</v>
      </c>
      <c r="S489"/>
      <c r="T489"/>
    </row>
    <row r="490" spans="1:20" x14ac:dyDescent="0.25">
      <c r="A490" s="86" t="s">
        <v>1086</v>
      </c>
      <c r="B490" t="s">
        <v>157</v>
      </c>
      <c r="K490">
        <v>0</v>
      </c>
      <c r="N490" s="72" t="s">
        <v>38</v>
      </c>
      <c r="O490" t="s">
        <v>23</v>
      </c>
      <c r="P490">
        <v>37</v>
      </c>
      <c r="Q490" s="131">
        <v>29361</v>
      </c>
      <c r="S490"/>
      <c r="T490"/>
    </row>
    <row r="491" spans="1:20" x14ac:dyDescent="0.25">
      <c r="A491" s="86" t="s">
        <v>1323</v>
      </c>
      <c r="B491" t="s">
        <v>156</v>
      </c>
      <c r="C491">
        <v>3</v>
      </c>
      <c r="D491">
        <v>4</v>
      </c>
      <c r="E491">
        <v>6</v>
      </c>
      <c r="F491">
        <v>6</v>
      </c>
      <c r="K491">
        <v>19</v>
      </c>
      <c r="N491" s="70" t="s">
        <v>12</v>
      </c>
      <c r="O491" t="s">
        <v>23</v>
      </c>
      <c r="P491">
        <v>29</v>
      </c>
      <c r="Q491" s="131">
        <v>32661</v>
      </c>
      <c r="S491"/>
      <c r="T491"/>
    </row>
    <row r="492" spans="1:20" x14ac:dyDescent="0.25">
      <c r="A492" s="86" t="s">
        <v>2004</v>
      </c>
      <c r="B492" t="s">
        <v>156</v>
      </c>
      <c r="E492">
        <v>101</v>
      </c>
      <c r="K492">
        <v>101</v>
      </c>
      <c r="N492" s="72" t="s">
        <v>505</v>
      </c>
      <c r="O492" t="s">
        <v>23</v>
      </c>
      <c r="P492">
        <v>20</v>
      </c>
      <c r="Q492" s="131">
        <v>35807</v>
      </c>
      <c r="S492"/>
      <c r="T492"/>
    </row>
    <row r="493" spans="1:20" x14ac:dyDescent="0.25">
      <c r="A493" s="86" t="s">
        <v>2314</v>
      </c>
      <c r="B493" t="s">
        <v>158</v>
      </c>
      <c r="C493">
        <v>106</v>
      </c>
      <c r="D493">
        <v>107</v>
      </c>
      <c r="K493">
        <v>213</v>
      </c>
      <c r="N493" s="72" t="s">
        <v>12</v>
      </c>
      <c r="O493" t="s">
        <v>23</v>
      </c>
      <c r="P493">
        <v>47</v>
      </c>
      <c r="Q493" s="131" t="s">
        <v>2094</v>
      </c>
      <c r="S493"/>
      <c r="T493"/>
    </row>
    <row r="494" spans="1:20" x14ac:dyDescent="0.25">
      <c r="A494" s="86" t="s">
        <v>972</v>
      </c>
      <c r="B494" t="s">
        <v>159</v>
      </c>
      <c r="K494">
        <v>0</v>
      </c>
      <c r="N494" s="72" t="s">
        <v>38</v>
      </c>
      <c r="O494" t="s">
        <v>23</v>
      </c>
      <c r="P494">
        <v>63</v>
      </c>
      <c r="Q494" s="131">
        <v>19206</v>
      </c>
      <c r="S494"/>
      <c r="T494"/>
    </row>
    <row r="495" spans="1:20" x14ac:dyDescent="0.25">
      <c r="A495" s="86" t="s">
        <v>583</v>
      </c>
      <c r="B495" t="s">
        <v>156</v>
      </c>
      <c r="K495">
        <v>0</v>
      </c>
      <c r="N495" s="72" t="s">
        <v>63</v>
      </c>
      <c r="O495" t="s">
        <v>23</v>
      </c>
      <c r="P495">
        <v>30</v>
      </c>
      <c r="S495"/>
      <c r="T495"/>
    </row>
    <row r="496" spans="1:20" x14ac:dyDescent="0.25">
      <c r="A496" s="86" t="s">
        <v>1689</v>
      </c>
      <c r="B496" t="s">
        <v>156</v>
      </c>
      <c r="K496">
        <v>0</v>
      </c>
      <c r="N496" s="72" t="s">
        <v>14</v>
      </c>
      <c r="O496" t="s">
        <v>23</v>
      </c>
      <c r="P496">
        <v>29</v>
      </c>
      <c r="Q496" s="131">
        <v>31935</v>
      </c>
      <c r="S496"/>
      <c r="T496"/>
    </row>
    <row r="497" spans="1:20" x14ac:dyDescent="0.25">
      <c r="A497" s="86" t="s">
        <v>2726</v>
      </c>
      <c r="B497" t="s">
        <v>67</v>
      </c>
      <c r="F497">
        <v>124</v>
      </c>
      <c r="K497">
        <v>124</v>
      </c>
      <c r="N497" s="72" t="s">
        <v>14</v>
      </c>
      <c r="O497" t="s">
        <v>24</v>
      </c>
      <c r="P497">
        <v>27</v>
      </c>
      <c r="S497"/>
      <c r="T497"/>
    </row>
    <row r="498" spans="1:20" x14ac:dyDescent="0.25">
      <c r="A498" s="86" t="s">
        <v>1705</v>
      </c>
      <c r="B498" t="s">
        <v>159</v>
      </c>
      <c r="K498">
        <v>0</v>
      </c>
      <c r="N498" s="72" t="s">
        <v>109</v>
      </c>
      <c r="O498" t="s">
        <v>23</v>
      </c>
      <c r="P498">
        <v>66</v>
      </c>
      <c r="Q498" s="131" t="s">
        <v>1733</v>
      </c>
      <c r="S498"/>
      <c r="T498"/>
    </row>
    <row r="499" spans="1:20" x14ac:dyDescent="0.25">
      <c r="A499" s="86" t="s">
        <v>881</v>
      </c>
      <c r="B499" t="s">
        <v>156</v>
      </c>
      <c r="K499">
        <v>0</v>
      </c>
      <c r="N499" s="72" t="s">
        <v>63</v>
      </c>
      <c r="O499" t="s">
        <v>23</v>
      </c>
      <c r="P499">
        <v>34</v>
      </c>
      <c r="S499"/>
      <c r="T499"/>
    </row>
    <row r="500" spans="1:20" x14ac:dyDescent="0.25">
      <c r="A500" s="86" t="s">
        <v>1965</v>
      </c>
      <c r="B500" t="s">
        <v>158</v>
      </c>
      <c r="K500">
        <v>0</v>
      </c>
      <c r="N500" s="72" t="s">
        <v>2008</v>
      </c>
      <c r="O500" t="s">
        <v>23</v>
      </c>
      <c r="S500"/>
      <c r="T500"/>
    </row>
    <row r="501" spans="1:20" x14ac:dyDescent="0.25">
      <c r="A501" s="86" t="s">
        <v>1812</v>
      </c>
      <c r="B501" t="s">
        <v>156</v>
      </c>
      <c r="K501">
        <v>0</v>
      </c>
      <c r="N501" s="72" t="s">
        <v>63</v>
      </c>
      <c r="O501" t="s">
        <v>23</v>
      </c>
      <c r="P501">
        <v>24</v>
      </c>
      <c r="Q501" s="131">
        <v>33793</v>
      </c>
      <c r="S501"/>
      <c r="T501"/>
    </row>
    <row r="502" spans="1:20" x14ac:dyDescent="0.25">
      <c r="A502" s="86" t="s">
        <v>1450</v>
      </c>
      <c r="B502" t="s">
        <v>156</v>
      </c>
      <c r="C502">
        <v>5</v>
      </c>
      <c r="D502">
        <v>7</v>
      </c>
      <c r="E502">
        <v>8</v>
      </c>
      <c r="F502">
        <v>5</v>
      </c>
      <c r="K502">
        <v>25</v>
      </c>
      <c r="N502" s="72" t="s">
        <v>12</v>
      </c>
      <c r="O502" t="s">
        <v>23</v>
      </c>
      <c r="P502">
        <v>33</v>
      </c>
      <c r="Q502" s="131">
        <v>30885</v>
      </c>
      <c r="S502"/>
      <c r="T502"/>
    </row>
    <row r="503" spans="1:20" x14ac:dyDescent="0.25">
      <c r="A503" s="86" t="s">
        <v>1137</v>
      </c>
      <c r="B503" t="s">
        <v>156</v>
      </c>
      <c r="K503">
        <v>0</v>
      </c>
      <c r="N503" s="72" t="s">
        <v>52</v>
      </c>
      <c r="O503" t="s">
        <v>23</v>
      </c>
      <c r="P503">
        <v>28</v>
      </c>
      <c r="S503"/>
      <c r="T503"/>
    </row>
    <row r="504" spans="1:20" x14ac:dyDescent="0.25">
      <c r="A504" s="86" t="s">
        <v>2211</v>
      </c>
      <c r="B504" t="s">
        <v>156</v>
      </c>
      <c r="C504">
        <v>11</v>
      </c>
      <c r="D504">
        <v>19</v>
      </c>
      <c r="F504">
        <v>10</v>
      </c>
      <c r="K504">
        <v>40</v>
      </c>
      <c r="N504" s="72" t="s">
        <v>63</v>
      </c>
      <c r="O504" t="s">
        <v>23</v>
      </c>
      <c r="P504">
        <v>26</v>
      </c>
      <c r="Q504" s="131">
        <v>33776</v>
      </c>
      <c r="S504"/>
      <c r="T504"/>
    </row>
    <row r="505" spans="1:20" x14ac:dyDescent="0.25">
      <c r="A505" s="86" t="s">
        <v>1809</v>
      </c>
      <c r="B505" t="s">
        <v>157</v>
      </c>
      <c r="K505">
        <v>0</v>
      </c>
      <c r="N505" s="72" t="s">
        <v>63</v>
      </c>
      <c r="O505" t="s">
        <v>23</v>
      </c>
      <c r="P505">
        <v>42</v>
      </c>
      <c r="Q505" s="131">
        <v>27240</v>
      </c>
      <c r="S505"/>
      <c r="T505"/>
    </row>
    <row r="506" spans="1:20" x14ac:dyDescent="0.25">
      <c r="A506" s="86" t="s">
        <v>484</v>
      </c>
      <c r="B506" t="s">
        <v>156</v>
      </c>
      <c r="K506">
        <v>0</v>
      </c>
      <c r="N506" s="72" t="s">
        <v>63</v>
      </c>
      <c r="O506" t="s">
        <v>23</v>
      </c>
      <c r="P506">
        <v>34</v>
      </c>
      <c r="S506"/>
      <c r="T506"/>
    </row>
    <row r="507" spans="1:20" x14ac:dyDescent="0.25">
      <c r="A507" s="86" t="s">
        <v>2029</v>
      </c>
      <c r="B507" t="s">
        <v>157</v>
      </c>
      <c r="K507">
        <v>0</v>
      </c>
      <c r="N507" s="72" t="s">
        <v>38</v>
      </c>
      <c r="O507" t="s">
        <v>23</v>
      </c>
      <c r="P507">
        <v>38</v>
      </c>
      <c r="Q507" s="131">
        <v>28847</v>
      </c>
      <c r="S507"/>
      <c r="T507"/>
    </row>
    <row r="508" spans="1:20" x14ac:dyDescent="0.25">
      <c r="A508" s="86" t="s">
        <v>2019</v>
      </c>
      <c r="B508" t="s">
        <v>156</v>
      </c>
      <c r="K508">
        <v>0</v>
      </c>
      <c r="N508" s="72" t="s">
        <v>39</v>
      </c>
      <c r="O508" t="s">
        <v>23</v>
      </c>
      <c r="P508">
        <v>24</v>
      </c>
      <c r="Q508" s="131">
        <v>34040</v>
      </c>
      <c r="S508"/>
      <c r="T508"/>
    </row>
    <row r="509" spans="1:20" x14ac:dyDescent="0.25">
      <c r="A509" s="86" t="s">
        <v>1576</v>
      </c>
      <c r="B509" t="s">
        <v>157</v>
      </c>
      <c r="K509">
        <v>0</v>
      </c>
      <c r="N509" s="72" t="s">
        <v>155</v>
      </c>
      <c r="O509" t="s">
        <v>23</v>
      </c>
      <c r="P509">
        <v>42</v>
      </c>
      <c r="Q509" s="131" t="s">
        <v>2095</v>
      </c>
      <c r="S509"/>
      <c r="T509"/>
    </row>
    <row r="510" spans="1:20" x14ac:dyDescent="0.25">
      <c r="A510" s="86" t="s">
        <v>1202</v>
      </c>
      <c r="B510" t="s">
        <v>157</v>
      </c>
      <c r="K510">
        <v>0</v>
      </c>
      <c r="N510" s="72" t="s">
        <v>12</v>
      </c>
      <c r="O510" t="s">
        <v>23</v>
      </c>
      <c r="P510">
        <v>38</v>
      </c>
      <c r="Q510" s="131">
        <v>28529</v>
      </c>
      <c r="S510"/>
      <c r="T510"/>
    </row>
    <row r="511" spans="1:20" x14ac:dyDescent="0.25">
      <c r="A511" s="86" t="s">
        <v>741</v>
      </c>
      <c r="B511" t="s">
        <v>156</v>
      </c>
      <c r="K511">
        <v>0</v>
      </c>
      <c r="N511" s="72" t="s">
        <v>657</v>
      </c>
      <c r="O511" t="s">
        <v>23</v>
      </c>
      <c r="P511">
        <v>30</v>
      </c>
      <c r="S511"/>
      <c r="T511"/>
    </row>
    <row r="512" spans="1:20" x14ac:dyDescent="0.25">
      <c r="A512" s="86" t="s">
        <v>488</v>
      </c>
      <c r="B512" t="s">
        <v>157</v>
      </c>
      <c r="K512">
        <v>0</v>
      </c>
      <c r="N512" s="72" t="s">
        <v>43</v>
      </c>
      <c r="O512" t="s">
        <v>23</v>
      </c>
      <c r="P512">
        <v>39</v>
      </c>
      <c r="S512"/>
      <c r="T512"/>
    </row>
    <row r="513" spans="1:20" x14ac:dyDescent="0.25">
      <c r="A513" s="86" t="s">
        <v>1933</v>
      </c>
      <c r="B513" t="s">
        <v>157</v>
      </c>
      <c r="D513">
        <v>64</v>
      </c>
      <c r="E513">
        <v>120</v>
      </c>
      <c r="F513">
        <v>70</v>
      </c>
      <c r="K513">
        <v>254</v>
      </c>
      <c r="N513" s="72" t="s">
        <v>155</v>
      </c>
      <c r="O513" t="s">
        <v>23</v>
      </c>
      <c r="P513">
        <v>44</v>
      </c>
      <c r="Q513" s="131">
        <v>27116</v>
      </c>
      <c r="S513"/>
      <c r="T513"/>
    </row>
    <row r="514" spans="1:20" x14ac:dyDescent="0.25">
      <c r="A514" s="86" t="s">
        <v>1047</v>
      </c>
      <c r="B514" t="s">
        <v>156</v>
      </c>
      <c r="K514">
        <v>0</v>
      </c>
      <c r="N514" s="72" t="s">
        <v>43</v>
      </c>
      <c r="O514" t="s">
        <v>23</v>
      </c>
      <c r="P514">
        <v>29</v>
      </c>
      <c r="S514"/>
      <c r="T514"/>
    </row>
    <row r="515" spans="1:20" x14ac:dyDescent="0.25">
      <c r="A515" s="86" t="s">
        <v>2144</v>
      </c>
      <c r="B515" t="s">
        <v>157</v>
      </c>
      <c r="K515">
        <v>0</v>
      </c>
      <c r="N515" s="72" t="s">
        <v>505</v>
      </c>
      <c r="O515" t="s">
        <v>23</v>
      </c>
      <c r="P515">
        <v>42</v>
      </c>
      <c r="Q515" s="131">
        <v>27415</v>
      </c>
      <c r="S515"/>
      <c r="T515"/>
    </row>
    <row r="516" spans="1:20" x14ac:dyDescent="0.25">
      <c r="A516" s="86" t="s">
        <v>473</v>
      </c>
      <c r="B516" t="s">
        <v>158</v>
      </c>
      <c r="K516">
        <v>0</v>
      </c>
      <c r="N516" s="72" t="s">
        <v>38</v>
      </c>
      <c r="O516" t="s">
        <v>23</v>
      </c>
      <c r="P516">
        <v>45</v>
      </c>
      <c r="Q516" s="131" t="s">
        <v>1253</v>
      </c>
      <c r="S516"/>
      <c r="T516"/>
    </row>
    <row r="517" spans="1:20" x14ac:dyDescent="0.25">
      <c r="A517" s="86" t="s">
        <v>1114</v>
      </c>
      <c r="B517" t="s">
        <v>156</v>
      </c>
      <c r="K517">
        <v>0</v>
      </c>
      <c r="N517" s="72" t="s">
        <v>12</v>
      </c>
      <c r="O517" t="s">
        <v>23</v>
      </c>
      <c r="P517">
        <v>34</v>
      </c>
      <c r="Q517" s="131">
        <v>30126</v>
      </c>
      <c r="S517"/>
      <c r="T517"/>
    </row>
    <row r="518" spans="1:20" x14ac:dyDescent="0.25">
      <c r="A518" s="86" t="s">
        <v>531</v>
      </c>
      <c r="B518" t="s">
        <v>67</v>
      </c>
      <c r="E518">
        <v>64</v>
      </c>
      <c r="F518">
        <v>59</v>
      </c>
      <c r="K518">
        <v>123</v>
      </c>
      <c r="N518" s="72" t="s">
        <v>12</v>
      </c>
      <c r="O518" t="s">
        <v>24</v>
      </c>
      <c r="P518">
        <v>39</v>
      </c>
      <c r="Q518" s="131">
        <v>28956</v>
      </c>
      <c r="S518"/>
      <c r="T518"/>
    </row>
    <row r="519" spans="1:20" x14ac:dyDescent="0.25">
      <c r="A519" s="86" t="s">
        <v>2133</v>
      </c>
      <c r="B519" t="s">
        <v>67</v>
      </c>
      <c r="K519">
        <v>0</v>
      </c>
      <c r="N519" s="72" t="s">
        <v>505</v>
      </c>
      <c r="O519" t="s">
        <v>24</v>
      </c>
      <c r="P519">
        <v>38</v>
      </c>
      <c r="Q519" s="131">
        <v>28937</v>
      </c>
      <c r="S519"/>
      <c r="T519"/>
    </row>
    <row r="520" spans="1:20" x14ac:dyDescent="0.25">
      <c r="A520" s="86" t="s">
        <v>339</v>
      </c>
      <c r="B520" s="48" t="s">
        <v>160</v>
      </c>
      <c r="K520">
        <v>0</v>
      </c>
      <c r="N520" s="72" t="s">
        <v>1650</v>
      </c>
      <c r="O520" t="s">
        <v>24</v>
      </c>
      <c r="P520">
        <v>49</v>
      </c>
      <c r="Q520" s="131">
        <v>24612</v>
      </c>
      <c r="S520"/>
      <c r="T520"/>
    </row>
    <row r="521" spans="1:20" x14ac:dyDescent="0.25">
      <c r="A521" s="86" t="s">
        <v>1006</v>
      </c>
      <c r="B521" t="s">
        <v>161</v>
      </c>
      <c r="K521">
        <v>0</v>
      </c>
      <c r="N521" s="72" t="s">
        <v>14</v>
      </c>
      <c r="O521" t="s">
        <v>24</v>
      </c>
      <c r="P521">
        <v>55</v>
      </c>
      <c r="S521"/>
      <c r="T521"/>
    </row>
    <row r="522" spans="1:20" x14ac:dyDescent="0.25">
      <c r="A522" s="86" t="s">
        <v>1082</v>
      </c>
      <c r="B522" t="s">
        <v>162</v>
      </c>
      <c r="F522">
        <v>115</v>
      </c>
      <c r="K522">
        <v>115</v>
      </c>
      <c r="N522" s="72" t="s">
        <v>108</v>
      </c>
      <c r="O522" t="s">
        <v>24</v>
      </c>
      <c r="P522">
        <v>63</v>
      </c>
      <c r="Q522" s="131">
        <v>20000</v>
      </c>
      <c r="S522"/>
      <c r="T522"/>
    </row>
    <row r="523" spans="1:20" x14ac:dyDescent="0.25">
      <c r="A523" s="86" t="s">
        <v>985</v>
      </c>
      <c r="B523" t="s">
        <v>156</v>
      </c>
      <c r="K523">
        <v>0</v>
      </c>
      <c r="N523" s="72" t="s">
        <v>14</v>
      </c>
      <c r="O523" t="s">
        <v>23</v>
      </c>
      <c r="P523">
        <v>31</v>
      </c>
      <c r="S523"/>
      <c r="T523"/>
    </row>
    <row r="524" spans="1:20" x14ac:dyDescent="0.25">
      <c r="A524" s="86" t="s">
        <v>1929</v>
      </c>
      <c r="B524" t="s">
        <v>159</v>
      </c>
      <c r="C524">
        <v>111</v>
      </c>
      <c r="K524">
        <v>111</v>
      </c>
      <c r="N524" s="72" t="s">
        <v>63</v>
      </c>
      <c r="O524" t="s">
        <v>23</v>
      </c>
      <c r="P524">
        <v>61</v>
      </c>
      <c r="Q524" s="131">
        <v>20353</v>
      </c>
      <c r="S524"/>
      <c r="T524"/>
    </row>
    <row r="525" spans="1:20" x14ac:dyDescent="0.25">
      <c r="A525" s="86" t="s">
        <v>354</v>
      </c>
      <c r="B525" t="s">
        <v>67</v>
      </c>
      <c r="E525">
        <v>1</v>
      </c>
      <c r="K525">
        <v>1</v>
      </c>
      <c r="N525" s="72" t="s">
        <v>12</v>
      </c>
      <c r="O525" t="s">
        <v>24</v>
      </c>
      <c r="P525">
        <v>28</v>
      </c>
      <c r="Q525" s="131">
        <v>32968</v>
      </c>
      <c r="S525"/>
    </row>
    <row r="526" spans="1:20" x14ac:dyDescent="0.25">
      <c r="A526" s="86" t="s">
        <v>2374</v>
      </c>
      <c r="B526" t="s">
        <v>67</v>
      </c>
      <c r="E526">
        <v>179</v>
      </c>
      <c r="K526">
        <v>179</v>
      </c>
      <c r="N526" s="72" t="s">
        <v>505</v>
      </c>
      <c r="O526" t="s">
        <v>24</v>
      </c>
      <c r="P526">
        <v>27</v>
      </c>
      <c r="Q526" s="131">
        <v>33094</v>
      </c>
      <c r="S526"/>
    </row>
    <row r="527" spans="1:20" x14ac:dyDescent="0.25">
      <c r="A527" s="86" t="s">
        <v>668</v>
      </c>
      <c r="B527" t="s">
        <v>67</v>
      </c>
      <c r="K527">
        <v>0</v>
      </c>
      <c r="N527" s="72" t="s">
        <v>656</v>
      </c>
      <c r="O527" t="s">
        <v>24</v>
      </c>
      <c r="P527">
        <v>30</v>
      </c>
      <c r="S527"/>
    </row>
    <row r="528" spans="1:20" x14ac:dyDescent="0.25">
      <c r="A528" s="86" t="s">
        <v>1187</v>
      </c>
      <c r="B528" s="48" t="s">
        <v>156</v>
      </c>
      <c r="K528">
        <v>0</v>
      </c>
      <c r="N528" s="72" t="s">
        <v>503</v>
      </c>
      <c r="O528" t="s">
        <v>23</v>
      </c>
      <c r="P528">
        <v>31</v>
      </c>
      <c r="S528"/>
    </row>
    <row r="529" spans="1:20" x14ac:dyDescent="0.25">
      <c r="A529" s="86" t="s">
        <v>1551</v>
      </c>
      <c r="B529" t="s">
        <v>157</v>
      </c>
      <c r="K529">
        <v>0</v>
      </c>
      <c r="N529" s="72" t="s">
        <v>653</v>
      </c>
      <c r="O529" t="s">
        <v>23</v>
      </c>
      <c r="S529"/>
    </row>
    <row r="530" spans="1:20" x14ac:dyDescent="0.25">
      <c r="A530" s="86" t="s">
        <v>1890</v>
      </c>
      <c r="B530" t="s">
        <v>156</v>
      </c>
      <c r="K530">
        <v>0</v>
      </c>
      <c r="N530" s="72" t="s">
        <v>12</v>
      </c>
      <c r="O530" t="s">
        <v>23</v>
      </c>
      <c r="P530">
        <v>32</v>
      </c>
      <c r="Q530" s="131">
        <v>30903</v>
      </c>
      <c r="S530"/>
    </row>
    <row r="531" spans="1:20" x14ac:dyDescent="0.25">
      <c r="A531" s="86" t="s">
        <v>675</v>
      </c>
      <c r="B531" t="s">
        <v>157</v>
      </c>
      <c r="K531">
        <v>0</v>
      </c>
      <c r="N531" s="72" t="s">
        <v>43</v>
      </c>
      <c r="O531" t="s">
        <v>23</v>
      </c>
      <c r="P531">
        <v>35</v>
      </c>
      <c r="S531"/>
    </row>
    <row r="532" spans="1:20" x14ac:dyDescent="0.25">
      <c r="A532" s="86" t="s">
        <v>629</v>
      </c>
      <c r="B532" t="s">
        <v>156</v>
      </c>
      <c r="K532">
        <v>0</v>
      </c>
      <c r="N532" s="72" t="s">
        <v>12</v>
      </c>
      <c r="O532" t="s">
        <v>23</v>
      </c>
      <c r="P532">
        <v>30</v>
      </c>
      <c r="S532"/>
    </row>
    <row r="533" spans="1:20" x14ac:dyDescent="0.25">
      <c r="A533" s="86" t="s">
        <v>476</v>
      </c>
      <c r="B533" t="s">
        <v>158</v>
      </c>
      <c r="C533">
        <v>39</v>
      </c>
      <c r="D533">
        <v>37</v>
      </c>
      <c r="E533">
        <v>78</v>
      </c>
      <c r="K533">
        <v>154</v>
      </c>
      <c r="N533" s="72" t="s">
        <v>154</v>
      </c>
      <c r="O533" t="s">
        <v>23</v>
      </c>
      <c r="P533">
        <v>48</v>
      </c>
      <c r="Q533" s="131">
        <v>25593</v>
      </c>
      <c r="S533"/>
    </row>
    <row r="534" spans="1:20" x14ac:dyDescent="0.25">
      <c r="A534" s="86" t="s">
        <v>1481</v>
      </c>
      <c r="B534" t="s">
        <v>160</v>
      </c>
      <c r="K534">
        <v>0</v>
      </c>
      <c r="N534" s="72" t="s">
        <v>505</v>
      </c>
      <c r="O534" t="s">
        <v>24</v>
      </c>
      <c r="P534">
        <v>48</v>
      </c>
      <c r="Q534" s="131">
        <v>24684</v>
      </c>
      <c r="S534"/>
    </row>
    <row r="535" spans="1:20" x14ac:dyDescent="0.25">
      <c r="A535" s="86" t="s">
        <v>235</v>
      </c>
      <c r="B535" t="s">
        <v>159</v>
      </c>
      <c r="K535">
        <v>0</v>
      </c>
      <c r="N535" s="72" t="s">
        <v>236</v>
      </c>
      <c r="O535" t="s">
        <v>23</v>
      </c>
      <c r="P535">
        <v>55</v>
      </c>
      <c r="S535"/>
    </row>
    <row r="536" spans="1:20" x14ac:dyDescent="0.25">
      <c r="A536" s="86" t="s">
        <v>1056</v>
      </c>
      <c r="B536" t="s">
        <v>158</v>
      </c>
      <c r="K536">
        <v>0</v>
      </c>
      <c r="N536" s="72" t="s">
        <v>12</v>
      </c>
      <c r="O536" t="s">
        <v>23</v>
      </c>
      <c r="P536">
        <v>51</v>
      </c>
      <c r="Q536" s="131">
        <v>24179</v>
      </c>
      <c r="S536"/>
    </row>
    <row r="537" spans="1:20" x14ac:dyDescent="0.25">
      <c r="A537" s="86" t="s">
        <v>174</v>
      </c>
      <c r="B537" t="s">
        <v>159</v>
      </c>
      <c r="C537">
        <v>46</v>
      </c>
      <c r="E537">
        <v>80</v>
      </c>
      <c r="K537">
        <v>126</v>
      </c>
      <c r="N537" s="72" t="s">
        <v>12</v>
      </c>
      <c r="O537" t="s">
        <v>23</v>
      </c>
      <c r="P537">
        <v>61</v>
      </c>
      <c r="Q537" s="131">
        <v>20853</v>
      </c>
      <c r="S537"/>
    </row>
    <row r="538" spans="1:20" x14ac:dyDescent="0.25">
      <c r="A538" s="86" t="s">
        <v>703</v>
      </c>
      <c r="B538" t="s">
        <v>158</v>
      </c>
      <c r="K538">
        <v>0</v>
      </c>
      <c r="N538" s="72" t="s">
        <v>656</v>
      </c>
      <c r="O538" t="s">
        <v>23</v>
      </c>
      <c r="P538">
        <v>46</v>
      </c>
      <c r="S538"/>
      <c r="T538"/>
    </row>
    <row r="539" spans="1:20" x14ac:dyDescent="0.25">
      <c r="A539" s="86" t="s">
        <v>297</v>
      </c>
      <c r="B539" t="s">
        <v>157</v>
      </c>
      <c r="K539">
        <v>0</v>
      </c>
      <c r="N539" s="72" t="s">
        <v>12</v>
      </c>
      <c r="O539" t="s">
        <v>23</v>
      </c>
      <c r="P539">
        <v>43</v>
      </c>
      <c r="S539"/>
      <c r="T539"/>
    </row>
    <row r="540" spans="1:20" x14ac:dyDescent="0.25">
      <c r="A540" s="86" t="s">
        <v>2255</v>
      </c>
      <c r="B540" t="s">
        <v>160</v>
      </c>
      <c r="C540">
        <v>126</v>
      </c>
      <c r="D540">
        <v>118</v>
      </c>
      <c r="F540">
        <v>116</v>
      </c>
      <c r="K540">
        <v>360</v>
      </c>
      <c r="N540" s="72" t="s">
        <v>12</v>
      </c>
      <c r="O540" t="s">
        <v>24</v>
      </c>
      <c r="P540">
        <v>44</v>
      </c>
      <c r="Q540" s="131">
        <v>27156</v>
      </c>
      <c r="S540"/>
      <c r="T540"/>
    </row>
    <row r="541" spans="1:20" x14ac:dyDescent="0.25">
      <c r="A541" s="86" t="s">
        <v>2391</v>
      </c>
      <c r="B541" t="s">
        <v>156</v>
      </c>
      <c r="E541">
        <v>155</v>
      </c>
      <c r="K541">
        <v>155</v>
      </c>
      <c r="N541" s="72" t="s">
        <v>505</v>
      </c>
      <c r="O541" t="s">
        <v>23</v>
      </c>
      <c r="P541">
        <v>27</v>
      </c>
      <c r="Q541" s="131">
        <v>33185</v>
      </c>
      <c r="S541"/>
      <c r="T541"/>
    </row>
    <row r="542" spans="1:20" x14ac:dyDescent="0.25">
      <c r="A542" s="86" t="s">
        <v>457</v>
      </c>
      <c r="B542" t="s">
        <v>158</v>
      </c>
      <c r="K542">
        <v>0</v>
      </c>
      <c r="N542" s="72" t="s">
        <v>51</v>
      </c>
      <c r="O542" t="s">
        <v>23</v>
      </c>
      <c r="P542">
        <v>48</v>
      </c>
      <c r="S542"/>
      <c r="T542"/>
    </row>
    <row r="543" spans="1:20" x14ac:dyDescent="0.25">
      <c r="A543" s="86" t="s">
        <v>1005</v>
      </c>
      <c r="B543" t="s">
        <v>158</v>
      </c>
      <c r="C543">
        <v>18</v>
      </c>
      <c r="D543">
        <v>20</v>
      </c>
      <c r="E543">
        <v>23</v>
      </c>
      <c r="F543">
        <v>21</v>
      </c>
      <c r="K543">
        <v>82</v>
      </c>
      <c r="N543" s="72" t="s">
        <v>14</v>
      </c>
      <c r="O543" t="s">
        <v>23</v>
      </c>
      <c r="P543">
        <v>54</v>
      </c>
      <c r="Q543" s="131">
        <v>23373</v>
      </c>
      <c r="S543"/>
      <c r="T543"/>
    </row>
    <row r="544" spans="1:20" x14ac:dyDescent="0.25">
      <c r="A544" s="86" t="s">
        <v>1980</v>
      </c>
      <c r="B544" t="s">
        <v>157</v>
      </c>
      <c r="K544">
        <v>0</v>
      </c>
      <c r="N544" s="72" t="s">
        <v>657</v>
      </c>
      <c r="O544" t="s">
        <v>23</v>
      </c>
      <c r="S544"/>
      <c r="T544"/>
    </row>
    <row r="545" spans="1:20" x14ac:dyDescent="0.25">
      <c r="A545" s="86" t="s">
        <v>437</v>
      </c>
      <c r="B545" s="48" t="s">
        <v>162</v>
      </c>
      <c r="C545">
        <v>141</v>
      </c>
      <c r="E545">
        <v>172</v>
      </c>
      <c r="K545">
        <v>313</v>
      </c>
      <c r="N545" s="72" t="s">
        <v>12</v>
      </c>
      <c r="O545" t="s">
        <v>24</v>
      </c>
      <c r="P545">
        <v>67</v>
      </c>
      <c r="Q545" s="131">
        <v>18740</v>
      </c>
      <c r="S545"/>
      <c r="T545"/>
    </row>
    <row r="546" spans="1:20" x14ac:dyDescent="0.25">
      <c r="A546" s="86" t="s">
        <v>2118</v>
      </c>
      <c r="B546" t="s">
        <v>161</v>
      </c>
      <c r="K546">
        <v>0</v>
      </c>
      <c r="N546" s="72" t="s">
        <v>108</v>
      </c>
      <c r="O546" t="s">
        <v>24</v>
      </c>
      <c r="P546">
        <v>57</v>
      </c>
      <c r="Q546" s="131">
        <v>22255</v>
      </c>
      <c r="S546"/>
      <c r="T546"/>
    </row>
    <row r="547" spans="1:20" x14ac:dyDescent="0.25">
      <c r="A547" s="86" t="s">
        <v>731</v>
      </c>
      <c r="B547" t="s">
        <v>161</v>
      </c>
      <c r="K547">
        <v>0</v>
      </c>
      <c r="N547" s="72" t="s">
        <v>1499</v>
      </c>
      <c r="O547" t="s">
        <v>24</v>
      </c>
      <c r="P547">
        <v>58</v>
      </c>
      <c r="Q547" s="131">
        <v>21546</v>
      </c>
      <c r="S547"/>
      <c r="T547"/>
    </row>
    <row r="548" spans="1:20" x14ac:dyDescent="0.25">
      <c r="A548" s="86" t="s">
        <v>1483</v>
      </c>
      <c r="B548" t="s">
        <v>162</v>
      </c>
      <c r="D548">
        <v>108</v>
      </c>
      <c r="K548">
        <v>108</v>
      </c>
      <c r="N548" s="72" t="s">
        <v>38</v>
      </c>
      <c r="O548" t="s">
        <v>24</v>
      </c>
      <c r="P548">
        <v>63</v>
      </c>
      <c r="Q548" s="131">
        <v>20136</v>
      </c>
      <c r="S548"/>
      <c r="T548"/>
    </row>
    <row r="549" spans="1:20" x14ac:dyDescent="0.25">
      <c r="A549" s="86" t="s">
        <v>2307</v>
      </c>
      <c r="B549" t="s">
        <v>160</v>
      </c>
      <c r="F549">
        <v>30</v>
      </c>
      <c r="K549">
        <v>30</v>
      </c>
      <c r="N549" s="72" t="s">
        <v>63</v>
      </c>
      <c r="O549" t="s">
        <v>24</v>
      </c>
      <c r="P549">
        <v>49</v>
      </c>
      <c r="Q549" s="131">
        <v>25135</v>
      </c>
      <c r="S549"/>
      <c r="T549"/>
    </row>
    <row r="550" spans="1:20" x14ac:dyDescent="0.25">
      <c r="A550" s="86" t="s">
        <v>1749</v>
      </c>
      <c r="B550" t="s">
        <v>158</v>
      </c>
      <c r="C550">
        <v>71</v>
      </c>
      <c r="D550">
        <v>72</v>
      </c>
      <c r="K550">
        <v>143</v>
      </c>
      <c r="N550" s="72" t="s">
        <v>108</v>
      </c>
      <c r="O550" t="s">
        <v>23</v>
      </c>
      <c r="P550">
        <v>54</v>
      </c>
      <c r="Q550" s="131">
        <v>23202</v>
      </c>
      <c r="S550"/>
      <c r="T550"/>
    </row>
    <row r="551" spans="1:20" x14ac:dyDescent="0.25">
      <c r="A551" s="86" t="s">
        <v>1749</v>
      </c>
      <c r="B551" t="s">
        <v>159</v>
      </c>
      <c r="F551">
        <v>69</v>
      </c>
      <c r="K551">
        <v>69</v>
      </c>
      <c r="N551" s="72" t="s">
        <v>108</v>
      </c>
      <c r="O551" t="s">
        <v>23</v>
      </c>
      <c r="P551">
        <v>55</v>
      </c>
      <c r="Q551" s="131">
        <v>23202</v>
      </c>
      <c r="S551"/>
      <c r="T551"/>
    </row>
    <row r="552" spans="1:20" x14ac:dyDescent="0.25">
      <c r="A552" s="86" t="s">
        <v>1029</v>
      </c>
      <c r="B552" t="s">
        <v>158</v>
      </c>
      <c r="K552">
        <v>0</v>
      </c>
      <c r="N552" s="72" t="s">
        <v>14</v>
      </c>
      <c r="O552" t="s">
        <v>23</v>
      </c>
      <c r="P552">
        <v>45</v>
      </c>
      <c r="S552"/>
      <c r="T552"/>
    </row>
    <row r="553" spans="1:20" x14ac:dyDescent="0.25">
      <c r="A553" s="86" t="s">
        <v>2365</v>
      </c>
      <c r="B553" t="s">
        <v>158</v>
      </c>
      <c r="E553">
        <v>85</v>
      </c>
      <c r="K553">
        <v>85</v>
      </c>
      <c r="N553" s="72" t="s">
        <v>14</v>
      </c>
      <c r="O553" t="s">
        <v>23</v>
      </c>
      <c r="P553">
        <v>52</v>
      </c>
      <c r="Q553" s="131">
        <v>24058</v>
      </c>
      <c r="S553"/>
      <c r="T553"/>
    </row>
    <row r="554" spans="1:20" x14ac:dyDescent="0.25">
      <c r="A554" s="86" t="s">
        <v>456</v>
      </c>
      <c r="B554" t="s">
        <v>162</v>
      </c>
      <c r="C554">
        <v>119</v>
      </c>
      <c r="D554">
        <v>146</v>
      </c>
      <c r="K554">
        <v>265</v>
      </c>
      <c r="N554" s="72" t="s">
        <v>154</v>
      </c>
      <c r="O554" t="s">
        <v>24</v>
      </c>
      <c r="P554">
        <v>61</v>
      </c>
      <c r="Q554" s="131">
        <v>20966</v>
      </c>
      <c r="S554"/>
      <c r="T554"/>
    </row>
    <row r="555" spans="1:20" x14ac:dyDescent="0.25">
      <c r="A555" s="86" t="s">
        <v>1779</v>
      </c>
      <c r="B555" t="s">
        <v>160</v>
      </c>
      <c r="C555">
        <v>92</v>
      </c>
      <c r="D555">
        <v>115</v>
      </c>
      <c r="K555">
        <v>207</v>
      </c>
      <c r="N555" s="72" t="s">
        <v>1805</v>
      </c>
      <c r="O555" t="s">
        <v>24</v>
      </c>
      <c r="P555">
        <v>44</v>
      </c>
      <c r="Q555" s="131">
        <v>26982</v>
      </c>
      <c r="S555"/>
      <c r="T555"/>
    </row>
    <row r="556" spans="1:20" x14ac:dyDescent="0.25">
      <c r="A556" s="86" t="s">
        <v>1928</v>
      </c>
      <c r="B556" t="s">
        <v>159</v>
      </c>
      <c r="C556">
        <v>9</v>
      </c>
      <c r="F556">
        <v>14</v>
      </c>
      <c r="K556">
        <v>23</v>
      </c>
      <c r="N556" s="72" t="s">
        <v>154</v>
      </c>
      <c r="O556" t="s">
        <v>23</v>
      </c>
      <c r="P556">
        <v>64</v>
      </c>
      <c r="Q556" s="131">
        <v>19713</v>
      </c>
      <c r="S556"/>
      <c r="T556"/>
    </row>
    <row r="557" spans="1:20" x14ac:dyDescent="0.25">
      <c r="A557" s="86" t="s">
        <v>1550</v>
      </c>
      <c r="B557" t="s">
        <v>160</v>
      </c>
      <c r="F557">
        <v>73</v>
      </c>
      <c r="K557">
        <v>73</v>
      </c>
      <c r="N557" s="72" t="s">
        <v>12</v>
      </c>
      <c r="O557" t="s">
        <v>24</v>
      </c>
      <c r="P557">
        <v>49</v>
      </c>
      <c r="Q557" s="131">
        <v>25100</v>
      </c>
      <c r="S557"/>
      <c r="T557"/>
    </row>
    <row r="558" spans="1:20" x14ac:dyDescent="0.25">
      <c r="A558" s="86" t="s">
        <v>729</v>
      </c>
      <c r="B558" t="s">
        <v>67</v>
      </c>
      <c r="K558">
        <v>0</v>
      </c>
      <c r="N558" s="72" t="s">
        <v>14</v>
      </c>
      <c r="O558" t="s">
        <v>24</v>
      </c>
      <c r="P558">
        <v>30</v>
      </c>
      <c r="S558"/>
      <c r="T558"/>
    </row>
    <row r="559" spans="1:20" x14ac:dyDescent="0.25">
      <c r="A559" s="86" t="s">
        <v>533</v>
      </c>
      <c r="B559" s="48" t="s">
        <v>160</v>
      </c>
      <c r="K559">
        <v>0</v>
      </c>
      <c r="N559" s="72" t="s">
        <v>12</v>
      </c>
      <c r="O559" t="s">
        <v>24</v>
      </c>
      <c r="P559">
        <v>45</v>
      </c>
      <c r="Q559" s="131">
        <v>25916</v>
      </c>
      <c r="S559"/>
      <c r="T559"/>
    </row>
    <row r="560" spans="1:20" x14ac:dyDescent="0.25">
      <c r="A560" s="86" t="s">
        <v>598</v>
      </c>
      <c r="B560" t="s">
        <v>67</v>
      </c>
      <c r="K560">
        <v>0</v>
      </c>
      <c r="N560" s="72" t="s">
        <v>648</v>
      </c>
      <c r="O560" t="s">
        <v>24</v>
      </c>
      <c r="P560">
        <v>30</v>
      </c>
      <c r="S560"/>
      <c r="T560"/>
    </row>
    <row r="561" spans="1:20" x14ac:dyDescent="0.25">
      <c r="A561" s="86" t="s">
        <v>325</v>
      </c>
      <c r="B561" t="s">
        <v>67</v>
      </c>
      <c r="K561">
        <v>0</v>
      </c>
      <c r="N561" s="72" t="s">
        <v>43</v>
      </c>
      <c r="O561" t="s">
        <v>24</v>
      </c>
      <c r="P561">
        <v>35</v>
      </c>
      <c r="S561"/>
      <c r="T561"/>
    </row>
    <row r="562" spans="1:20" x14ac:dyDescent="0.25">
      <c r="A562" s="86" t="s">
        <v>693</v>
      </c>
      <c r="B562" t="s">
        <v>160</v>
      </c>
      <c r="K562">
        <v>0</v>
      </c>
      <c r="N562" s="72" t="s">
        <v>653</v>
      </c>
      <c r="O562" t="s">
        <v>24</v>
      </c>
      <c r="P562">
        <v>44</v>
      </c>
      <c r="S562"/>
      <c r="T562"/>
    </row>
    <row r="563" spans="1:20" x14ac:dyDescent="0.25">
      <c r="A563" s="86" t="s">
        <v>611</v>
      </c>
      <c r="B563" t="s">
        <v>161</v>
      </c>
      <c r="F563">
        <v>80</v>
      </c>
      <c r="K563">
        <v>80</v>
      </c>
      <c r="N563" s="72" t="s">
        <v>14</v>
      </c>
      <c r="O563" t="s">
        <v>24</v>
      </c>
      <c r="P563">
        <v>58</v>
      </c>
      <c r="Q563" s="131">
        <v>21880</v>
      </c>
      <c r="S563"/>
      <c r="T563"/>
    </row>
    <row r="564" spans="1:20" x14ac:dyDescent="0.25">
      <c r="A564" s="86" t="s">
        <v>2213</v>
      </c>
      <c r="B564" t="s">
        <v>160</v>
      </c>
      <c r="D564">
        <v>101</v>
      </c>
      <c r="K564">
        <v>101</v>
      </c>
      <c r="N564" s="72" t="s">
        <v>38</v>
      </c>
      <c r="O564" t="s">
        <v>24</v>
      </c>
      <c r="P564">
        <v>46</v>
      </c>
      <c r="Q564" s="131">
        <v>26410</v>
      </c>
      <c r="S564"/>
      <c r="T564"/>
    </row>
    <row r="565" spans="1:20" x14ac:dyDescent="0.25">
      <c r="A565" s="86" t="s">
        <v>2011</v>
      </c>
      <c r="B565" t="s">
        <v>161</v>
      </c>
      <c r="K565">
        <v>0</v>
      </c>
      <c r="N565" s="72" t="s">
        <v>505</v>
      </c>
      <c r="O565" t="s">
        <v>24</v>
      </c>
      <c r="P565">
        <v>53</v>
      </c>
      <c r="Q565" s="131">
        <v>23620</v>
      </c>
      <c r="S565"/>
      <c r="T565"/>
    </row>
    <row r="566" spans="1:20" x14ac:dyDescent="0.25">
      <c r="A566" s="86" t="s">
        <v>371</v>
      </c>
      <c r="B566" t="s">
        <v>162</v>
      </c>
      <c r="E566">
        <v>143</v>
      </c>
      <c r="F566">
        <v>111</v>
      </c>
      <c r="K566">
        <v>254</v>
      </c>
      <c r="N566" s="72" t="s">
        <v>155</v>
      </c>
      <c r="O566" t="s">
        <v>24</v>
      </c>
      <c r="P566">
        <v>60</v>
      </c>
      <c r="Q566" s="131">
        <v>21037</v>
      </c>
      <c r="S566"/>
      <c r="T566"/>
    </row>
    <row r="567" spans="1:20" x14ac:dyDescent="0.25">
      <c r="A567" s="86" t="s">
        <v>1389</v>
      </c>
      <c r="B567" t="s">
        <v>160</v>
      </c>
      <c r="D567">
        <v>7</v>
      </c>
      <c r="E567">
        <v>9</v>
      </c>
      <c r="F567">
        <v>4</v>
      </c>
      <c r="K567">
        <v>20</v>
      </c>
      <c r="N567" s="72" t="s">
        <v>108</v>
      </c>
      <c r="O567" t="s">
        <v>24</v>
      </c>
      <c r="P567">
        <v>46</v>
      </c>
      <c r="Q567" s="131">
        <v>26352</v>
      </c>
      <c r="S567"/>
      <c r="T567"/>
    </row>
    <row r="568" spans="1:20" x14ac:dyDescent="0.25">
      <c r="A568" s="86" t="s">
        <v>523</v>
      </c>
      <c r="B568" t="s">
        <v>160</v>
      </c>
      <c r="K568">
        <v>0</v>
      </c>
      <c r="N568" s="72" t="s">
        <v>10</v>
      </c>
      <c r="O568" t="s">
        <v>24</v>
      </c>
      <c r="P568">
        <v>47</v>
      </c>
      <c r="S568"/>
      <c r="T568"/>
    </row>
    <row r="569" spans="1:20" x14ac:dyDescent="0.25">
      <c r="A569" s="86" t="s">
        <v>2202</v>
      </c>
      <c r="B569" t="s">
        <v>161</v>
      </c>
      <c r="C569">
        <v>45</v>
      </c>
      <c r="D569">
        <v>45</v>
      </c>
      <c r="E569">
        <v>55</v>
      </c>
      <c r="K569">
        <v>145</v>
      </c>
      <c r="N569" s="72" t="s">
        <v>38</v>
      </c>
      <c r="O569" t="s">
        <v>24</v>
      </c>
      <c r="P569">
        <v>54</v>
      </c>
      <c r="Q569" s="131">
        <v>23321</v>
      </c>
      <c r="S569"/>
      <c r="T569"/>
    </row>
    <row r="570" spans="1:20" x14ac:dyDescent="0.25">
      <c r="A570" s="86" t="s">
        <v>1068</v>
      </c>
      <c r="B570" t="s">
        <v>161</v>
      </c>
      <c r="K570">
        <v>0</v>
      </c>
      <c r="N570" s="72" t="s">
        <v>108</v>
      </c>
      <c r="O570" t="s">
        <v>24</v>
      </c>
      <c r="P570">
        <v>50</v>
      </c>
      <c r="Q570" s="131">
        <v>24413</v>
      </c>
      <c r="S570"/>
      <c r="T570"/>
    </row>
    <row r="571" spans="1:20" x14ac:dyDescent="0.25">
      <c r="A571" s="86" t="s">
        <v>830</v>
      </c>
      <c r="B571" t="s">
        <v>162</v>
      </c>
      <c r="C571">
        <v>131</v>
      </c>
      <c r="D571">
        <v>123</v>
      </c>
      <c r="K571">
        <v>254</v>
      </c>
      <c r="N571" s="72" t="s">
        <v>43</v>
      </c>
      <c r="O571" t="s">
        <v>24</v>
      </c>
      <c r="P571">
        <v>60</v>
      </c>
      <c r="Q571" s="131">
        <v>21137</v>
      </c>
      <c r="S571"/>
      <c r="T571"/>
    </row>
    <row r="572" spans="1:20" x14ac:dyDescent="0.25">
      <c r="A572" s="86" t="s">
        <v>1014</v>
      </c>
      <c r="B572" t="s">
        <v>161</v>
      </c>
      <c r="K572">
        <v>0</v>
      </c>
      <c r="N572" s="72" t="s">
        <v>656</v>
      </c>
      <c r="O572" t="s">
        <v>24</v>
      </c>
      <c r="P572">
        <v>52</v>
      </c>
      <c r="Q572" s="131">
        <v>23631</v>
      </c>
      <c r="S572"/>
      <c r="T572"/>
    </row>
    <row r="573" spans="1:20" x14ac:dyDescent="0.25">
      <c r="A573" s="86" t="s">
        <v>785</v>
      </c>
      <c r="B573" t="s">
        <v>161</v>
      </c>
      <c r="K573">
        <v>0</v>
      </c>
      <c r="N573" s="72" t="s">
        <v>817</v>
      </c>
      <c r="O573" t="s">
        <v>24</v>
      </c>
      <c r="P573">
        <v>55</v>
      </c>
      <c r="Q573" s="131">
        <v>22290</v>
      </c>
      <c r="S573"/>
      <c r="T573"/>
    </row>
    <row r="574" spans="1:20" x14ac:dyDescent="0.25">
      <c r="A574" s="86" t="s">
        <v>427</v>
      </c>
      <c r="B574" t="s">
        <v>67</v>
      </c>
      <c r="C574">
        <v>127</v>
      </c>
      <c r="D574">
        <v>121</v>
      </c>
      <c r="K574">
        <v>248</v>
      </c>
      <c r="N574" s="72" t="s">
        <v>63</v>
      </c>
      <c r="O574" t="s">
        <v>24</v>
      </c>
      <c r="P574">
        <v>38</v>
      </c>
      <c r="Q574" s="131">
        <v>29343</v>
      </c>
      <c r="S574"/>
      <c r="T574"/>
    </row>
    <row r="575" spans="1:20" x14ac:dyDescent="0.25">
      <c r="A575" s="86" t="s">
        <v>1101</v>
      </c>
      <c r="B575" t="s">
        <v>161</v>
      </c>
      <c r="K575">
        <v>0</v>
      </c>
      <c r="N575" s="72" t="s">
        <v>12</v>
      </c>
      <c r="O575" t="s">
        <v>24</v>
      </c>
      <c r="P575">
        <v>52</v>
      </c>
      <c r="S575"/>
      <c r="T575"/>
    </row>
    <row r="576" spans="1:20" x14ac:dyDescent="0.25">
      <c r="A576" s="86" t="s">
        <v>410</v>
      </c>
      <c r="B576" t="s">
        <v>67</v>
      </c>
      <c r="K576">
        <v>0</v>
      </c>
      <c r="N576" s="72" t="s">
        <v>505</v>
      </c>
      <c r="O576" t="s">
        <v>24</v>
      </c>
      <c r="P576">
        <v>25</v>
      </c>
      <c r="S576"/>
      <c r="T576"/>
    </row>
    <row r="577" spans="1:20" x14ac:dyDescent="0.25">
      <c r="A577" s="86" t="s">
        <v>778</v>
      </c>
      <c r="B577" t="s">
        <v>160</v>
      </c>
      <c r="K577">
        <v>0</v>
      </c>
      <c r="N577" s="72" t="s">
        <v>1629</v>
      </c>
      <c r="O577" t="s">
        <v>24</v>
      </c>
      <c r="P577">
        <v>40</v>
      </c>
      <c r="Q577" s="131">
        <v>27929</v>
      </c>
      <c r="S577"/>
      <c r="T577"/>
    </row>
    <row r="578" spans="1:20" x14ac:dyDescent="0.25">
      <c r="A578" s="86" t="s">
        <v>1567</v>
      </c>
      <c r="B578" t="s">
        <v>67</v>
      </c>
      <c r="K578">
        <v>0</v>
      </c>
      <c r="N578" s="72" t="s">
        <v>14</v>
      </c>
      <c r="O578" t="s">
        <v>24</v>
      </c>
      <c r="S578"/>
      <c r="T578"/>
    </row>
    <row r="579" spans="1:20" x14ac:dyDescent="0.25">
      <c r="A579" s="86" t="s">
        <v>1383</v>
      </c>
      <c r="B579" t="s">
        <v>67</v>
      </c>
      <c r="K579">
        <v>0</v>
      </c>
      <c r="N579" s="72" t="s">
        <v>12</v>
      </c>
      <c r="O579" t="s">
        <v>24</v>
      </c>
      <c r="P579">
        <v>39</v>
      </c>
      <c r="Q579" s="131">
        <v>27925</v>
      </c>
      <c r="S579"/>
      <c r="T579"/>
    </row>
    <row r="580" spans="1:20" x14ac:dyDescent="0.25">
      <c r="A580" s="86" t="s">
        <v>1460</v>
      </c>
      <c r="B580" t="s">
        <v>160</v>
      </c>
      <c r="D580">
        <v>18</v>
      </c>
      <c r="K580">
        <v>18</v>
      </c>
      <c r="N580" s="72" t="s">
        <v>505</v>
      </c>
      <c r="O580" t="s">
        <v>24</v>
      </c>
      <c r="P580">
        <v>40</v>
      </c>
      <c r="Q580" s="131">
        <v>28421</v>
      </c>
      <c r="S580"/>
      <c r="T580"/>
    </row>
    <row r="581" spans="1:20" x14ac:dyDescent="0.25">
      <c r="A581" s="86" t="s">
        <v>1144</v>
      </c>
      <c r="B581" t="s">
        <v>67</v>
      </c>
      <c r="K581">
        <v>0</v>
      </c>
      <c r="N581" s="72" t="s">
        <v>505</v>
      </c>
      <c r="O581" t="s">
        <v>24</v>
      </c>
      <c r="P581">
        <v>29</v>
      </c>
      <c r="S581"/>
      <c r="T581"/>
    </row>
    <row r="582" spans="1:20" x14ac:dyDescent="0.25">
      <c r="A582" s="86" t="s">
        <v>1338</v>
      </c>
      <c r="B582" t="s">
        <v>160</v>
      </c>
      <c r="K582">
        <v>0</v>
      </c>
      <c r="N582" s="72" t="s">
        <v>14</v>
      </c>
      <c r="O582" t="s">
        <v>24</v>
      </c>
      <c r="P582">
        <v>40</v>
      </c>
      <c r="Q582" s="131">
        <v>28274</v>
      </c>
      <c r="S582"/>
      <c r="T582"/>
    </row>
    <row r="583" spans="1:20" x14ac:dyDescent="0.25">
      <c r="A583" s="86" t="s">
        <v>1476</v>
      </c>
      <c r="B583" t="s">
        <v>160</v>
      </c>
      <c r="K583">
        <v>0</v>
      </c>
      <c r="N583" s="72" t="s">
        <v>1502</v>
      </c>
      <c r="O583" t="s">
        <v>24</v>
      </c>
      <c r="P583">
        <v>45</v>
      </c>
      <c r="Q583" s="131">
        <v>25822</v>
      </c>
      <c r="S583"/>
      <c r="T583"/>
    </row>
    <row r="584" spans="1:20" x14ac:dyDescent="0.25">
      <c r="A584" s="86" t="s">
        <v>1959</v>
      </c>
      <c r="B584" t="s">
        <v>67</v>
      </c>
      <c r="K584">
        <v>0</v>
      </c>
      <c r="N584" s="72" t="s">
        <v>653</v>
      </c>
      <c r="O584" t="s">
        <v>24</v>
      </c>
      <c r="S584"/>
      <c r="T584"/>
    </row>
    <row r="585" spans="1:20" x14ac:dyDescent="0.25">
      <c r="A585" s="86" t="s">
        <v>2157</v>
      </c>
      <c r="B585" t="s">
        <v>158</v>
      </c>
      <c r="C585">
        <v>14</v>
      </c>
      <c r="E585">
        <v>20</v>
      </c>
      <c r="F585">
        <v>12</v>
      </c>
      <c r="K585">
        <v>46</v>
      </c>
      <c r="N585" s="72" t="s">
        <v>108</v>
      </c>
      <c r="O585" t="s">
        <v>23</v>
      </c>
      <c r="P585">
        <v>49</v>
      </c>
      <c r="Q585" s="131">
        <v>25283</v>
      </c>
      <c r="S585"/>
      <c r="T585"/>
    </row>
    <row r="586" spans="1:20" x14ac:dyDescent="0.25">
      <c r="A586" s="86" t="s">
        <v>2331</v>
      </c>
      <c r="B586" t="s">
        <v>161</v>
      </c>
      <c r="E586">
        <v>80</v>
      </c>
      <c r="K586">
        <v>80</v>
      </c>
      <c r="N586" s="72" t="s">
        <v>12</v>
      </c>
      <c r="O586" t="s">
        <v>24</v>
      </c>
      <c r="P586">
        <v>57</v>
      </c>
      <c r="Q586" s="131">
        <v>22448</v>
      </c>
      <c r="S586"/>
      <c r="T586"/>
    </row>
    <row r="587" spans="1:20" x14ac:dyDescent="0.25">
      <c r="A587" s="86" t="s">
        <v>2129</v>
      </c>
      <c r="B587" t="s">
        <v>157</v>
      </c>
      <c r="K587">
        <v>0</v>
      </c>
      <c r="N587" s="72" t="s">
        <v>505</v>
      </c>
      <c r="O587" t="s">
        <v>23</v>
      </c>
      <c r="P587">
        <v>36</v>
      </c>
      <c r="Q587" s="131">
        <v>29625</v>
      </c>
      <c r="S587"/>
      <c r="T587"/>
    </row>
    <row r="588" spans="1:20" x14ac:dyDescent="0.25">
      <c r="A588" s="86" t="s">
        <v>1026</v>
      </c>
      <c r="B588" t="s">
        <v>156</v>
      </c>
      <c r="K588">
        <v>0</v>
      </c>
      <c r="N588" s="72" t="s">
        <v>1324</v>
      </c>
      <c r="O588" t="s">
        <v>23</v>
      </c>
      <c r="P588">
        <v>30</v>
      </c>
      <c r="S588"/>
      <c r="T588"/>
    </row>
    <row r="589" spans="1:20" x14ac:dyDescent="0.25">
      <c r="A589" s="86" t="s">
        <v>897</v>
      </c>
      <c r="B589" t="s">
        <v>156</v>
      </c>
      <c r="C589">
        <v>20</v>
      </c>
      <c r="E589">
        <v>42</v>
      </c>
      <c r="K589">
        <v>62</v>
      </c>
      <c r="N589" s="72" t="s">
        <v>12</v>
      </c>
      <c r="O589" t="s">
        <v>23</v>
      </c>
      <c r="P589">
        <v>26</v>
      </c>
      <c r="Q589" s="131">
        <v>33439</v>
      </c>
      <c r="S589"/>
      <c r="T589"/>
    </row>
    <row r="590" spans="1:20" x14ac:dyDescent="0.25">
      <c r="A590" s="86" t="s">
        <v>1236</v>
      </c>
      <c r="B590" t="s">
        <v>156</v>
      </c>
      <c r="K590">
        <v>0</v>
      </c>
      <c r="N590" s="72" t="s">
        <v>505</v>
      </c>
      <c r="O590" t="s">
        <v>23</v>
      </c>
      <c r="P590">
        <v>30</v>
      </c>
      <c r="S590"/>
      <c r="T590"/>
    </row>
    <row r="591" spans="1:20" x14ac:dyDescent="0.25">
      <c r="A591" s="86" t="s">
        <v>644</v>
      </c>
      <c r="B591" t="s">
        <v>156</v>
      </c>
      <c r="K591">
        <v>0</v>
      </c>
      <c r="N591" s="72" t="s">
        <v>38</v>
      </c>
      <c r="O591" t="s">
        <v>23</v>
      </c>
      <c r="P591">
        <v>18</v>
      </c>
      <c r="S591"/>
      <c r="T591"/>
    </row>
    <row r="592" spans="1:20" x14ac:dyDescent="0.25">
      <c r="A592" s="86" t="s">
        <v>217</v>
      </c>
      <c r="B592" t="s">
        <v>157</v>
      </c>
      <c r="K592">
        <v>0</v>
      </c>
      <c r="N592" s="72" t="s">
        <v>38</v>
      </c>
      <c r="O592" t="s">
        <v>23</v>
      </c>
      <c r="P592">
        <v>44</v>
      </c>
      <c r="Q592" s="131">
        <v>26165</v>
      </c>
      <c r="S592"/>
      <c r="T592"/>
    </row>
    <row r="593" spans="1:20" x14ac:dyDescent="0.25">
      <c r="A593" s="86" t="s">
        <v>1393</v>
      </c>
      <c r="B593" t="s">
        <v>161</v>
      </c>
      <c r="C593">
        <v>134</v>
      </c>
      <c r="K593">
        <v>134</v>
      </c>
      <c r="N593" s="72" t="s">
        <v>12</v>
      </c>
      <c r="O593" t="s">
        <v>24</v>
      </c>
      <c r="P593">
        <v>51</v>
      </c>
      <c r="Q593" s="131">
        <v>24058</v>
      </c>
      <c r="S593"/>
      <c r="T593"/>
    </row>
    <row r="594" spans="1:20" x14ac:dyDescent="0.25">
      <c r="A594" s="86" t="s">
        <v>445</v>
      </c>
      <c r="B594" t="s">
        <v>161</v>
      </c>
      <c r="K594">
        <v>0</v>
      </c>
      <c r="N594" s="72" t="s">
        <v>657</v>
      </c>
      <c r="O594" t="s">
        <v>24</v>
      </c>
      <c r="P594">
        <v>50</v>
      </c>
      <c r="S594"/>
      <c r="T594"/>
    </row>
    <row r="595" spans="1:20" x14ac:dyDescent="0.25">
      <c r="A595" s="86" t="s">
        <v>719</v>
      </c>
      <c r="B595" t="s">
        <v>162</v>
      </c>
      <c r="K595">
        <v>0</v>
      </c>
      <c r="N595" s="72" t="s">
        <v>14</v>
      </c>
      <c r="O595" t="s">
        <v>24</v>
      </c>
      <c r="P595">
        <v>71</v>
      </c>
      <c r="S595"/>
      <c r="T595"/>
    </row>
    <row r="596" spans="1:20" x14ac:dyDescent="0.25">
      <c r="A596" s="86" t="s">
        <v>2141</v>
      </c>
      <c r="B596" t="s">
        <v>162</v>
      </c>
      <c r="C596">
        <v>139</v>
      </c>
      <c r="D596">
        <v>128</v>
      </c>
      <c r="E596">
        <v>165</v>
      </c>
      <c r="F596">
        <v>139</v>
      </c>
      <c r="K596">
        <v>571</v>
      </c>
      <c r="N596" s="72" t="s">
        <v>154</v>
      </c>
      <c r="O596" t="s">
        <v>24</v>
      </c>
      <c r="P596">
        <v>64</v>
      </c>
      <c r="Q596" s="131">
        <v>19612</v>
      </c>
      <c r="S596"/>
      <c r="T596"/>
    </row>
    <row r="597" spans="1:20" x14ac:dyDescent="0.25">
      <c r="A597" s="86" t="s">
        <v>695</v>
      </c>
      <c r="B597" t="s">
        <v>160</v>
      </c>
      <c r="K597">
        <v>0</v>
      </c>
      <c r="N597" s="72" t="s">
        <v>14</v>
      </c>
      <c r="O597" t="s">
        <v>24</v>
      </c>
      <c r="P597">
        <v>40</v>
      </c>
      <c r="S597"/>
      <c r="T597"/>
    </row>
    <row r="598" spans="1:20" x14ac:dyDescent="0.25">
      <c r="A598" s="86" t="s">
        <v>989</v>
      </c>
      <c r="B598" t="s">
        <v>67</v>
      </c>
      <c r="K598">
        <v>0</v>
      </c>
      <c r="N598" s="72" t="s">
        <v>14</v>
      </c>
      <c r="O598" t="s">
        <v>24</v>
      </c>
      <c r="P598">
        <v>16</v>
      </c>
      <c r="S598"/>
      <c r="T598"/>
    </row>
    <row r="599" spans="1:20" x14ac:dyDescent="0.25">
      <c r="A599" s="86" t="s">
        <v>622</v>
      </c>
      <c r="B599" t="s">
        <v>67</v>
      </c>
      <c r="K599">
        <v>0</v>
      </c>
      <c r="N599" s="72" t="s">
        <v>154</v>
      </c>
      <c r="O599" t="s">
        <v>24</v>
      </c>
      <c r="P599">
        <v>18</v>
      </c>
      <c r="S599"/>
      <c r="T599"/>
    </row>
    <row r="600" spans="1:20" x14ac:dyDescent="0.25">
      <c r="A600" s="86" t="s">
        <v>961</v>
      </c>
      <c r="B600" t="s">
        <v>160</v>
      </c>
      <c r="K600">
        <v>0</v>
      </c>
      <c r="N600" s="72" t="s">
        <v>12</v>
      </c>
      <c r="O600" t="s">
        <v>24</v>
      </c>
      <c r="P600">
        <v>48</v>
      </c>
      <c r="Q600" s="131">
        <v>25283</v>
      </c>
      <c r="S600"/>
      <c r="T600"/>
    </row>
    <row r="601" spans="1:20" x14ac:dyDescent="0.25">
      <c r="A601" s="86" t="s">
        <v>1146</v>
      </c>
      <c r="B601" t="s">
        <v>1817</v>
      </c>
      <c r="K601">
        <v>0</v>
      </c>
      <c r="N601" s="72" t="s">
        <v>505</v>
      </c>
      <c r="O601" t="s">
        <v>24</v>
      </c>
      <c r="P601">
        <v>70</v>
      </c>
      <c r="Q601" s="131">
        <v>17143</v>
      </c>
      <c r="S601"/>
      <c r="T601"/>
    </row>
    <row r="602" spans="1:20" x14ac:dyDescent="0.25">
      <c r="A602" s="86" t="s">
        <v>706</v>
      </c>
      <c r="B602" t="s">
        <v>161</v>
      </c>
      <c r="K602">
        <v>0</v>
      </c>
      <c r="N602" s="72" t="s">
        <v>657</v>
      </c>
      <c r="O602" t="s">
        <v>24</v>
      </c>
      <c r="P602">
        <v>50</v>
      </c>
      <c r="S602"/>
      <c r="T602"/>
    </row>
    <row r="603" spans="1:20" x14ac:dyDescent="0.25">
      <c r="A603" s="86" t="s">
        <v>2165</v>
      </c>
      <c r="B603" t="s">
        <v>67</v>
      </c>
      <c r="K603">
        <v>0</v>
      </c>
      <c r="N603" s="72" t="s">
        <v>2168</v>
      </c>
      <c r="O603" t="s">
        <v>24</v>
      </c>
      <c r="P603">
        <v>26</v>
      </c>
      <c r="S603"/>
      <c r="T603"/>
    </row>
    <row r="604" spans="1:20" x14ac:dyDescent="0.25">
      <c r="A604" s="86" t="s">
        <v>1535</v>
      </c>
      <c r="B604" t="s">
        <v>160</v>
      </c>
      <c r="K604">
        <v>0</v>
      </c>
      <c r="N604" s="72" t="s">
        <v>1618</v>
      </c>
      <c r="O604" t="s">
        <v>24</v>
      </c>
      <c r="S604"/>
      <c r="T604"/>
    </row>
    <row r="605" spans="1:20" x14ac:dyDescent="0.25">
      <c r="A605" s="86" t="s">
        <v>275</v>
      </c>
      <c r="B605" t="s">
        <v>67</v>
      </c>
      <c r="C605">
        <v>123</v>
      </c>
      <c r="D605">
        <v>112</v>
      </c>
      <c r="E605">
        <v>113</v>
      </c>
      <c r="F605">
        <v>104</v>
      </c>
      <c r="K605">
        <v>452</v>
      </c>
      <c r="N605" s="72" t="s">
        <v>63</v>
      </c>
      <c r="O605" t="s">
        <v>24</v>
      </c>
      <c r="P605">
        <v>25</v>
      </c>
      <c r="Q605" s="131">
        <v>34074</v>
      </c>
      <c r="S605"/>
      <c r="T605"/>
    </row>
    <row r="606" spans="1:20" x14ac:dyDescent="0.25">
      <c r="A606" s="86" t="s">
        <v>2228</v>
      </c>
      <c r="B606" t="s">
        <v>156</v>
      </c>
      <c r="C606">
        <v>37</v>
      </c>
      <c r="F606">
        <v>41</v>
      </c>
      <c r="K606">
        <v>78</v>
      </c>
      <c r="N606" s="72" t="s">
        <v>12</v>
      </c>
      <c r="O606" t="s">
        <v>23</v>
      </c>
      <c r="P606">
        <v>32</v>
      </c>
      <c r="Q606" s="131">
        <v>31611</v>
      </c>
      <c r="S606"/>
      <c r="T606"/>
    </row>
    <row r="607" spans="1:20" x14ac:dyDescent="0.25">
      <c r="A607" s="86" t="s">
        <v>1634</v>
      </c>
      <c r="B607" t="s">
        <v>156</v>
      </c>
      <c r="K607">
        <v>0</v>
      </c>
      <c r="N607" s="72" t="s">
        <v>1635</v>
      </c>
      <c r="O607" t="s">
        <v>23</v>
      </c>
      <c r="P607">
        <v>28</v>
      </c>
      <c r="Q607" s="131">
        <v>32371</v>
      </c>
      <c r="S607"/>
      <c r="T607"/>
    </row>
    <row r="608" spans="1:20" x14ac:dyDescent="0.25">
      <c r="A608" s="86" t="s">
        <v>487</v>
      </c>
      <c r="B608" t="s">
        <v>591</v>
      </c>
      <c r="K608">
        <v>0</v>
      </c>
      <c r="N608" s="72" t="s">
        <v>38</v>
      </c>
      <c r="O608" t="s">
        <v>23</v>
      </c>
      <c r="P608">
        <v>0</v>
      </c>
      <c r="S608"/>
      <c r="T608"/>
    </row>
    <row r="609" spans="1:20" x14ac:dyDescent="0.25">
      <c r="A609" s="86" t="s">
        <v>882</v>
      </c>
      <c r="B609" t="s">
        <v>161</v>
      </c>
      <c r="K609">
        <v>0</v>
      </c>
      <c r="N609" s="72" t="s">
        <v>63</v>
      </c>
      <c r="O609" t="s">
        <v>24</v>
      </c>
      <c r="P609">
        <v>55</v>
      </c>
      <c r="Q609" s="131">
        <v>22694</v>
      </c>
      <c r="S609"/>
      <c r="T609"/>
    </row>
    <row r="610" spans="1:20" x14ac:dyDescent="0.25">
      <c r="A610" s="86" t="s">
        <v>1679</v>
      </c>
      <c r="B610" t="s">
        <v>162</v>
      </c>
      <c r="K610">
        <v>0</v>
      </c>
      <c r="N610" s="72" t="s">
        <v>125</v>
      </c>
      <c r="O610" t="s">
        <v>24</v>
      </c>
      <c r="P610">
        <v>60</v>
      </c>
      <c r="Q610" s="131">
        <v>20815</v>
      </c>
      <c r="S610"/>
      <c r="T610"/>
    </row>
    <row r="611" spans="1:20" x14ac:dyDescent="0.25">
      <c r="A611" s="86" t="s">
        <v>1827</v>
      </c>
      <c r="B611" t="s">
        <v>161</v>
      </c>
      <c r="K611">
        <v>0</v>
      </c>
      <c r="N611" s="72" t="s">
        <v>650</v>
      </c>
      <c r="O611" t="s">
        <v>24</v>
      </c>
      <c r="P611">
        <v>53</v>
      </c>
      <c r="Q611" s="131">
        <v>23491</v>
      </c>
      <c r="S611"/>
      <c r="T611"/>
    </row>
    <row r="612" spans="1:20" x14ac:dyDescent="0.25">
      <c r="A612" s="86" t="s">
        <v>306</v>
      </c>
      <c r="B612" t="s">
        <v>162</v>
      </c>
      <c r="K612">
        <v>0</v>
      </c>
      <c r="N612" s="72" t="s">
        <v>108</v>
      </c>
      <c r="O612" t="s">
        <v>24</v>
      </c>
      <c r="P612">
        <v>79</v>
      </c>
      <c r="S612"/>
      <c r="T612"/>
    </row>
    <row r="613" spans="1:20" x14ac:dyDescent="0.25">
      <c r="A613" s="86" t="s">
        <v>1012</v>
      </c>
      <c r="B613" t="s">
        <v>161</v>
      </c>
      <c r="K613">
        <v>0</v>
      </c>
      <c r="N613" s="72" t="s">
        <v>14</v>
      </c>
      <c r="O613" t="s">
        <v>24</v>
      </c>
      <c r="P613">
        <v>56</v>
      </c>
      <c r="S613"/>
      <c r="T613"/>
    </row>
    <row r="614" spans="1:20" x14ac:dyDescent="0.25">
      <c r="A614" s="86" t="s">
        <v>1921</v>
      </c>
      <c r="B614" t="s">
        <v>67</v>
      </c>
      <c r="E614">
        <v>20</v>
      </c>
      <c r="K614">
        <v>20</v>
      </c>
      <c r="N614" s="72" t="s">
        <v>154</v>
      </c>
      <c r="O614" t="s">
        <v>24</v>
      </c>
      <c r="P614">
        <v>36</v>
      </c>
      <c r="Q614" s="131">
        <v>29841</v>
      </c>
      <c r="S614"/>
      <c r="T614"/>
    </row>
    <row r="615" spans="1:20" x14ac:dyDescent="0.25">
      <c r="A615" s="86" t="s">
        <v>317</v>
      </c>
      <c r="B615" t="s">
        <v>160</v>
      </c>
      <c r="K615">
        <v>0</v>
      </c>
      <c r="N615" s="72" t="s">
        <v>14</v>
      </c>
      <c r="O615" t="s">
        <v>24</v>
      </c>
      <c r="P615">
        <v>48</v>
      </c>
      <c r="Q615" s="131">
        <v>25301</v>
      </c>
      <c r="S615"/>
      <c r="T615"/>
    </row>
    <row r="616" spans="1:20" x14ac:dyDescent="0.25">
      <c r="A616" s="86" t="s">
        <v>1536</v>
      </c>
      <c r="B616" t="s">
        <v>157</v>
      </c>
      <c r="K616">
        <v>0</v>
      </c>
      <c r="N616" s="72" t="s">
        <v>2006</v>
      </c>
      <c r="O616" t="s">
        <v>23</v>
      </c>
      <c r="S616"/>
      <c r="T616"/>
    </row>
    <row r="617" spans="1:20" x14ac:dyDescent="0.25">
      <c r="A617" s="86" t="s">
        <v>1019</v>
      </c>
      <c r="B617" t="s">
        <v>158</v>
      </c>
      <c r="K617">
        <v>0</v>
      </c>
      <c r="N617" s="72" t="s">
        <v>1618</v>
      </c>
      <c r="O617" t="s">
        <v>23</v>
      </c>
      <c r="P617">
        <v>45</v>
      </c>
      <c r="S617"/>
      <c r="T617"/>
    </row>
    <row r="618" spans="1:20" x14ac:dyDescent="0.25">
      <c r="A618" s="86" t="s">
        <v>2340</v>
      </c>
      <c r="B618" t="s">
        <v>157</v>
      </c>
      <c r="E618">
        <v>19</v>
      </c>
      <c r="K618">
        <v>19</v>
      </c>
      <c r="N618" s="72" t="s">
        <v>2408</v>
      </c>
      <c r="O618" t="s">
        <v>23</v>
      </c>
      <c r="P618">
        <v>41</v>
      </c>
      <c r="Q618" s="131">
        <v>28074</v>
      </c>
      <c r="S618"/>
      <c r="T618"/>
    </row>
    <row r="619" spans="1:20" x14ac:dyDescent="0.25">
      <c r="A619" s="86" t="s">
        <v>946</v>
      </c>
      <c r="B619" t="s">
        <v>158</v>
      </c>
      <c r="K619">
        <v>0</v>
      </c>
      <c r="N619" s="72" t="s">
        <v>657</v>
      </c>
      <c r="O619" t="s">
        <v>23</v>
      </c>
      <c r="P619">
        <v>52</v>
      </c>
      <c r="S619"/>
      <c r="T619"/>
    </row>
    <row r="620" spans="1:20" x14ac:dyDescent="0.25">
      <c r="A620" s="86" t="s">
        <v>1593</v>
      </c>
      <c r="B620" t="s">
        <v>159</v>
      </c>
      <c r="K620">
        <v>0</v>
      </c>
      <c r="N620" s="72" t="s">
        <v>14</v>
      </c>
      <c r="O620" t="s">
        <v>23</v>
      </c>
      <c r="P620">
        <v>60</v>
      </c>
      <c r="Q620" s="131">
        <v>20346</v>
      </c>
      <c r="S620"/>
      <c r="T620"/>
    </row>
    <row r="621" spans="1:20" x14ac:dyDescent="0.25">
      <c r="A621" s="86" t="s">
        <v>1857</v>
      </c>
      <c r="B621" t="s">
        <v>157</v>
      </c>
      <c r="K621">
        <v>0</v>
      </c>
      <c r="N621" s="72" t="s">
        <v>154</v>
      </c>
      <c r="O621" t="s">
        <v>23</v>
      </c>
      <c r="P621">
        <v>39</v>
      </c>
      <c r="Q621" s="131">
        <v>28298</v>
      </c>
      <c r="S621"/>
      <c r="T621"/>
    </row>
    <row r="622" spans="1:20" x14ac:dyDescent="0.25">
      <c r="A622" s="86" t="s">
        <v>1859</v>
      </c>
      <c r="B622" t="s">
        <v>159</v>
      </c>
      <c r="K622">
        <v>0</v>
      </c>
      <c r="N622" s="72" t="s">
        <v>43</v>
      </c>
      <c r="O622" t="s">
        <v>23</v>
      </c>
      <c r="P622">
        <v>59</v>
      </c>
      <c r="Q622" s="131">
        <v>21422</v>
      </c>
      <c r="S622"/>
      <c r="T622"/>
    </row>
    <row r="623" spans="1:20" x14ac:dyDescent="0.25">
      <c r="A623" s="86" t="s">
        <v>1448</v>
      </c>
      <c r="B623" t="s">
        <v>157</v>
      </c>
      <c r="K623">
        <v>0</v>
      </c>
      <c r="N623" s="72" t="s">
        <v>14</v>
      </c>
      <c r="O623" t="s">
        <v>23</v>
      </c>
      <c r="P623">
        <v>43</v>
      </c>
      <c r="Q623" s="131">
        <v>27153</v>
      </c>
      <c r="S623"/>
      <c r="T623"/>
    </row>
    <row r="624" spans="1:20" x14ac:dyDescent="0.25">
      <c r="A624" s="86" t="s">
        <v>1032</v>
      </c>
      <c r="B624" t="s">
        <v>156</v>
      </c>
      <c r="K624">
        <v>0</v>
      </c>
      <c r="N624" s="72" t="s">
        <v>12</v>
      </c>
      <c r="O624" t="s">
        <v>23</v>
      </c>
      <c r="P624">
        <v>24</v>
      </c>
      <c r="Q624" s="131">
        <v>33760</v>
      </c>
      <c r="S624"/>
      <c r="T624"/>
    </row>
    <row r="625" spans="1:20" x14ac:dyDescent="0.25">
      <c r="A625" s="86" t="s">
        <v>606</v>
      </c>
      <c r="B625" t="s">
        <v>160</v>
      </c>
      <c r="K625">
        <v>0</v>
      </c>
      <c r="N625" s="72" t="s">
        <v>14</v>
      </c>
      <c r="O625" t="s">
        <v>24</v>
      </c>
      <c r="P625">
        <v>40</v>
      </c>
      <c r="S625"/>
      <c r="T625"/>
    </row>
    <row r="626" spans="1:20" x14ac:dyDescent="0.25">
      <c r="A626" s="86" t="s">
        <v>1799</v>
      </c>
      <c r="B626" t="s">
        <v>161</v>
      </c>
      <c r="C626">
        <v>124</v>
      </c>
      <c r="D626">
        <v>134</v>
      </c>
      <c r="K626">
        <v>258</v>
      </c>
      <c r="N626" s="72" t="s">
        <v>1805</v>
      </c>
      <c r="O626" t="s">
        <v>24</v>
      </c>
      <c r="P626">
        <v>50</v>
      </c>
      <c r="Q626" s="131">
        <v>24765</v>
      </c>
      <c r="S626"/>
      <c r="T626"/>
    </row>
    <row r="627" spans="1:20" x14ac:dyDescent="0.25">
      <c r="A627" s="86" t="s">
        <v>602</v>
      </c>
      <c r="B627" t="s">
        <v>160</v>
      </c>
      <c r="K627">
        <v>0</v>
      </c>
      <c r="N627" s="72" t="s">
        <v>14</v>
      </c>
      <c r="O627" t="s">
        <v>24</v>
      </c>
      <c r="P627">
        <v>40</v>
      </c>
      <c r="S627"/>
      <c r="T627"/>
    </row>
    <row r="628" spans="1:20" x14ac:dyDescent="0.25">
      <c r="A628" s="86" t="s">
        <v>1763</v>
      </c>
      <c r="B628" t="s">
        <v>67</v>
      </c>
      <c r="C628">
        <v>122</v>
      </c>
      <c r="D628">
        <v>126</v>
      </c>
      <c r="K628">
        <v>248</v>
      </c>
      <c r="N628" s="72" t="s">
        <v>63</v>
      </c>
      <c r="O628" t="s">
        <v>24</v>
      </c>
      <c r="P628">
        <v>33</v>
      </c>
      <c r="Q628" s="131">
        <v>30907</v>
      </c>
      <c r="S628"/>
      <c r="T628"/>
    </row>
    <row r="629" spans="1:20" x14ac:dyDescent="0.25">
      <c r="A629" s="86" t="s">
        <v>2240</v>
      </c>
      <c r="B629" t="s">
        <v>156</v>
      </c>
      <c r="C629">
        <v>81</v>
      </c>
      <c r="D629">
        <v>69</v>
      </c>
      <c r="E629">
        <v>117</v>
      </c>
      <c r="K629">
        <v>267</v>
      </c>
      <c r="N629" s="72" t="s">
        <v>63</v>
      </c>
      <c r="O629" t="s">
        <v>23</v>
      </c>
      <c r="P629">
        <v>28</v>
      </c>
      <c r="Q629" s="131">
        <v>32726</v>
      </c>
      <c r="S629"/>
      <c r="T629"/>
    </row>
    <row r="630" spans="1:20" x14ac:dyDescent="0.25">
      <c r="A630" s="86" t="s">
        <v>483</v>
      </c>
      <c r="B630" t="s">
        <v>67</v>
      </c>
      <c r="K630">
        <v>0</v>
      </c>
      <c r="N630" s="72" t="s">
        <v>505</v>
      </c>
      <c r="O630" t="s">
        <v>24</v>
      </c>
      <c r="P630">
        <v>36</v>
      </c>
      <c r="S630"/>
      <c r="T630"/>
    </row>
    <row r="631" spans="1:20" x14ac:dyDescent="0.25">
      <c r="A631" s="86" t="s">
        <v>933</v>
      </c>
      <c r="B631" t="s">
        <v>160</v>
      </c>
      <c r="K631">
        <v>0</v>
      </c>
      <c r="N631" s="72" t="s">
        <v>14</v>
      </c>
      <c r="O631" t="s">
        <v>24</v>
      </c>
      <c r="P631">
        <v>44</v>
      </c>
      <c r="S631"/>
      <c r="T631"/>
    </row>
    <row r="632" spans="1:20" x14ac:dyDescent="0.25">
      <c r="A632" s="86" t="s">
        <v>898</v>
      </c>
      <c r="B632" t="s">
        <v>67</v>
      </c>
      <c r="K632">
        <v>0</v>
      </c>
      <c r="N632" s="72" t="s">
        <v>12</v>
      </c>
      <c r="O632" t="s">
        <v>24</v>
      </c>
      <c r="P632">
        <v>37</v>
      </c>
      <c r="Q632" s="131">
        <v>29210</v>
      </c>
      <c r="S632"/>
      <c r="T632"/>
    </row>
    <row r="633" spans="1:20" x14ac:dyDescent="0.25">
      <c r="A633" s="86" t="s">
        <v>1529</v>
      </c>
      <c r="B633" t="s">
        <v>160</v>
      </c>
      <c r="K633">
        <v>0</v>
      </c>
      <c r="N633" s="72" t="s">
        <v>1606</v>
      </c>
      <c r="O633" t="s">
        <v>24</v>
      </c>
      <c r="S633"/>
      <c r="T633"/>
    </row>
    <row r="634" spans="1:20" x14ac:dyDescent="0.25">
      <c r="A634" s="86" t="s">
        <v>684</v>
      </c>
      <c r="B634" t="s">
        <v>162</v>
      </c>
      <c r="K634">
        <v>0</v>
      </c>
      <c r="N634" s="72" t="s">
        <v>14</v>
      </c>
      <c r="O634" t="s">
        <v>24</v>
      </c>
      <c r="P634">
        <v>60</v>
      </c>
      <c r="S634"/>
      <c r="T634"/>
    </row>
    <row r="635" spans="1:20" x14ac:dyDescent="0.25">
      <c r="A635" s="86" t="s">
        <v>1087</v>
      </c>
      <c r="B635" t="s">
        <v>162</v>
      </c>
      <c r="K635">
        <v>0</v>
      </c>
      <c r="N635" s="72" t="s">
        <v>108</v>
      </c>
      <c r="O635" t="s">
        <v>24</v>
      </c>
      <c r="P635">
        <v>75</v>
      </c>
      <c r="S635"/>
      <c r="T635"/>
    </row>
    <row r="636" spans="1:20" x14ac:dyDescent="0.25">
      <c r="A636" s="86" t="s">
        <v>264</v>
      </c>
      <c r="B636" t="s">
        <v>161</v>
      </c>
      <c r="C636">
        <v>67</v>
      </c>
      <c r="D636">
        <v>59</v>
      </c>
      <c r="E636">
        <v>84</v>
      </c>
      <c r="K636">
        <v>210</v>
      </c>
      <c r="N636" s="72" t="s">
        <v>12</v>
      </c>
      <c r="O636" t="s">
        <v>24</v>
      </c>
      <c r="P636">
        <v>50</v>
      </c>
      <c r="Q636" s="131">
        <v>24970</v>
      </c>
      <c r="S636"/>
      <c r="T636"/>
    </row>
    <row r="637" spans="1:20" x14ac:dyDescent="0.25">
      <c r="A637" s="86" t="s">
        <v>551</v>
      </c>
      <c r="B637" t="s">
        <v>161</v>
      </c>
      <c r="E637">
        <v>81</v>
      </c>
      <c r="F637">
        <v>62</v>
      </c>
      <c r="K637">
        <v>143</v>
      </c>
      <c r="N637" s="72" t="s">
        <v>14</v>
      </c>
      <c r="O637" t="s">
        <v>24</v>
      </c>
      <c r="P637">
        <v>57</v>
      </c>
      <c r="Q637" s="131">
        <v>22328</v>
      </c>
      <c r="S637"/>
      <c r="T637"/>
    </row>
    <row r="638" spans="1:20" x14ac:dyDescent="0.25">
      <c r="A638" s="86" t="s">
        <v>1722</v>
      </c>
      <c r="B638" t="s">
        <v>160</v>
      </c>
      <c r="K638">
        <v>0</v>
      </c>
      <c r="N638" s="72" t="s">
        <v>1737</v>
      </c>
      <c r="O638" t="s">
        <v>24</v>
      </c>
      <c r="P638">
        <v>44</v>
      </c>
      <c r="Q638" s="131">
        <v>26458</v>
      </c>
      <c r="S638"/>
      <c r="T638"/>
    </row>
    <row r="639" spans="1:20" x14ac:dyDescent="0.25">
      <c r="A639" s="86" t="s">
        <v>1447</v>
      </c>
      <c r="B639" t="s">
        <v>67</v>
      </c>
      <c r="K639">
        <v>0</v>
      </c>
      <c r="N639" s="72" t="s">
        <v>14</v>
      </c>
      <c r="O639" t="s">
        <v>24</v>
      </c>
      <c r="P639">
        <v>30</v>
      </c>
      <c r="Q639" s="131">
        <v>31458</v>
      </c>
      <c r="S639"/>
      <c r="T639"/>
    </row>
    <row r="640" spans="1:20" x14ac:dyDescent="0.25">
      <c r="A640" s="86" t="s">
        <v>1381</v>
      </c>
      <c r="B640" t="s">
        <v>67</v>
      </c>
      <c r="K640">
        <v>0</v>
      </c>
      <c r="N640" s="72" t="s">
        <v>12</v>
      </c>
      <c r="O640" t="s">
        <v>24</v>
      </c>
      <c r="P640">
        <v>30</v>
      </c>
      <c r="Q640" s="131" t="s">
        <v>1434</v>
      </c>
      <c r="S640"/>
      <c r="T640"/>
    </row>
    <row r="641" spans="1:20" x14ac:dyDescent="0.25">
      <c r="A641" s="86" t="s">
        <v>1797</v>
      </c>
      <c r="B641" t="s">
        <v>67</v>
      </c>
      <c r="C641">
        <v>85</v>
      </c>
      <c r="D641">
        <v>75</v>
      </c>
      <c r="K641">
        <v>160</v>
      </c>
      <c r="N641" s="72" t="s">
        <v>1805</v>
      </c>
      <c r="O641" t="s">
        <v>24</v>
      </c>
      <c r="P641">
        <v>32</v>
      </c>
      <c r="Q641" s="131">
        <v>31273</v>
      </c>
      <c r="S641"/>
      <c r="T641"/>
    </row>
    <row r="642" spans="1:20" x14ac:dyDescent="0.25">
      <c r="A642" s="86" t="s">
        <v>1895</v>
      </c>
      <c r="B642" t="s">
        <v>160</v>
      </c>
      <c r="C642">
        <v>75</v>
      </c>
      <c r="K642">
        <v>75</v>
      </c>
      <c r="N642" s="72" t="s">
        <v>63</v>
      </c>
      <c r="O642" t="s">
        <v>24</v>
      </c>
      <c r="P642">
        <v>46</v>
      </c>
      <c r="Q642" s="131">
        <v>26011</v>
      </c>
      <c r="S642"/>
      <c r="T642"/>
    </row>
    <row r="643" spans="1:20" x14ac:dyDescent="0.25">
      <c r="A643" s="86" t="s">
        <v>2276</v>
      </c>
      <c r="B643" t="s">
        <v>67</v>
      </c>
      <c r="D643">
        <v>42</v>
      </c>
      <c r="E643">
        <v>45</v>
      </c>
      <c r="K643">
        <v>87</v>
      </c>
      <c r="N643" s="72" t="s">
        <v>38</v>
      </c>
      <c r="O643" t="s">
        <v>24</v>
      </c>
      <c r="P643">
        <v>38</v>
      </c>
      <c r="Q643" s="131">
        <v>29192</v>
      </c>
      <c r="S643"/>
      <c r="T643"/>
    </row>
    <row r="644" spans="1:20" x14ac:dyDescent="0.25">
      <c r="A644" s="86" t="s">
        <v>975</v>
      </c>
      <c r="B644" t="s">
        <v>160</v>
      </c>
      <c r="K644">
        <v>0</v>
      </c>
      <c r="N644" s="72" t="s">
        <v>38</v>
      </c>
      <c r="O644" t="s">
        <v>24</v>
      </c>
      <c r="P644">
        <v>49</v>
      </c>
      <c r="S644"/>
      <c r="T644"/>
    </row>
    <row r="645" spans="1:20" x14ac:dyDescent="0.25">
      <c r="A645" s="86" t="s">
        <v>1637</v>
      </c>
      <c r="B645" t="s">
        <v>157</v>
      </c>
      <c r="F645">
        <v>53</v>
      </c>
      <c r="K645">
        <v>53</v>
      </c>
      <c r="N645" s="72" t="s">
        <v>63</v>
      </c>
      <c r="O645" t="s">
        <v>23</v>
      </c>
      <c r="P645">
        <v>44</v>
      </c>
      <c r="Q645" s="131">
        <v>26904</v>
      </c>
      <c r="S645"/>
      <c r="T645"/>
    </row>
    <row r="646" spans="1:20" x14ac:dyDescent="0.25">
      <c r="A646" s="86" t="s">
        <v>843</v>
      </c>
      <c r="B646" t="s">
        <v>158</v>
      </c>
      <c r="K646">
        <v>0</v>
      </c>
      <c r="N646" s="72" t="s">
        <v>38</v>
      </c>
      <c r="O646" t="s">
        <v>23</v>
      </c>
      <c r="P646">
        <v>45</v>
      </c>
      <c r="S646"/>
      <c r="T646"/>
    </row>
    <row r="647" spans="1:20" x14ac:dyDescent="0.25">
      <c r="A647" s="86" t="s">
        <v>2375</v>
      </c>
      <c r="B647" t="s">
        <v>156</v>
      </c>
      <c r="E647">
        <v>118</v>
      </c>
      <c r="K647">
        <v>118</v>
      </c>
      <c r="N647" s="72" t="s">
        <v>505</v>
      </c>
      <c r="O647" t="s">
        <v>23</v>
      </c>
      <c r="P647">
        <v>33</v>
      </c>
      <c r="Q647" s="131">
        <v>30881</v>
      </c>
      <c r="S647"/>
      <c r="T647"/>
    </row>
    <row r="648" spans="1:20" x14ac:dyDescent="0.25">
      <c r="A648" s="86" t="s">
        <v>763</v>
      </c>
      <c r="B648" t="s">
        <v>156</v>
      </c>
      <c r="K648">
        <v>0</v>
      </c>
      <c r="N648" s="72" t="s">
        <v>815</v>
      </c>
      <c r="O648" t="s">
        <v>23</v>
      </c>
      <c r="P648">
        <v>27</v>
      </c>
      <c r="S648"/>
      <c r="T648"/>
    </row>
    <row r="649" spans="1:20" x14ac:dyDescent="0.25">
      <c r="A649" s="86" t="s">
        <v>1511</v>
      </c>
      <c r="B649" t="s">
        <v>158</v>
      </c>
      <c r="E649">
        <v>40</v>
      </c>
      <c r="F649">
        <v>28</v>
      </c>
      <c r="K649">
        <v>68</v>
      </c>
      <c r="N649" s="72" t="s">
        <v>155</v>
      </c>
      <c r="O649" t="s">
        <v>23</v>
      </c>
      <c r="P649">
        <v>45</v>
      </c>
      <c r="Q649" s="131">
        <v>26793</v>
      </c>
      <c r="S649"/>
      <c r="T649"/>
    </row>
    <row r="650" spans="1:20" x14ac:dyDescent="0.25">
      <c r="A650" s="86" t="s">
        <v>1590</v>
      </c>
      <c r="B650" t="s">
        <v>156</v>
      </c>
      <c r="K650">
        <v>0</v>
      </c>
      <c r="N650" s="72" t="s">
        <v>1618</v>
      </c>
      <c r="O650" t="s">
        <v>23</v>
      </c>
      <c r="S650"/>
      <c r="T650"/>
    </row>
    <row r="651" spans="1:20" x14ac:dyDescent="0.25">
      <c r="A651" s="86" t="s">
        <v>1493</v>
      </c>
      <c r="B651" t="s">
        <v>156</v>
      </c>
      <c r="K651">
        <v>0</v>
      </c>
      <c r="N651" s="72" t="s">
        <v>505</v>
      </c>
      <c r="O651" t="s">
        <v>23</v>
      </c>
      <c r="P651">
        <v>33</v>
      </c>
      <c r="Q651" s="131">
        <v>30283</v>
      </c>
      <c r="S651"/>
      <c r="T651"/>
    </row>
    <row r="652" spans="1:20" x14ac:dyDescent="0.25">
      <c r="A652" s="86" t="s">
        <v>2296</v>
      </c>
      <c r="B652" t="s">
        <v>67</v>
      </c>
      <c r="D652">
        <v>141</v>
      </c>
      <c r="E652">
        <v>156</v>
      </c>
      <c r="K652">
        <v>297</v>
      </c>
      <c r="N652" s="72" t="s">
        <v>38</v>
      </c>
      <c r="O652" t="s">
        <v>24</v>
      </c>
      <c r="P652">
        <v>19</v>
      </c>
      <c r="Q652" s="131">
        <v>35995</v>
      </c>
      <c r="S652"/>
      <c r="T652"/>
    </row>
    <row r="653" spans="1:20" x14ac:dyDescent="0.25">
      <c r="A653" s="86" t="s">
        <v>1599</v>
      </c>
      <c r="B653" t="s">
        <v>67</v>
      </c>
      <c r="K653">
        <v>0</v>
      </c>
      <c r="N653" s="72" t="s">
        <v>1618</v>
      </c>
      <c r="O653" t="s">
        <v>24</v>
      </c>
      <c r="S653"/>
      <c r="T653"/>
    </row>
    <row r="654" spans="1:20" x14ac:dyDescent="0.25">
      <c r="A654" s="86" t="s">
        <v>716</v>
      </c>
      <c r="B654" t="s">
        <v>158</v>
      </c>
      <c r="E654">
        <v>32</v>
      </c>
      <c r="K654">
        <v>32</v>
      </c>
      <c r="N654" s="72" t="s">
        <v>14</v>
      </c>
      <c r="O654" t="s">
        <v>23</v>
      </c>
      <c r="P654">
        <v>47</v>
      </c>
      <c r="Q654" s="131">
        <v>26038</v>
      </c>
      <c r="S654"/>
      <c r="T654"/>
    </row>
    <row r="655" spans="1:20" x14ac:dyDescent="0.25">
      <c r="A655" s="86" t="s">
        <v>2372</v>
      </c>
      <c r="B655" t="s">
        <v>157</v>
      </c>
      <c r="E655">
        <v>105</v>
      </c>
      <c r="K655">
        <v>105</v>
      </c>
      <c r="N655" s="72" t="s">
        <v>12</v>
      </c>
      <c r="O655" t="s">
        <v>23</v>
      </c>
      <c r="P655">
        <v>41</v>
      </c>
      <c r="Q655" s="131">
        <v>28007</v>
      </c>
      <c r="S655"/>
      <c r="T655"/>
    </row>
    <row r="656" spans="1:20" x14ac:dyDescent="0.25">
      <c r="A656" s="86" t="s">
        <v>1455</v>
      </c>
      <c r="B656" t="s">
        <v>158</v>
      </c>
      <c r="C656">
        <v>61</v>
      </c>
      <c r="D656">
        <v>65</v>
      </c>
      <c r="E656">
        <v>119</v>
      </c>
      <c r="F656">
        <v>55</v>
      </c>
      <c r="K656">
        <v>300</v>
      </c>
      <c r="N656" s="72" t="s">
        <v>154</v>
      </c>
      <c r="O656" t="s">
        <v>23</v>
      </c>
      <c r="P656">
        <v>47</v>
      </c>
      <c r="Q656" s="131">
        <v>25926</v>
      </c>
      <c r="S656"/>
      <c r="T656"/>
    </row>
    <row r="657" spans="1:20" x14ac:dyDescent="0.25">
      <c r="A657" s="86" t="s">
        <v>1142</v>
      </c>
      <c r="B657" t="s">
        <v>156</v>
      </c>
      <c r="K657">
        <v>0</v>
      </c>
      <c r="N657" s="72" t="s">
        <v>1631</v>
      </c>
      <c r="O657" t="s">
        <v>23</v>
      </c>
      <c r="P657">
        <v>29</v>
      </c>
      <c r="Q657" s="131">
        <v>32225</v>
      </c>
      <c r="S657"/>
      <c r="T657"/>
    </row>
    <row r="658" spans="1:20" x14ac:dyDescent="0.25">
      <c r="A658" s="86" t="s">
        <v>1906</v>
      </c>
      <c r="B658" t="s">
        <v>157</v>
      </c>
      <c r="K658">
        <v>0</v>
      </c>
      <c r="N658" s="72" t="s">
        <v>14</v>
      </c>
      <c r="O658" t="s">
        <v>23</v>
      </c>
      <c r="P658">
        <v>39</v>
      </c>
      <c r="Q658" s="131">
        <v>28657</v>
      </c>
      <c r="S658"/>
      <c r="T658"/>
    </row>
    <row r="659" spans="1:20" x14ac:dyDescent="0.25">
      <c r="A659" s="86" t="s">
        <v>2224</v>
      </c>
      <c r="B659" t="s">
        <v>156</v>
      </c>
      <c r="C659">
        <v>32</v>
      </c>
      <c r="E659">
        <v>70</v>
      </c>
      <c r="K659">
        <v>102</v>
      </c>
      <c r="N659" s="72" t="s">
        <v>1805</v>
      </c>
      <c r="O659" t="s">
        <v>23</v>
      </c>
      <c r="P659">
        <v>34</v>
      </c>
      <c r="Q659" s="131">
        <v>30581</v>
      </c>
      <c r="S659"/>
      <c r="T659"/>
    </row>
    <row r="660" spans="1:20" x14ac:dyDescent="0.25">
      <c r="A660" s="86" t="s">
        <v>994</v>
      </c>
      <c r="B660" t="s">
        <v>157</v>
      </c>
      <c r="K660">
        <v>0</v>
      </c>
      <c r="N660" s="72" t="s">
        <v>14</v>
      </c>
      <c r="O660" t="s">
        <v>23</v>
      </c>
      <c r="P660">
        <v>43</v>
      </c>
      <c r="S660"/>
      <c r="T660"/>
    </row>
    <row r="661" spans="1:20" x14ac:dyDescent="0.25">
      <c r="A661" s="86" t="s">
        <v>500</v>
      </c>
      <c r="B661" t="s">
        <v>158</v>
      </c>
      <c r="K661">
        <v>0</v>
      </c>
      <c r="N661" s="72" t="s">
        <v>38</v>
      </c>
      <c r="O661" t="s">
        <v>23</v>
      </c>
      <c r="P661">
        <v>48</v>
      </c>
      <c r="S661"/>
      <c r="T661"/>
    </row>
    <row r="662" spans="1:20" x14ac:dyDescent="0.25">
      <c r="A662" s="86" t="s">
        <v>222</v>
      </c>
      <c r="B662" t="s">
        <v>159</v>
      </c>
      <c r="E662">
        <v>126</v>
      </c>
      <c r="K662">
        <v>126</v>
      </c>
      <c r="N662" s="72" t="s">
        <v>38</v>
      </c>
      <c r="O662" t="s">
        <v>23</v>
      </c>
      <c r="P662">
        <v>62</v>
      </c>
      <c r="Q662" s="131">
        <v>20565</v>
      </c>
      <c r="S662"/>
      <c r="T662"/>
    </row>
    <row r="663" spans="1:20" x14ac:dyDescent="0.25">
      <c r="A663" s="86" t="s">
        <v>965</v>
      </c>
      <c r="B663" t="s">
        <v>159</v>
      </c>
      <c r="K663">
        <v>0</v>
      </c>
      <c r="N663" s="72" t="s">
        <v>154</v>
      </c>
      <c r="O663" t="s">
        <v>23</v>
      </c>
      <c r="P663">
        <v>61</v>
      </c>
      <c r="S663"/>
      <c r="T663"/>
    </row>
    <row r="664" spans="1:20" x14ac:dyDescent="0.25">
      <c r="A664" s="86" t="s">
        <v>519</v>
      </c>
      <c r="B664" t="s">
        <v>156</v>
      </c>
      <c r="K664">
        <v>0</v>
      </c>
      <c r="N664" s="72" t="s">
        <v>63</v>
      </c>
      <c r="O664" t="s">
        <v>23</v>
      </c>
      <c r="P664">
        <v>27</v>
      </c>
      <c r="S664"/>
      <c r="T664"/>
    </row>
    <row r="665" spans="1:20" x14ac:dyDescent="0.25">
      <c r="A665" s="86" t="s">
        <v>619</v>
      </c>
      <c r="B665" t="s">
        <v>157</v>
      </c>
      <c r="K665">
        <v>0</v>
      </c>
      <c r="N665" s="72" t="s">
        <v>12</v>
      </c>
      <c r="O665" t="s">
        <v>23</v>
      </c>
      <c r="P665">
        <v>36</v>
      </c>
      <c r="S665"/>
      <c r="T665"/>
    </row>
    <row r="666" spans="1:20" x14ac:dyDescent="0.25">
      <c r="A666" s="86" t="s">
        <v>1248</v>
      </c>
      <c r="B666" t="s">
        <v>157</v>
      </c>
      <c r="K666">
        <v>0</v>
      </c>
      <c r="N666" s="72" t="s">
        <v>653</v>
      </c>
      <c r="O666" t="s">
        <v>23</v>
      </c>
      <c r="P666">
        <v>38</v>
      </c>
      <c r="Q666" s="131" t="s">
        <v>1249</v>
      </c>
      <c r="S666"/>
      <c r="T666"/>
    </row>
    <row r="667" spans="1:20" x14ac:dyDescent="0.25">
      <c r="A667" s="86" t="s">
        <v>2234</v>
      </c>
      <c r="B667" t="s">
        <v>157</v>
      </c>
      <c r="C667">
        <v>62</v>
      </c>
      <c r="D667">
        <v>66</v>
      </c>
      <c r="E667">
        <v>99</v>
      </c>
      <c r="F667">
        <v>61</v>
      </c>
      <c r="K667">
        <v>288</v>
      </c>
      <c r="N667" s="72" t="s">
        <v>1805</v>
      </c>
      <c r="O667" t="s">
        <v>23</v>
      </c>
      <c r="P667">
        <v>38</v>
      </c>
      <c r="Q667" s="131">
        <v>29289</v>
      </c>
      <c r="S667"/>
      <c r="T667"/>
    </row>
    <row r="668" spans="1:20" x14ac:dyDescent="0.25">
      <c r="A668" s="86" t="s">
        <v>491</v>
      </c>
      <c r="B668" t="s">
        <v>158</v>
      </c>
      <c r="K668">
        <v>0</v>
      </c>
      <c r="N668" s="72" t="s">
        <v>38</v>
      </c>
      <c r="O668" t="s">
        <v>23</v>
      </c>
      <c r="P668">
        <v>50</v>
      </c>
      <c r="S668"/>
      <c r="T668"/>
    </row>
    <row r="669" spans="1:20" x14ac:dyDescent="0.25">
      <c r="A669" s="86" t="s">
        <v>1757</v>
      </c>
      <c r="B669" t="s">
        <v>157</v>
      </c>
      <c r="C669">
        <v>74</v>
      </c>
      <c r="E669">
        <v>108</v>
      </c>
      <c r="F669">
        <v>66</v>
      </c>
      <c r="K669">
        <v>248</v>
      </c>
      <c r="N669" s="72" t="s">
        <v>12</v>
      </c>
      <c r="O669" t="s">
        <v>23</v>
      </c>
      <c r="P669">
        <v>44</v>
      </c>
      <c r="Q669" s="131">
        <v>26974</v>
      </c>
      <c r="S669"/>
      <c r="T669"/>
    </row>
    <row r="670" spans="1:20" x14ac:dyDescent="0.25">
      <c r="A670" s="86" t="s">
        <v>1195</v>
      </c>
      <c r="B670" t="s">
        <v>156</v>
      </c>
      <c r="E670">
        <v>136</v>
      </c>
      <c r="K670">
        <v>136</v>
      </c>
      <c r="N670" s="72" t="s">
        <v>505</v>
      </c>
      <c r="O670" t="s">
        <v>23</v>
      </c>
      <c r="P670">
        <v>34</v>
      </c>
      <c r="Q670" s="131">
        <v>30686</v>
      </c>
      <c r="S670"/>
      <c r="T670"/>
    </row>
    <row r="671" spans="1:20" x14ac:dyDescent="0.25">
      <c r="A671" s="86" t="s">
        <v>1984</v>
      </c>
      <c r="B671" t="s">
        <v>157</v>
      </c>
      <c r="K671">
        <v>0</v>
      </c>
      <c r="N671" s="72" t="s">
        <v>657</v>
      </c>
      <c r="O671" t="s">
        <v>23</v>
      </c>
      <c r="S671"/>
      <c r="T671"/>
    </row>
    <row r="672" spans="1:20" x14ac:dyDescent="0.25">
      <c r="A672" s="86" t="s">
        <v>1938</v>
      </c>
      <c r="B672" t="s">
        <v>156</v>
      </c>
      <c r="K672">
        <v>0</v>
      </c>
      <c r="N672" s="72" t="s">
        <v>154</v>
      </c>
      <c r="O672" t="s">
        <v>23</v>
      </c>
      <c r="P672">
        <v>27</v>
      </c>
      <c r="Q672" s="131">
        <v>32727</v>
      </c>
      <c r="S672"/>
      <c r="T672"/>
    </row>
    <row r="673" spans="1:20" x14ac:dyDescent="0.25">
      <c r="A673" s="86" t="s">
        <v>2458</v>
      </c>
      <c r="B673" t="s">
        <v>162</v>
      </c>
      <c r="F673">
        <v>159</v>
      </c>
      <c r="K673">
        <v>159</v>
      </c>
      <c r="N673" s="72" t="s">
        <v>38</v>
      </c>
      <c r="O673" t="s">
        <v>24</v>
      </c>
      <c r="P673">
        <v>68</v>
      </c>
      <c r="Q673" s="131">
        <v>18248</v>
      </c>
      <c r="S673"/>
      <c r="T673"/>
    </row>
    <row r="674" spans="1:20" x14ac:dyDescent="0.25">
      <c r="A674" s="86" t="s">
        <v>826</v>
      </c>
      <c r="B674" t="s">
        <v>160</v>
      </c>
      <c r="K674">
        <v>0</v>
      </c>
      <c r="N674" s="72" t="s">
        <v>12</v>
      </c>
      <c r="O674" t="s">
        <v>24</v>
      </c>
      <c r="P674">
        <v>40</v>
      </c>
      <c r="S674"/>
      <c r="T674"/>
    </row>
    <row r="675" spans="1:20" x14ac:dyDescent="0.25">
      <c r="A675" s="86" t="s">
        <v>417</v>
      </c>
      <c r="B675" t="s">
        <v>67</v>
      </c>
      <c r="K675">
        <v>0</v>
      </c>
      <c r="N675" s="72" t="s">
        <v>63</v>
      </c>
      <c r="O675" t="s">
        <v>24</v>
      </c>
      <c r="P675">
        <v>25</v>
      </c>
      <c r="S675"/>
      <c r="T675"/>
    </row>
    <row r="676" spans="1:20" x14ac:dyDescent="0.25">
      <c r="A676" s="86" t="s">
        <v>2326</v>
      </c>
      <c r="B676" t="s">
        <v>156</v>
      </c>
      <c r="E676">
        <v>3</v>
      </c>
      <c r="K676">
        <v>3</v>
      </c>
      <c r="N676" s="72" t="s">
        <v>14</v>
      </c>
      <c r="O676" t="s">
        <v>23</v>
      </c>
      <c r="P676">
        <v>34</v>
      </c>
      <c r="Q676" s="131">
        <v>30777</v>
      </c>
      <c r="S676"/>
      <c r="T676"/>
    </row>
    <row r="677" spans="1:20" x14ac:dyDescent="0.25">
      <c r="A677" s="86" t="s">
        <v>2347</v>
      </c>
      <c r="B677" t="s">
        <v>156</v>
      </c>
      <c r="E677">
        <v>43</v>
      </c>
      <c r="K677">
        <v>43</v>
      </c>
      <c r="N677" s="72" t="s">
        <v>505</v>
      </c>
      <c r="O677" t="s">
        <v>23</v>
      </c>
      <c r="P677">
        <v>26</v>
      </c>
      <c r="Q677" s="131">
        <v>33774</v>
      </c>
      <c r="S677"/>
      <c r="T677"/>
    </row>
    <row r="678" spans="1:20" x14ac:dyDescent="0.25">
      <c r="A678" s="86" t="s">
        <v>883</v>
      </c>
      <c r="B678" t="s">
        <v>162</v>
      </c>
      <c r="K678">
        <v>0</v>
      </c>
      <c r="N678" s="72" t="s">
        <v>63</v>
      </c>
      <c r="O678" t="s">
        <v>24</v>
      </c>
      <c r="P678">
        <v>66</v>
      </c>
      <c r="Q678" s="131">
        <v>18555</v>
      </c>
      <c r="S678"/>
      <c r="T678"/>
    </row>
    <row r="679" spans="1:20" x14ac:dyDescent="0.25">
      <c r="A679" s="86" t="s">
        <v>393</v>
      </c>
      <c r="B679" t="s">
        <v>161</v>
      </c>
      <c r="K679">
        <v>0</v>
      </c>
      <c r="N679" s="72" t="s">
        <v>504</v>
      </c>
      <c r="O679" t="s">
        <v>24</v>
      </c>
      <c r="P679">
        <v>50</v>
      </c>
      <c r="S679"/>
      <c r="T679"/>
    </row>
    <row r="680" spans="1:20" x14ac:dyDescent="0.25">
      <c r="A680" s="86" t="s">
        <v>776</v>
      </c>
      <c r="B680" t="s">
        <v>67</v>
      </c>
      <c r="K680">
        <v>0</v>
      </c>
      <c r="N680" s="72" t="s">
        <v>108</v>
      </c>
      <c r="O680" t="s">
        <v>24</v>
      </c>
      <c r="P680">
        <v>26</v>
      </c>
      <c r="S680"/>
      <c r="T680"/>
    </row>
    <row r="681" spans="1:20" x14ac:dyDescent="0.25">
      <c r="A681" s="86" t="s">
        <v>962</v>
      </c>
      <c r="B681" t="s">
        <v>67</v>
      </c>
      <c r="K681">
        <v>0</v>
      </c>
      <c r="N681" s="72" t="s">
        <v>2010</v>
      </c>
      <c r="O681" t="s">
        <v>24</v>
      </c>
      <c r="P681">
        <v>28</v>
      </c>
      <c r="Q681" s="131">
        <v>32140</v>
      </c>
      <c r="S681"/>
      <c r="T681"/>
    </row>
    <row r="682" spans="1:20" x14ac:dyDescent="0.25">
      <c r="A682" s="86" t="s">
        <v>2018</v>
      </c>
      <c r="B682" t="s">
        <v>161</v>
      </c>
      <c r="K682">
        <v>0</v>
      </c>
      <c r="N682" s="72" t="s">
        <v>39</v>
      </c>
      <c r="O682" t="s">
        <v>24</v>
      </c>
      <c r="P682">
        <v>56</v>
      </c>
      <c r="Q682" s="131">
        <v>22464</v>
      </c>
      <c r="S682"/>
      <c r="T682"/>
    </row>
    <row r="683" spans="1:20" x14ac:dyDescent="0.25">
      <c r="A683" s="86" t="s">
        <v>458</v>
      </c>
      <c r="B683" t="s">
        <v>67</v>
      </c>
      <c r="K683">
        <v>0</v>
      </c>
      <c r="N683" s="72" t="s">
        <v>12</v>
      </c>
      <c r="O683" t="s">
        <v>24</v>
      </c>
      <c r="P683">
        <v>37</v>
      </c>
      <c r="S683"/>
      <c r="T683"/>
    </row>
    <row r="684" spans="1:20" x14ac:dyDescent="0.25">
      <c r="A684" s="86" t="s">
        <v>283</v>
      </c>
      <c r="B684" t="s">
        <v>161</v>
      </c>
      <c r="D684">
        <v>99</v>
      </c>
      <c r="E684">
        <v>129</v>
      </c>
      <c r="F684">
        <v>112</v>
      </c>
      <c r="K684">
        <v>340</v>
      </c>
      <c r="N684" s="72" t="s">
        <v>155</v>
      </c>
      <c r="O684" t="s">
        <v>24</v>
      </c>
      <c r="P684">
        <v>50</v>
      </c>
      <c r="Q684" s="131">
        <v>24958</v>
      </c>
      <c r="S684"/>
      <c r="T684"/>
    </row>
    <row r="685" spans="1:20" x14ac:dyDescent="0.25">
      <c r="A685" s="86" t="s">
        <v>2207</v>
      </c>
      <c r="B685" t="s">
        <v>67</v>
      </c>
      <c r="C685">
        <v>57</v>
      </c>
      <c r="E685">
        <v>54</v>
      </c>
      <c r="K685">
        <v>111</v>
      </c>
      <c r="N685" s="72" t="s">
        <v>1805</v>
      </c>
      <c r="O685" t="s">
        <v>24</v>
      </c>
      <c r="P685">
        <v>29</v>
      </c>
      <c r="Q685" s="131">
        <v>32469</v>
      </c>
      <c r="S685"/>
      <c r="T685"/>
    </row>
    <row r="686" spans="1:20" x14ac:dyDescent="0.25">
      <c r="A686" s="86" t="s">
        <v>1649</v>
      </c>
      <c r="B686" t="s">
        <v>162</v>
      </c>
      <c r="K686">
        <v>0</v>
      </c>
      <c r="N686" s="72" t="s">
        <v>1503</v>
      </c>
      <c r="O686" t="s">
        <v>24</v>
      </c>
      <c r="P686">
        <v>64</v>
      </c>
      <c r="Q686" s="131">
        <v>19203</v>
      </c>
      <c r="S686"/>
      <c r="T686"/>
    </row>
    <row r="687" spans="1:20" x14ac:dyDescent="0.25">
      <c r="A687" s="86" t="s">
        <v>406</v>
      </c>
      <c r="B687" t="s">
        <v>161</v>
      </c>
      <c r="K687">
        <v>0</v>
      </c>
      <c r="N687" s="72" t="s">
        <v>154</v>
      </c>
      <c r="O687" t="s">
        <v>24</v>
      </c>
      <c r="P687">
        <v>50</v>
      </c>
      <c r="S687"/>
      <c r="T687"/>
    </row>
    <row r="688" spans="1:20" x14ac:dyDescent="0.25">
      <c r="A688" s="86" t="s">
        <v>2055</v>
      </c>
      <c r="B688" t="s">
        <v>160</v>
      </c>
      <c r="K688">
        <v>0</v>
      </c>
      <c r="N688" s="72" t="s">
        <v>51</v>
      </c>
      <c r="O688" t="s">
        <v>24</v>
      </c>
      <c r="P688">
        <v>45</v>
      </c>
      <c r="Q688" s="131" t="s">
        <v>2056</v>
      </c>
      <c r="S688"/>
      <c r="T688"/>
    </row>
    <row r="689" spans="1:20" x14ac:dyDescent="0.25">
      <c r="A689" s="86" t="s">
        <v>244</v>
      </c>
      <c r="B689" t="s">
        <v>67</v>
      </c>
      <c r="C689">
        <v>22</v>
      </c>
      <c r="E689">
        <v>100</v>
      </c>
      <c r="K689">
        <v>122</v>
      </c>
      <c r="N689" s="72" t="s">
        <v>63</v>
      </c>
      <c r="O689" t="s">
        <v>24</v>
      </c>
      <c r="P689">
        <v>34</v>
      </c>
      <c r="Q689" s="131">
        <v>30760</v>
      </c>
      <c r="S689"/>
      <c r="T689"/>
    </row>
    <row r="690" spans="1:20" x14ac:dyDescent="0.25">
      <c r="A690" s="86" t="s">
        <v>2440</v>
      </c>
      <c r="B690" t="s">
        <v>161</v>
      </c>
      <c r="F690">
        <v>149</v>
      </c>
      <c r="K690">
        <v>149</v>
      </c>
      <c r="N690" s="72" t="s">
        <v>1805</v>
      </c>
      <c r="O690" t="s">
        <v>24</v>
      </c>
      <c r="P690">
        <v>55</v>
      </c>
      <c r="Q690" s="131">
        <v>23600</v>
      </c>
      <c r="S690"/>
      <c r="T690"/>
    </row>
    <row r="691" spans="1:20" x14ac:dyDescent="0.25">
      <c r="A691" s="86" t="s">
        <v>2361</v>
      </c>
      <c r="B691" t="s">
        <v>157</v>
      </c>
      <c r="E691">
        <v>75</v>
      </c>
      <c r="K691">
        <v>75</v>
      </c>
      <c r="N691" s="72" t="s">
        <v>12</v>
      </c>
      <c r="O691" t="s">
        <v>23</v>
      </c>
      <c r="P691">
        <v>40</v>
      </c>
      <c r="Q691" s="131">
        <v>28300</v>
      </c>
      <c r="S691"/>
      <c r="T691"/>
    </row>
    <row r="692" spans="1:20" x14ac:dyDescent="0.25">
      <c r="A692" s="86" t="s">
        <v>717</v>
      </c>
      <c r="B692" t="s">
        <v>158</v>
      </c>
      <c r="K692">
        <v>0</v>
      </c>
      <c r="N692" s="72" t="s">
        <v>1618</v>
      </c>
      <c r="O692" t="s">
        <v>23</v>
      </c>
      <c r="P692">
        <v>35</v>
      </c>
      <c r="S692"/>
      <c r="T692"/>
    </row>
    <row r="693" spans="1:20" x14ac:dyDescent="0.25">
      <c r="A693" s="86" t="s">
        <v>2349</v>
      </c>
      <c r="B693" t="s">
        <v>67</v>
      </c>
      <c r="E693">
        <v>145</v>
      </c>
      <c r="F693">
        <v>117</v>
      </c>
      <c r="K693">
        <v>262</v>
      </c>
      <c r="N693" s="72" t="s">
        <v>63</v>
      </c>
      <c r="O693" t="s">
        <v>24</v>
      </c>
      <c r="P693">
        <v>39</v>
      </c>
      <c r="Q693" s="131">
        <v>28962</v>
      </c>
      <c r="S693"/>
      <c r="T693"/>
    </row>
    <row r="694" spans="1:20" x14ac:dyDescent="0.25">
      <c r="A694" s="86" t="s">
        <v>1834</v>
      </c>
      <c r="B694" t="s">
        <v>156</v>
      </c>
      <c r="K694">
        <v>0</v>
      </c>
      <c r="N694" s="72" t="s">
        <v>1805</v>
      </c>
      <c r="O694" t="s">
        <v>23</v>
      </c>
      <c r="P694">
        <v>33</v>
      </c>
      <c r="Q694" s="131">
        <v>30696</v>
      </c>
      <c r="S694"/>
      <c r="T694"/>
    </row>
    <row r="695" spans="1:20" x14ac:dyDescent="0.25">
      <c r="A695" s="86" t="s">
        <v>944</v>
      </c>
      <c r="B695" t="s">
        <v>158</v>
      </c>
      <c r="C695">
        <v>15</v>
      </c>
      <c r="D695">
        <v>22</v>
      </c>
      <c r="K695">
        <v>37</v>
      </c>
      <c r="N695" s="72" t="s">
        <v>505</v>
      </c>
      <c r="O695" t="s">
        <v>23</v>
      </c>
      <c r="P695">
        <v>51</v>
      </c>
      <c r="Q695" s="131">
        <v>24593</v>
      </c>
      <c r="S695"/>
      <c r="T695"/>
    </row>
    <row r="696" spans="1:20" x14ac:dyDescent="0.25">
      <c r="A696" s="86" t="s">
        <v>805</v>
      </c>
      <c r="B696" t="s">
        <v>157</v>
      </c>
      <c r="K696">
        <v>0</v>
      </c>
      <c r="N696" s="72" t="s">
        <v>155</v>
      </c>
      <c r="O696" t="s">
        <v>23</v>
      </c>
      <c r="P696">
        <v>44</v>
      </c>
      <c r="Q696" s="131">
        <v>26573</v>
      </c>
      <c r="S696"/>
      <c r="T696"/>
    </row>
    <row r="697" spans="1:20" x14ac:dyDescent="0.25">
      <c r="A697" s="86" t="s">
        <v>2199</v>
      </c>
      <c r="B697" t="s">
        <v>67</v>
      </c>
      <c r="C697">
        <v>33</v>
      </c>
      <c r="K697">
        <v>33</v>
      </c>
      <c r="N697" s="72" t="s">
        <v>63</v>
      </c>
      <c r="O697" t="s">
        <v>24</v>
      </c>
      <c r="S697"/>
      <c r="T697"/>
    </row>
    <row r="698" spans="1:20" x14ac:dyDescent="0.25">
      <c r="A698" s="86" t="s">
        <v>2380</v>
      </c>
      <c r="B698" t="s">
        <v>157</v>
      </c>
      <c r="E698">
        <v>131</v>
      </c>
      <c r="K698">
        <v>131</v>
      </c>
      <c r="N698" s="72" t="s">
        <v>154</v>
      </c>
      <c r="O698" t="s">
        <v>23</v>
      </c>
      <c r="P698">
        <v>37</v>
      </c>
      <c r="Q698" s="131">
        <v>29505</v>
      </c>
      <c r="S698"/>
      <c r="T698"/>
    </row>
    <row r="699" spans="1:20" x14ac:dyDescent="0.25">
      <c r="A699" s="86" t="s">
        <v>1076</v>
      </c>
      <c r="B699" t="s">
        <v>158</v>
      </c>
      <c r="D699">
        <v>100</v>
      </c>
      <c r="E699">
        <v>167</v>
      </c>
      <c r="K699">
        <v>267</v>
      </c>
      <c r="N699" s="72" t="s">
        <v>155</v>
      </c>
      <c r="O699" t="s">
        <v>23</v>
      </c>
      <c r="P699">
        <v>54</v>
      </c>
      <c r="Q699" s="131">
        <v>23189</v>
      </c>
      <c r="S699"/>
      <c r="T699"/>
    </row>
    <row r="700" spans="1:20" x14ac:dyDescent="0.25">
      <c r="A700" s="86" t="s">
        <v>812</v>
      </c>
      <c r="B700" t="s">
        <v>162</v>
      </c>
      <c r="K700">
        <v>0</v>
      </c>
      <c r="N700" s="72" t="s">
        <v>505</v>
      </c>
      <c r="O700" t="s">
        <v>24</v>
      </c>
      <c r="P700">
        <v>68</v>
      </c>
      <c r="Q700" s="131" t="s">
        <v>2101</v>
      </c>
      <c r="S700"/>
      <c r="T700"/>
    </row>
    <row r="701" spans="1:20" x14ac:dyDescent="0.25">
      <c r="A701" s="86" t="s">
        <v>463</v>
      </c>
      <c r="B701" t="s">
        <v>156</v>
      </c>
      <c r="K701">
        <v>0</v>
      </c>
      <c r="N701" s="72" t="s">
        <v>63</v>
      </c>
      <c r="O701" t="s">
        <v>23</v>
      </c>
      <c r="P701">
        <v>33</v>
      </c>
      <c r="S701"/>
      <c r="T701"/>
    </row>
    <row r="702" spans="1:20" x14ac:dyDescent="0.25">
      <c r="A702" s="86" t="s">
        <v>1856</v>
      </c>
      <c r="B702" t="s">
        <v>156</v>
      </c>
      <c r="K702">
        <v>0</v>
      </c>
      <c r="N702" s="72" t="s">
        <v>12</v>
      </c>
      <c r="O702" t="s">
        <v>23</v>
      </c>
      <c r="P702">
        <v>20</v>
      </c>
      <c r="Q702" s="131">
        <v>35423</v>
      </c>
      <c r="S702"/>
      <c r="T702"/>
    </row>
    <row r="703" spans="1:20" x14ac:dyDescent="0.25">
      <c r="A703" s="86" t="s">
        <v>1185</v>
      </c>
      <c r="B703" t="s">
        <v>156</v>
      </c>
      <c r="K703">
        <v>0</v>
      </c>
      <c r="N703" s="72" t="s">
        <v>10</v>
      </c>
      <c r="O703" t="s">
        <v>23</v>
      </c>
      <c r="P703">
        <v>14</v>
      </c>
      <c r="S703"/>
      <c r="T703"/>
    </row>
    <row r="704" spans="1:20" x14ac:dyDescent="0.25">
      <c r="A704" s="86" t="s">
        <v>1871</v>
      </c>
      <c r="B704" t="s">
        <v>160</v>
      </c>
      <c r="K704">
        <v>0</v>
      </c>
      <c r="N704" s="72" t="s">
        <v>1400</v>
      </c>
      <c r="O704" t="s">
        <v>24</v>
      </c>
      <c r="P704">
        <v>44</v>
      </c>
      <c r="Q704" s="131">
        <v>26652</v>
      </c>
      <c r="S704"/>
      <c r="T704"/>
    </row>
    <row r="705" spans="1:20" x14ac:dyDescent="0.25">
      <c r="A705" s="86" t="s">
        <v>1457</v>
      </c>
      <c r="B705" t="s">
        <v>67</v>
      </c>
      <c r="K705">
        <v>0</v>
      </c>
      <c r="N705" s="72" t="s">
        <v>505</v>
      </c>
      <c r="O705" t="s">
        <v>24</v>
      </c>
      <c r="P705">
        <v>24</v>
      </c>
      <c r="Q705" s="131">
        <v>33625</v>
      </c>
      <c r="S705"/>
      <c r="T705"/>
    </row>
    <row r="706" spans="1:20" x14ac:dyDescent="0.25">
      <c r="A706" s="86" t="s">
        <v>2472</v>
      </c>
      <c r="B706" t="s">
        <v>67</v>
      </c>
      <c r="F706">
        <v>134</v>
      </c>
      <c r="K706">
        <v>134</v>
      </c>
      <c r="N706" s="72" t="s">
        <v>505</v>
      </c>
      <c r="O706" t="s">
        <v>24</v>
      </c>
      <c r="P706">
        <v>28</v>
      </c>
      <c r="S706"/>
      <c r="T706"/>
    </row>
    <row r="707" spans="1:20" x14ac:dyDescent="0.25">
      <c r="A707" s="86" t="s">
        <v>1194</v>
      </c>
      <c r="B707" t="s">
        <v>67</v>
      </c>
      <c r="K707">
        <v>0</v>
      </c>
      <c r="N707" s="72" t="s">
        <v>14</v>
      </c>
      <c r="O707" t="s">
        <v>24</v>
      </c>
      <c r="P707">
        <v>26</v>
      </c>
      <c r="S707"/>
      <c r="T707"/>
    </row>
    <row r="708" spans="1:20" x14ac:dyDescent="0.25">
      <c r="A708" s="86" t="s">
        <v>1482</v>
      </c>
      <c r="B708" t="s">
        <v>67</v>
      </c>
      <c r="C708">
        <v>113</v>
      </c>
      <c r="E708">
        <v>123</v>
      </c>
      <c r="K708">
        <v>236</v>
      </c>
      <c r="N708" s="72" t="s">
        <v>63</v>
      </c>
      <c r="O708" t="s">
        <v>24</v>
      </c>
      <c r="P708">
        <v>18</v>
      </c>
      <c r="Q708" s="131">
        <v>36433</v>
      </c>
      <c r="S708"/>
      <c r="T708"/>
    </row>
    <row r="709" spans="1:20" x14ac:dyDescent="0.25">
      <c r="A709" s="86" t="s">
        <v>2452</v>
      </c>
      <c r="B709" t="s">
        <v>160</v>
      </c>
      <c r="F709">
        <v>48</v>
      </c>
      <c r="K709">
        <v>48</v>
      </c>
      <c r="N709" s="72" t="s">
        <v>12</v>
      </c>
      <c r="O709" t="s">
        <v>24</v>
      </c>
      <c r="P709">
        <v>42</v>
      </c>
      <c r="Q709" s="131">
        <v>27744</v>
      </c>
      <c r="S709"/>
      <c r="T709"/>
    </row>
    <row r="710" spans="1:20" x14ac:dyDescent="0.25">
      <c r="A710" s="86" t="s">
        <v>1742</v>
      </c>
      <c r="B710" t="s">
        <v>158</v>
      </c>
      <c r="C710">
        <v>80</v>
      </c>
      <c r="D710">
        <v>71</v>
      </c>
      <c r="E710">
        <v>113</v>
      </c>
      <c r="F710">
        <v>71</v>
      </c>
      <c r="K710">
        <v>335</v>
      </c>
      <c r="N710" s="72" t="s">
        <v>38</v>
      </c>
      <c r="O710" t="s">
        <v>23</v>
      </c>
      <c r="P710">
        <v>49</v>
      </c>
      <c r="Q710" s="131">
        <v>25232</v>
      </c>
      <c r="S710"/>
      <c r="T710"/>
    </row>
    <row r="711" spans="1:20" x14ac:dyDescent="0.25">
      <c r="A711" s="86" t="s">
        <v>1758</v>
      </c>
      <c r="B711" t="s">
        <v>156</v>
      </c>
      <c r="C711">
        <v>76</v>
      </c>
      <c r="E711">
        <v>130</v>
      </c>
      <c r="K711">
        <v>206</v>
      </c>
      <c r="N711" s="72" t="s">
        <v>63</v>
      </c>
      <c r="O711" t="s">
        <v>23</v>
      </c>
      <c r="P711">
        <v>30</v>
      </c>
      <c r="Q711" s="131">
        <v>32209</v>
      </c>
      <c r="S711"/>
      <c r="T711"/>
    </row>
    <row r="712" spans="1:20" x14ac:dyDescent="0.25">
      <c r="A712" s="86" t="s">
        <v>1748</v>
      </c>
      <c r="B712" t="s">
        <v>159</v>
      </c>
      <c r="C712">
        <v>85</v>
      </c>
      <c r="D712">
        <v>83</v>
      </c>
      <c r="K712">
        <v>168</v>
      </c>
      <c r="N712" s="72" t="s">
        <v>155</v>
      </c>
      <c r="O712" t="s">
        <v>23</v>
      </c>
      <c r="P712">
        <v>60</v>
      </c>
      <c r="Q712" s="131">
        <v>21121</v>
      </c>
      <c r="S712"/>
      <c r="T712"/>
    </row>
    <row r="713" spans="1:20" x14ac:dyDescent="0.25">
      <c r="A713" s="86" t="s">
        <v>1752</v>
      </c>
      <c r="B713" t="s">
        <v>159</v>
      </c>
      <c r="K713">
        <v>0</v>
      </c>
      <c r="N713" s="72" t="s">
        <v>63</v>
      </c>
      <c r="O713" t="s">
        <v>23</v>
      </c>
      <c r="P713">
        <v>57</v>
      </c>
      <c r="Q713" s="131">
        <v>22027</v>
      </c>
      <c r="S713"/>
      <c r="T713"/>
    </row>
    <row r="714" spans="1:20" x14ac:dyDescent="0.25">
      <c r="A714" s="86" t="s">
        <v>1597</v>
      </c>
      <c r="B714" t="s">
        <v>158</v>
      </c>
      <c r="K714">
        <v>0</v>
      </c>
      <c r="N714" s="72" t="s">
        <v>1617</v>
      </c>
      <c r="O714" t="s">
        <v>23</v>
      </c>
      <c r="S714"/>
      <c r="T714"/>
    </row>
    <row r="715" spans="1:20" x14ac:dyDescent="0.25">
      <c r="A715" s="86" t="s">
        <v>1774</v>
      </c>
      <c r="B715" t="s">
        <v>156</v>
      </c>
      <c r="K715">
        <v>0</v>
      </c>
      <c r="N715" s="72" t="s">
        <v>43</v>
      </c>
      <c r="O715" t="s">
        <v>23</v>
      </c>
      <c r="P715">
        <v>30</v>
      </c>
      <c r="Q715" s="131">
        <v>31850</v>
      </c>
      <c r="S715"/>
      <c r="T715"/>
    </row>
    <row r="716" spans="1:20" x14ac:dyDescent="0.25">
      <c r="A716" s="86" t="s">
        <v>809</v>
      </c>
      <c r="B716" t="s">
        <v>158</v>
      </c>
      <c r="E716">
        <v>184</v>
      </c>
      <c r="F716">
        <v>98</v>
      </c>
      <c r="K716">
        <v>282</v>
      </c>
      <c r="N716" s="72" t="s">
        <v>155</v>
      </c>
      <c r="O716" t="s">
        <v>23</v>
      </c>
      <c r="P716">
        <v>50</v>
      </c>
      <c r="Q716" s="131">
        <v>24887</v>
      </c>
      <c r="S716"/>
      <c r="T716"/>
    </row>
    <row r="717" spans="1:20" x14ac:dyDescent="0.25">
      <c r="A717" s="86" t="s">
        <v>1489</v>
      </c>
      <c r="B717" t="s">
        <v>157</v>
      </c>
      <c r="K717">
        <v>0</v>
      </c>
      <c r="N717" s="72" t="s">
        <v>43</v>
      </c>
      <c r="O717" t="s">
        <v>23</v>
      </c>
      <c r="P717">
        <v>39</v>
      </c>
      <c r="Q717" s="131">
        <v>28139</v>
      </c>
      <c r="S717"/>
      <c r="T717"/>
    </row>
    <row r="718" spans="1:20" x14ac:dyDescent="0.25">
      <c r="A718" s="86" t="s">
        <v>2155</v>
      </c>
      <c r="B718" t="s">
        <v>67</v>
      </c>
      <c r="K718">
        <v>0</v>
      </c>
      <c r="N718" s="72" t="s">
        <v>2167</v>
      </c>
      <c r="O718" t="s">
        <v>24</v>
      </c>
      <c r="P718">
        <v>29</v>
      </c>
      <c r="S718"/>
      <c r="T718"/>
    </row>
    <row r="719" spans="1:20" x14ac:dyDescent="0.25">
      <c r="A719" s="86" t="s">
        <v>2102</v>
      </c>
      <c r="B719" t="s">
        <v>67</v>
      </c>
      <c r="K719">
        <v>0</v>
      </c>
      <c r="N719" s="72" t="s">
        <v>507</v>
      </c>
      <c r="O719" s="48" t="s">
        <v>24</v>
      </c>
      <c r="P719">
        <v>28</v>
      </c>
      <c r="Q719" s="131" t="s">
        <v>2103</v>
      </c>
      <c r="S719"/>
      <c r="T719"/>
    </row>
    <row r="720" spans="1:20" x14ac:dyDescent="0.25">
      <c r="A720" s="86" t="s">
        <v>1870</v>
      </c>
      <c r="B720" t="s">
        <v>67</v>
      </c>
      <c r="K720">
        <v>0</v>
      </c>
      <c r="N720" s="72" t="s">
        <v>12</v>
      </c>
      <c r="O720" t="s">
        <v>24</v>
      </c>
      <c r="P720">
        <v>35</v>
      </c>
      <c r="Q720" s="131">
        <v>29849</v>
      </c>
      <c r="S720"/>
      <c r="T720"/>
    </row>
    <row r="721" spans="1:20" x14ac:dyDescent="0.25">
      <c r="A721" s="86" t="s">
        <v>899</v>
      </c>
      <c r="B721" t="s">
        <v>156</v>
      </c>
      <c r="K721">
        <v>0</v>
      </c>
      <c r="N721" s="72" t="s">
        <v>12</v>
      </c>
      <c r="O721" t="s">
        <v>23</v>
      </c>
      <c r="P721">
        <v>28</v>
      </c>
      <c r="S721"/>
      <c r="T721"/>
    </row>
    <row r="722" spans="1:20" x14ac:dyDescent="0.25">
      <c r="A722" s="86" t="s">
        <v>1964</v>
      </c>
      <c r="B722" t="s">
        <v>67</v>
      </c>
      <c r="K722">
        <v>0</v>
      </c>
      <c r="N722" s="72" t="s">
        <v>657</v>
      </c>
      <c r="O722" t="s">
        <v>24</v>
      </c>
      <c r="S722"/>
      <c r="T722"/>
    </row>
    <row r="723" spans="1:20" x14ac:dyDescent="0.25">
      <c r="A723" s="86" t="s">
        <v>1118</v>
      </c>
      <c r="B723" t="s">
        <v>67</v>
      </c>
      <c r="K723">
        <v>0</v>
      </c>
      <c r="N723" s="72" t="s">
        <v>38</v>
      </c>
      <c r="O723" t="s">
        <v>24</v>
      </c>
      <c r="P723">
        <v>38</v>
      </c>
      <c r="Q723" s="131">
        <v>28912</v>
      </c>
      <c r="S723"/>
      <c r="T723"/>
    </row>
    <row r="724" spans="1:20" x14ac:dyDescent="0.25">
      <c r="A724" s="86" t="s">
        <v>1660</v>
      </c>
      <c r="B724" t="s">
        <v>67</v>
      </c>
      <c r="C724">
        <v>153</v>
      </c>
      <c r="E724">
        <v>160</v>
      </c>
      <c r="K724">
        <v>313</v>
      </c>
      <c r="N724" s="72" t="s">
        <v>43</v>
      </c>
      <c r="O724" t="s">
        <v>24</v>
      </c>
      <c r="P724">
        <v>29</v>
      </c>
      <c r="Q724" s="131">
        <v>32409</v>
      </c>
      <c r="S724"/>
      <c r="T724"/>
    </row>
    <row r="725" spans="1:20" x14ac:dyDescent="0.25">
      <c r="A725" s="86" t="s">
        <v>2317</v>
      </c>
      <c r="B725" t="s">
        <v>67</v>
      </c>
      <c r="E725">
        <v>15</v>
      </c>
      <c r="K725">
        <v>15</v>
      </c>
      <c r="N725" s="72" t="s">
        <v>14</v>
      </c>
      <c r="O725" t="s">
        <v>24</v>
      </c>
      <c r="P725">
        <v>29</v>
      </c>
      <c r="Q725" s="131">
        <v>32650</v>
      </c>
      <c r="S725"/>
      <c r="T725"/>
    </row>
    <row r="726" spans="1:20" x14ac:dyDescent="0.25">
      <c r="A726" s="86" t="s">
        <v>900</v>
      </c>
      <c r="B726" t="s">
        <v>67</v>
      </c>
      <c r="K726">
        <v>0</v>
      </c>
      <c r="N726" s="72" t="s">
        <v>12</v>
      </c>
      <c r="O726" t="s">
        <v>24</v>
      </c>
      <c r="P726">
        <v>23</v>
      </c>
      <c r="S726"/>
      <c r="T726"/>
    </row>
    <row r="727" spans="1:20" x14ac:dyDescent="0.25">
      <c r="A727" s="86" t="s">
        <v>2028</v>
      </c>
      <c r="B727" t="s">
        <v>67</v>
      </c>
      <c r="C727">
        <v>24</v>
      </c>
      <c r="E727">
        <v>33</v>
      </c>
      <c r="F727">
        <v>34</v>
      </c>
      <c r="K727">
        <v>91</v>
      </c>
      <c r="N727" s="72" t="s">
        <v>1805</v>
      </c>
      <c r="O727" t="s">
        <v>24</v>
      </c>
      <c r="P727">
        <v>29</v>
      </c>
      <c r="Q727" s="131">
        <v>32449</v>
      </c>
      <c r="S727"/>
      <c r="T727"/>
    </row>
    <row r="728" spans="1:20" x14ac:dyDescent="0.25">
      <c r="A728" s="86" t="s">
        <v>1944</v>
      </c>
      <c r="B728" t="s">
        <v>160</v>
      </c>
      <c r="K728">
        <v>0</v>
      </c>
      <c r="N728" s="72" t="s">
        <v>653</v>
      </c>
      <c r="O728" t="s">
        <v>24</v>
      </c>
      <c r="S728"/>
      <c r="T728"/>
    </row>
    <row r="729" spans="1:20" x14ac:dyDescent="0.25">
      <c r="A729" s="86" t="s">
        <v>418</v>
      </c>
      <c r="B729" t="s">
        <v>67</v>
      </c>
      <c r="K729">
        <v>0</v>
      </c>
      <c r="N729" s="72" t="s">
        <v>12</v>
      </c>
      <c r="O729" t="s">
        <v>852</v>
      </c>
      <c r="P729">
        <v>38</v>
      </c>
      <c r="Q729" s="131">
        <v>28998</v>
      </c>
      <c r="S729"/>
      <c r="T729"/>
    </row>
    <row r="730" spans="1:20" x14ac:dyDescent="0.25">
      <c r="A730" s="86" t="s">
        <v>2132</v>
      </c>
      <c r="B730" t="s">
        <v>67</v>
      </c>
      <c r="K730">
        <v>0</v>
      </c>
      <c r="N730" s="72" t="s">
        <v>505</v>
      </c>
      <c r="O730" t="s">
        <v>24</v>
      </c>
      <c r="P730">
        <v>28</v>
      </c>
      <c r="Q730" s="131">
        <v>32520</v>
      </c>
      <c r="S730"/>
      <c r="T730"/>
    </row>
    <row r="731" spans="1:20" x14ac:dyDescent="0.25">
      <c r="A731" s="86" t="s">
        <v>1948</v>
      </c>
      <c r="B731" t="s">
        <v>160</v>
      </c>
      <c r="K731">
        <v>0</v>
      </c>
      <c r="N731" s="72" t="s">
        <v>14</v>
      </c>
      <c r="O731" t="s">
        <v>24</v>
      </c>
      <c r="S731"/>
      <c r="T731"/>
    </row>
    <row r="732" spans="1:20" x14ac:dyDescent="0.25">
      <c r="A732" s="86" t="s">
        <v>1708</v>
      </c>
      <c r="B732" t="s">
        <v>161</v>
      </c>
      <c r="K732">
        <v>0</v>
      </c>
      <c r="N732" s="72" t="s">
        <v>1735</v>
      </c>
      <c r="O732" t="s">
        <v>24</v>
      </c>
      <c r="P732">
        <v>53</v>
      </c>
      <c r="Q732" s="131">
        <v>23079</v>
      </c>
      <c r="S732"/>
      <c r="T732"/>
    </row>
    <row r="733" spans="1:20" x14ac:dyDescent="0.25">
      <c r="A733" s="86" t="s">
        <v>2049</v>
      </c>
      <c r="B733" t="s">
        <v>67</v>
      </c>
      <c r="K733">
        <v>0</v>
      </c>
      <c r="N733" s="72" t="s">
        <v>51</v>
      </c>
      <c r="O733" t="s">
        <v>24</v>
      </c>
      <c r="P733">
        <v>19</v>
      </c>
      <c r="Q733" s="131" t="s">
        <v>2048</v>
      </c>
      <c r="S733"/>
      <c r="T733"/>
    </row>
    <row r="734" spans="1:20" x14ac:dyDescent="0.25">
      <c r="A734" s="86" t="s">
        <v>2319</v>
      </c>
      <c r="B734" s="48" t="s">
        <v>67</v>
      </c>
      <c r="E734">
        <v>22</v>
      </c>
      <c r="K734">
        <v>22</v>
      </c>
      <c r="N734" s="72" t="s">
        <v>154</v>
      </c>
      <c r="O734" t="s">
        <v>24</v>
      </c>
      <c r="P734">
        <v>34</v>
      </c>
      <c r="Q734" s="131">
        <v>30789</v>
      </c>
      <c r="S734"/>
      <c r="T734"/>
    </row>
    <row r="735" spans="1:20" x14ac:dyDescent="0.25">
      <c r="A735" s="86" t="s">
        <v>1081</v>
      </c>
      <c r="B735" t="s">
        <v>1817</v>
      </c>
      <c r="D735">
        <v>155</v>
      </c>
      <c r="K735">
        <v>155</v>
      </c>
      <c r="N735" s="72" t="s">
        <v>108</v>
      </c>
      <c r="O735" t="s">
        <v>24</v>
      </c>
      <c r="P735">
        <v>71</v>
      </c>
      <c r="Q735" s="131">
        <v>17321</v>
      </c>
      <c r="S735"/>
      <c r="T735"/>
    </row>
    <row r="736" spans="1:20" x14ac:dyDescent="0.25">
      <c r="A736" s="86" t="s">
        <v>1696</v>
      </c>
      <c r="B736" t="s">
        <v>67</v>
      </c>
      <c r="K736">
        <v>0</v>
      </c>
      <c r="N736" s="72" t="s">
        <v>154</v>
      </c>
      <c r="O736" t="s">
        <v>24</v>
      </c>
      <c r="P736">
        <v>33</v>
      </c>
      <c r="Q736" s="131">
        <v>30645</v>
      </c>
      <c r="S736"/>
      <c r="T736"/>
    </row>
    <row r="737" spans="1:20" x14ac:dyDescent="0.25">
      <c r="A737" s="86" t="s">
        <v>767</v>
      </c>
      <c r="B737" t="s">
        <v>67</v>
      </c>
      <c r="K737">
        <v>0</v>
      </c>
      <c r="N737" s="72" t="s">
        <v>43</v>
      </c>
      <c r="O737" t="s">
        <v>24</v>
      </c>
      <c r="P737">
        <v>39</v>
      </c>
      <c r="Q737" s="131">
        <v>28757</v>
      </c>
      <c r="S737"/>
      <c r="T737"/>
    </row>
    <row r="738" spans="1:20" x14ac:dyDescent="0.25">
      <c r="A738" s="86" t="s">
        <v>397</v>
      </c>
      <c r="B738" s="48" t="s">
        <v>67</v>
      </c>
      <c r="K738">
        <v>0</v>
      </c>
      <c r="N738" s="72" t="s">
        <v>63</v>
      </c>
      <c r="O738" t="s">
        <v>24</v>
      </c>
      <c r="P738">
        <v>30</v>
      </c>
      <c r="S738"/>
      <c r="T738"/>
    </row>
    <row r="739" spans="1:20" x14ac:dyDescent="0.25">
      <c r="A739" s="86" t="s">
        <v>925</v>
      </c>
      <c r="B739" t="s">
        <v>67</v>
      </c>
      <c r="K739">
        <v>0</v>
      </c>
      <c r="N739" s="72" t="s">
        <v>155</v>
      </c>
      <c r="O739" t="s">
        <v>24</v>
      </c>
      <c r="P739">
        <v>26</v>
      </c>
      <c r="S739"/>
      <c r="T739"/>
    </row>
    <row r="740" spans="1:20" x14ac:dyDescent="0.25">
      <c r="A740" s="86" t="s">
        <v>272</v>
      </c>
      <c r="B740" t="s">
        <v>67</v>
      </c>
      <c r="C740">
        <v>19</v>
      </c>
      <c r="D740">
        <v>21</v>
      </c>
      <c r="E740">
        <v>23</v>
      </c>
      <c r="F740">
        <v>19</v>
      </c>
      <c r="K740">
        <v>82</v>
      </c>
      <c r="N740" s="72" t="s">
        <v>12</v>
      </c>
      <c r="O740" t="s">
        <v>24</v>
      </c>
      <c r="P740">
        <v>34</v>
      </c>
      <c r="Q740" s="131">
        <v>30601</v>
      </c>
      <c r="S740"/>
      <c r="T740"/>
    </row>
    <row r="741" spans="1:20" x14ac:dyDescent="0.25">
      <c r="A741" s="86" t="s">
        <v>1670</v>
      </c>
      <c r="B741" t="s">
        <v>160</v>
      </c>
      <c r="E741">
        <v>180</v>
      </c>
      <c r="K741">
        <v>180</v>
      </c>
      <c r="N741" s="72" t="s">
        <v>505</v>
      </c>
      <c r="O741" t="s">
        <v>24</v>
      </c>
      <c r="P741">
        <v>44</v>
      </c>
      <c r="Q741" s="131">
        <v>27191</v>
      </c>
      <c r="S741"/>
      <c r="T741"/>
    </row>
    <row r="742" spans="1:20" x14ac:dyDescent="0.25">
      <c r="A742" s="86" t="s">
        <v>1683</v>
      </c>
      <c r="B742" t="s">
        <v>160</v>
      </c>
      <c r="K742">
        <v>0</v>
      </c>
      <c r="N742" s="72" t="s">
        <v>1726</v>
      </c>
      <c r="O742" t="s">
        <v>24</v>
      </c>
      <c r="P742">
        <v>44</v>
      </c>
      <c r="Q742" s="131">
        <v>26515</v>
      </c>
      <c r="S742"/>
      <c r="T742"/>
    </row>
    <row r="743" spans="1:20" x14ac:dyDescent="0.25">
      <c r="A743" s="86" t="s">
        <v>1903</v>
      </c>
      <c r="B743" t="s">
        <v>67</v>
      </c>
      <c r="C743">
        <v>8</v>
      </c>
      <c r="D743">
        <v>15</v>
      </c>
      <c r="F743">
        <v>9</v>
      </c>
      <c r="K743">
        <v>32</v>
      </c>
      <c r="N743" s="72" t="s">
        <v>154</v>
      </c>
      <c r="O743" t="s">
        <v>24</v>
      </c>
      <c r="P743">
        <v>38</v>
      </c>
      <c r="Q743" s="131">
        <v>29250</v>
      </c>
      <c r="S743"/>
      <c r="T743"/>
    </row>
    <row r="744" spans="1:20" x14ac:dyDescent="0.25">
      <c r="A744" s="86" t="s">
        <v>1156</v>
      </c>
      <c r="B744" t="s">
        <v>67</v>
      </c>
      <c r="K744">
        <v>0</v>
      </c>
      <c r="N744" s="72" t="s">
        <v>12</v>
      </c>
      <c r="O744" t="s">
        <v>24</v>
      </c>
      <c r="P744">
        <v>31</v>
      </c>
      <c r="S744"/>
      <c r="T744"/>
    </row>
    <row r="745" spans="1:20" x14ac:dyDescent="0.25">
      <c r="A745" s="86" t="s">
        <v>1698</v>
      </c>
      <c r="B745" t="s">
        <v>160</v>
      </c>
      <c r="K745">
        <v>0</v>
      </c>
      <c r="N745" s="72" t="s">
        <v>505</v>
      </c>
      <c r="O745" t="s">
        <v>24</v>
      </c>
      <c r="P745">
        <v>41</v>
      </c>
      <c r="Q745" s="131">
        <v>27664</v>
      </c>
      <c r="S745"/>
      <c r="T745"/>
    </row>
    <row r="746" spans="1:20" x14ac:dyDescent="0.25">
      <c r="A746" s="86" t="s">
        <v>309</v>
      </c>
      <c r="B746" t="s">
        <v>67</v>
      </c>
      <c r="K746">
        <v>0</v>
      </c>
      <c r="N746" s="72" t="s">
        <v>10</v>
      </c>
      <c r="O746" t="s">
        <v>24</v>
      </c>
      <c r="P746">
        <v>36</v>
      </c>
      <c r="S746"/>
      <c r="T746"/>
    </row>
    <row r="747" spans="1:20" x14ac:dyDescent="0.25">
      <c r="A747" s="86" t="s">
        <v>2270</v>
      </c>
      <c r="B747" t="s">
        <v>67</v>
      </c>
      <c r="D747">
        <v>158</v>
      </c>
      <c r="K747">
        <v>158</v>
      </c>
      <c r="N747" s="72" t="s">
        <v>155</v>
      </c>
      <c r="O747" t="s">
        <v>24</v>
      </c>
      <c r="P747">
        <v>29</v>
      </c>
      <c r="Q747" s="131">
        <v>32589</v>
      </c>
      <c r="S747"/>
      <c r="T747"/>
    </row>
    <row r="748" spans="1:20" x14ac:dyDescent="0.25">
      <c r="A748" s="86" t="s">
        <v>1824</v>
      </c>
      <c r="B748" t="s">
        <v>160</v>
      </c>
      <c r="K748">
        <v>0</v>
      </c>
      <c r="N748" s="72" t="s">
        <v>650</v>
      </c>
      <c r="O748" t="s">
        <v>24</v>
      </c>
      <c r="P748">
        <v>45</v>
      </c>
      <c r="Q748" s="131">
        <v>26130</v>
      </c>
      <c r="S748"/>
      <c r="T748"/>
    </row>
    <row r="749" spans="1:20" x14ac:dyDescent="0.25">
      <c r="A749" s="86" t="s">
        <v>825</v>
      </c>
      <c r="B749" t="s">
        <v>67</v>
      </c>
      <c r="K749">
        <v>0</v>
      </c>
      <c r="N749" s="72" t="s">
        <v>923</v>
      </c>
      <c r="O749" t="s">
        <v>24</v>
      </c>
      <c r="P749">
        <v>30</v>
      </c>
      <c r="S749"/>
      <c r="T749"/>
    </row>
    <row r="750" spans="1:20" x14ac:dyDescent="0.25">
      <c r="A750" s="86" t="s">
        <v>322</v>
      </c>
      <c r="B750" t="s">
        <v>160</v>
      </c>
      <c r="E750">
        <v>16</v>
      </c>
      <c r="K750">
        <v>16</v>
      </c>
      <c r="N750" s="72" t="s">
        <v>12</v>
      </c>
      <c r="O750" t="s">
        <v>24</v>
      </c>
      <c r="P750">
        <v>41</v>
      </c>
      <c r="Q750" s="131">
        <v>28017</v>
      </c>
      <c r="S750"/>
      <c r="T750"/>
    </row>
    <row r="751" spans="1:20" x14ac:dyDescent="0.25">
      <c r="A751" s="86" t="s">
        <v>1406</v>
      </c>
      <c r="B751" t="s">
        <v>67</v>
      </c>
      <c r="D751">
        <v>69</v>
      </c>
      <c r="E751">
        <v>88</v>
      </c>
      <c r="F751">
        <v>76</v>
      </c>
      <c r="K751">
        <v>233</v>
      </c>
      <c r="N751" s="72" t="s">
        <v>155</v>
      </c>
      <c r="O751" t="s">
        <v>24</v>
      </c>
      <c r="P751">
        <v>25</v>
      </c>
      <c r="Q751" s="131">
        <v>34126</v>
      </c>
      <c r="S751"/>
      <c r="T751"/>
    </row>
    <row r="752" spans="1:20" x14ac:dyDescent="0.25">
      <c r="A752" s="86" t="s">
        <v>1186</v>
      </c>
      <c r="B752" t="s">
        <v>67</v>
      </c>
      <c r="K752">
        <v>0</v>
      </c>
      <c r="N752" s="72" t="s">
        <v>10</v>
      </c>
      <c r="O752" t="s">
        <v>24</v>
      </c>
      <c r="P752">
        <v>15</v>
      </c>
      <c r="S752"/>
      <c r="T752"/>
    </row>
    <row r="753" spans="1:20" x14ac:dyDescent="0.25">
      <c r="A753" s="86" t="s">
        <v>1756</v>
      </c>
      <c r="B753" t="s">
        <v>160</v>
      </c>
      <c r="C753">
        <v>47</v>
      </c>
      <c r="D753">
        <v>157</v>
      </c>
      <c r="K753">
        <v>204</v>
      </c>
      <c r="N753" s="72" t="s">
        <v>155</v>
      </c>
      <c r="O753" t="s">
        <v>24</v>
      </c>
      <c r="P753">
        <v>47</v>
      </c>
      <c r="Q753" s="131">
        <v>26057</v>
      </c>
      <c r="S753"/>
      <c r="T753"/>
    </row>
    <row r="754" spans="1:20" x14ac:dyDescent="0.25">
      <c r="A754" s="86" t="s">
        <v>1495</v>
      </c>
      <c r="B754" t="s">
        <v>160</v>
      </c>
      <c r="E754">
        <v>98</v>
      </c>
      <c r="K754">
        <v>98</v>
      </c>
      <c r="N754" s="72" t="s">
        <v>12</v>
      </c>
      <c r="O754" t="s">
        <v>24</v>
      </c>
      <c r="P754">
        <v>42</v>
      </c>
      <c r="Q754" s="131">
        <v>27720</v>
      </c>
      <c r="S754"/>
      <c r="T754"/>
    </row>
    <row r="755" spans="1:20" x14ac:dyDescent="0.25">
      <c r="A755" s="86" t="s">
        <v>408</v>
      </c>
      <c r="B755" t="s">
        <v>67</v>
      </c>
      <c r="C755">
        <v>14</v>
      </c>
      <c r="D755">
        <v>19</v>
      </c>
      <c r="F755">
        <v>26</v>
      </c>
      <c r="K755">
        <v>59</v>
      </c>
      <c r="N755" s="72" t="s">
        <v>63</v>
      </c>
      <c r="O755" t="s">
        <v>24</v>
      </c>
      <c r="P755">
        <v>35</v>
      </c>
      <c r="Q755" s="131">
        <v>30421</v>
      </c>
      <c r="S755"/>
      <c r="T755"/>
    </row>
    <row r="756" spans="1:20" x14ac:dyDescent="0.25">
      <c r="A756" s="86" t="s">
        <v>1332</v>
      </c>
      <c r="B756" t="s">
        <v>158</v>
      </c>
      <c r="K756">
        <v>0</v>
      </c>
      <c r="N756" s="72" t="s">
        <v>12</v>
      </c>
      <c r="O756" t="s">
        <v>23</v>
      </c>
      <c r="P756">
        <v>54</v>
      </c>
      <c r="Q756" s="131">
        <v>22745</v>
      </c>
      <c r="S756"/>
      <c r="T756"/>
    </row>
    <row r="757" spans="1:20" x14ac:dyDescent="0.25">
      <c r="A757" s="86" t="s">
        <v>640</v>
      </c>
      <c r="B757" t="s">
        <v>158</v>
      </c>
      <c r="K757">
        <v>0</v>
      </c>
      <c r="N757" s="72" t="s">
        <v>38</v>
      </c>
      <c r="O757" t="s">
        <v>23</v>
      </c>
      <c r="P757">
        <v>54</v>
      </c>
      <c r="Q757" s="131">
        <v>22951</v>
      </c>
      <c r="S757"/>
      <c r="T757"/>
    </row>
    <row r="758" spans="1:20" x14ac:dyDescent="0.25">
      <c r="A758" s="86" t="s">
        <v>1587</v>
      </c>
      <c r="B758" t="s">
        <v>157</v>
      </c>
      <c r="K758">
        <v>0</v>
      </c>
      <c r="N758" s="72" t="s">
        <v>657</v>
      </c>
      <c r="O758" t="s">
        <v>23</v>
      </c>
      <c r="S758"/>
      <c r="T758"/>
    </row>
    <row r="759" spans="1:20" x14ac:dyDescent="0.25">
      <c r="A759" s="86" t="s">
        <v>861</v>
      </c>
      <c r="B759" t="s">
        <v>158</v>
      </c>
      <c r="K759">
        <v>0</v>
      </c>
      <c r="N759" s="72" t="s">
        <v>155</v>
      </c>
      <c r="O759" t="s">
        <v>23</v>
      </c>
      <c r="P759">
        <v>46</v>
      </c>
      <c r="S759"/>
      <c r="T759"/>
    </row>
    <row r="760" spans="1:20" x14ac:dyDescent="0.25">
      <c r="A760" s="86" t="s">
        <v>732</v>
      </c>
      <c r="B760" t="s">
        <v>158</v>
      </c>
      <c r="K760">
        <v>0</v>
      </c>
      <c r="N760" s="72" t="s">
        <v>1609</v>
      </c>
      <c r="O760" t="s">
        <v>23</v>
      </c>
      <c r="P760">
        <v>35</v>
      </c>
      <c r="S760"/>
      <c r="T760"/>
    </row>
    <row r="761" spans="1:20" x14ac:dyDescent="0.25">
      <c r="A761" s="86" t="s">
        <v>1507</v>
      </c>
      <c r="B761" s="48" t="s">
        <v>158</v>
      </c>
      <c r="K761">
        <v>0</v>
      </c>
      <c r="N761" s="72" t="s">
        <v>12</v>
      </c>
      <c r="O761" s="48" t="s">
        <v>23</v>
      </c>
      <c r="P761">
        <v>45</v>
      </c>
      <c r="Q761" s="131">
        <v>26104</v>
      </c>
      <c r="S761"/>
      <c r="T761"/>
    </row>
    <row r="762" spans="1:20" x14ac:dyDescent="0.25">
      <c r="A762" s="86" t="s">
        <v>2353</v>
      </c>
      <c r="B762" t="s">
        <v>158</v>
      </c>
      <c r="E762">
        <v>48</v>
      </c>
      <c r="F762">
        <v>32</v>
      </c>
      <c r="K762">
        <v>80</v>
      </c>
      <c r="N762" s="72" t="s">
        <v>154</v>
      </c>
      <c r="O762" t="s">
        <v>23</v>
      </c>
      <c r="P762">
        <v>47</v>
      </c>
      <c r="Q762" s="131">
        <v>26004</v>
      </c>
      <c r="S762"/>
      <c r="T762"/>
    </row>
    <row r="763" spans="1:20" x14ac:dyDescent="0.25">
      <c r="A763" s="86" t="s">
        <v>1042</v>
      </c>
      <c r="B763" t="s">
        <v>157</v>
      </c>
      <c r="K763">
        <v>0</v>
      </c>
      <c r="N763" s="72" t="s">
        <v>154</v>
      </c>
      <c r="O763" t="s">
        <v>23</v>
      </c>
      <c r="P763">
        <v>44</v>
      </c>
      <c r="S763"/>
      <c r="T763"/>
    </row>
    <row r="764" spans="1:20" x14ac:dyDescent="0.25">
      <c r="A764" s="86" t="s">
        <v>2330</v>
      </c>
      <c r="B764" t="s">
        <v>156</v>
      </c>
      <c r="E764">
        <v>9</v>
      </c>
      <c r="K764">
        <v>9</v>
      </c>
      <c r="N764" s="72" t="s">
        <v>154</v>
      </c>
      <c r="O764" t="s">
        <v>23</v>
      </c>
      <c r="P764">
        <v>31</v>
      </c>
      <c r="Q764" s="131">
        <v>31878</v>
      </c>
      <c r="S764"/>
      <c r="T764"/>
    </row>
    <row r="765" spans="1:20" x14ac:dyDescent="0.25">
      <c r="A765" s="86" t="s">
        <v>475</v>
      </c>
      <c r="B765" t="s">
        <v>158</v>
      </c>
      <c r="C765">
        <v>77</v>
      </c>
      <c r="D765">
        <v>74</v>
      </c>
      <c r="K765">
        <v>151</v>
      </c>
      <c r="N765" s="72" t="s">
        <v>154</v>
      </c>
      <c r="O765" t="s">
        <v>23</v>
      </c>
      <c r="P765">
        <v>53</v>
      </c>
      <c r="Q765" s="131">
        <v>23788</v>
      </c>
      <c r="S765"/>
      <c r="T765"/>
    </row>
    <row r="766" spans="1:20" x14ac:dyDescent="0.25">
      <c r="A766" s="86" t="s">
        <v>757</v>
      </c>
      <c r="B766" t="s">
        <v>158</v>
      </c>
      <c r="E766">
        <v>161</v>
      </c>
      <c r="K766">
        <v>161</v>
      </c>
      <c r="N766" s="72" t="s">
        <v>155</v>
      </c>
      <c r="O766" t="s">
        <v>23</v>
      </c>
      <c r="P766">
        <v>48</v>
      </c>
      <c r="Q766" s="131">
        <v>25393</v>
      </c>
      <c r="S766"/>
      <c r="T766"/>
    </row>
    <row r="767" spans="1:20" x14ac:dyDescent="0.25">
      <c r="A767" s="86" t="s">
        <v>1116</v>
      </c>
      <c r="B767" t="s">
        <v>158</v>
      </c>
      <c r="K767">
        <v>0</v>
      </c>
      <c r="N767" s="72" t="s">
        <v>54</v>
      </c>
      <c r="O767" t="s">
        <v>23</v>
      </c>
      <c r="P767">
        <v>50</v>
      </c>
      <c r="S767"/>
      <c r="T767"/>
    </row>
    <row r="768" spans="1:20" x14ac:dyDescent="0.25">
      <c r="A768" s="86" t="s">
        <v>934</v>
      </c>
      <c r="B768" t="s">
        <v>159</v>
      </c>
      <c r="K768">
        <v>0</v>
      </c>
      <c r="N768" s="72" t="s">
        <v>14</v>
      </c>
      <c r="O768" t="s">
        <v>23</v>
      </c>
      <c r="P768">
        <v>59</v>
      </c>
      <c r="S768"/>
      <c r="T768"/>
    </row>
    <row r="769" spans="1:20" x14ac:dyDescent="0.25">
      <c r="A769" s="86" t="s">
        <v>1359</v>
      </c>
      <c r="B769" t="s">
        <v>158</v>
      </c>
      <c r="C769">
        <v>26</v>
      </c>
      <c r="F769">
        <v>27</v>
      </c>
      <c r="K769">
        <v>53</v>
      </c>
      <c r="N769" s="72" t="s">
        <v>12</v>
      </c>
      <c r="O769" t="s">
        <v>23</v>
      </c>
      <c r="P769">
        <v>53</v>
      </c>
      <c r="Q769" s="131">
        <v>23728</v>
      </c>
      <c r="S769"/>
      <c r="T769"/>
    </row>
    <row r="770" spans="1:20" x14ac:dyDescent="0.25">
      <c r="A770" s="86" t="s">
        <v>493</v>
      </c>
      <c r="B770" t="s">
        <v>159</v>
      </c>
      <c r="K770">
        <v>0</v>
      </c>
      <c r="N770" s="72" t="s">
        <v>63</v>
      </c>
      <c r="O770" t="s">
        <v>23</v>
      </c>
      <c r="P770">
        <v>57</v>
      </c>
      <c r="S770"/>
      <c r="T770"/>
    </row>
    <row r="771" spans="1:20" x14ac:dyDescent="0.25">
      <c r="A771" s="86" t="s">
        <v>2371</v>
      </c>
      <c r="B771" t="s">
        <v>158</v>
      </c>
      <c r="E771">
        <v>103</v>
      </c>
      <c r="K771">
        <v>103</v>
      </c>
      <c r="N771" s="72" t="s">
        <v>14</v>
      </c>
      <c r="O771" t="s">
        <v>23</v>
      </c>
      <c r="P771">
        <v>52</v>
      </c>
      <c r="Q771" s="131">
        <v>23993</v>
      </c>
      <c r="S771"/>
      <c r="T771"/>
    </row>
    <row r="772" spans="1:20" x14ac:dyDescent="0.25">
      <c r="A772" s="86" t="s">
        <v>2399</v>
      </c>
      <c r="B772" t="s">
        <v>1818</v>
      </c>
      <c r="E772">
        <v>178</v>
      </c>
      <c r="F772">
        <v>94</v>
      </c>
      <c r="K772">
        <v>272</v>
      </c>
      <c r="N772" s="72" t="s">
        <v>38</v>
      </c>
      <c r="O772" t="s">
        <v>23</v>
      </c>
      <c r="P772">
        <v>71</v>
      </c>
      <c r="Q772" s="131">
        <v>17012</v>
      </c>
      <c r="S772"/>
      <c r="T772"/>
    </row>
    <row r="773" spans="1:20" x14ac:dyDescent="0.25">
      <c r="A773" s="86" t="s">
        <v>2288</v>
      </c>
      <c r="B773" t="s">
        <v>158</v>
      </c>
      <c r="D773">
        <v>62</v>
      </c>
      <c r="E773">
        <v>93</v>
      </c>
      <c r="K773">
        <v>155</v>
      </c>
      <c r="N773" s="72" t="s">
        <v>63</v>
      </c>
      <c r="O773" t="s">
        <v>23</v>
      </c>
      <c r="P773">
        <v>50</v>
      </c>
      <c r="Q773" s="131">
        <v>24849</v>
      </c>
      <c r="S773"/>
      <c r="T773"/>
    </row>
    <row r="774" spans="1:20" x14ac:dyDescent="0.25">
      <c r="A774" s="86" t="s">
        <v>1064</v>
      </c>
      <c r="B774" t="s">
        <v>157</v>
      </c>
      <c r="K774">
        <v>0</v>
      </c>
      <c r="N774" s="72" t="s">
        <v>12</v>
      </c>
      <c r="O774" t="s">
        <v>23</v>
      </c>
      <c r="P774">
        <v>36</v>
      </c>
      <c r="S774"/>
      <c r="T774"/>
    </row>
    <row r="775" spans="1:20" x14ac:dyDescent="0.25">
      <c r="A775" s="86" t="s">
        <v>1145</v>
      </c>
      <c r="B775" t="s">
        <v>158</v>
      </c>
      <c r="K775">
        <v>0</v>
      </c>
      <c r="N775" s="72" t="s">
        <v>38</v>
      </c>
      <c r="O775" t="s">
        <v>23</v>
      </c>
      <c r="P775">
        <v>45</v>
      </c>
      <c r="S775"/>
      <c r="T775"/>
    </row>
    <row r="776" spans="1:20" x14ac:dyDescent="0.25">
      <c r="A776" s="86" t="s">
        <v>1582</v>
      </c>
      <c r="B776" t="s">
        <v>158</v>
      </c>
      <c r="K776">
        <v>0</v>
      </c>
      <c r="N776" s="72" t="s">
        <v>932</v>
      </c>
      <c r="O776" t="s">
        <v>23</v>
      </c>
      <c r="S776"/>
      <c r="T776"/>
    </row>
    <row r="777" spans="1:20" x14ac:dyDescent="0.25">
      <c r="A777" s="86" t="s">
        <v>1778</v>
      </c>
      <c r="B777" t="s">
        <v>157</v>
      </c>
      <c r="C777">
        <v>19</v>
      </c>
      <c r="D777">
        <v>21</v>
      </c>
      <c r="E777">
        <v>33</v>
      </c>
      <c r="F777">
        <v>23</v>
      </c>
      <c r="K777">
        <v>96</v>
      </c>
      <c r="N777" s="72" t="s">
        <v>154</v>
      </c>
      <c r="O777" t="s">
        <v>23</v>
      </c>
      <c r="P777">
        <v>43</v>
      </c>
      <c r="Q777" s="131">
        <v>27551</v>
      </c>
      <c r="S777"/>
      <c r="T777"/>
    </row>
    <row r="778" spans="1:20" x14ac:dyDescent="0.25">
      <c r="A778" s="86" t="s">
        <v>561</v>
      </c>
      <c r="B778" t="s">
        <v>156</v>
      </c>
      <c r="K778">
        <v>0</v>
      </c>
      <c r="N778" s="72" t="s">
        <v>154</v>
      </c>
      <c r="O778" s="48" t="s">
        <v>851</v>
      </c>
      <c r="P778">
        <v>16</v>
      </c>
      <c r="S778"/>
      <c r="T778"/>
    </row>
    <row r="779" spans="1:20" x14ac:dyDescent="0.25">
      <c r="A779" s="86" t="s">
        <v>369</v>
      </c>
      <c r="B779" t="s">
        <v>67</v>
      </c>
      <c r="K779">
        <v>0</v>
      </c>
      <c r="N779" s="72" t="s">
        <v>503</v>
      </c>
      <c r="O779" t="s">
        <v>24</v>
      </c>
      <c r="P779">
        <v>34</v>
      </c>
      <c r="S779"/>
      <c r="T779"/>
    </row>
    <row r="780" spans="1:20" x14ac:dyDescent="0.25">
      <c r="A780" s="86" t="s">
        <v>182</v>
      </c>
      <c r="B780" t="s">
        <v>160</v>
      </c>
      <c r="C780">
        <v>129</v>
      </c>
      <c r="E780">
        <v>152</v>
      </c>
      <c r="F780">
        <v>151</v>
      </c>
      <c r="K780">
        <v>432</v>
      </c>
      <c r="N780" s="72" t="s">
        <v>12</v>
      </c>
      <c r="O780" t="s">
        <v>24</v>
      </c>
      <c r="P780">
        <v>47</v>
      </c>
      <c r="Q780" s="131">
        <v>26023</v>
      </c>
      <c r="S780"/>
      <c r="T780"/>
    </row>
    <row r="781" spans="1:20" x14ac:dyDescent="0.25">
      <c r="A781" s="86" t="s">
        <v>2089</v>
      </c>
      <c r="B781" t="s">
        <v>67</v>
      </c>
      <c r="K781">
        <v>0</v>
      </c>
      <c r="N781" s="72" t="s">
        <v>505</v>
      </c>
      <c r="O781" t="s">
        <v>24</v>
      </c>
      <c r="P781">
        <v>37</v>
      </c>
      <c r="Q781" s="131" t="s">
        <v>2090</v>
      </c>
      <c r="S781"/>
      <c r="T781"/>
    </row>
    <row r="782" spans="1:20" x14ac:dyDescent="0.25">
      <c r="A782" s="86" t="s">
        <v>702</v>
      </c>
      <c r="B782" t="s">
        <v>67</v>
      </c>
      <c r="K782">
        <v>0</v>
      </c>
      <c r="N782" s="72" t="s">
        <v>657</v>
      </c>
      <c r="O782" t="s">
        <v>24</v>
      </c>
      <c r="P782">
        <v>30</v>
      </c>
      <c r="S782"/>
      <c r="T782"/>
    </row>
    <row r="783" spans="1:20" x14ac:dyDescent="0.25">
      <c r="A783" s="86" t="s">
        <v>1820</v>
      </c>
      <c r="B783" t="s">
        <v>160</v>
      </c>
      <c r="K783">
        <v>0</v>
      </c>
      <c r="N783" s="72" t="s">
        <v>1852</v>
      </c>
      <c r="O783" t="s">
        <v>24</v>
      </c>
      <c r="P783">
        <v>49</v>
      </c>
      <c r="Q783" s="131">
        <v>24666</v>
      </c>
      <c r="S783"/>
      <c r="T783"/>
    </row>
    <row r="784" spans="1:20" x14ac:dyDescent="0.25">
      <c r="A784" s="86" t="s">
        <v>1570</v>
      </c>
      <c r="B784" t="s">
        <v>67</v>
      </c>
      <c r="K784">
        <v>0</v>
      </c>
      <c r="N784" s="72" t="s">
        <v>12</v>
      </c>
      <c r="O784" t="s">
        <v>24</v>
      </c>
      <c r="P784">
        <v>24</v>
      </c>
      <c r="Q784" s="131">
        <v>33945</v>
      </c>
      <c r="S784"/>
      <c r="T784"/>
    </row>
    <row r="785" spans="1:20" x14ac:dyDescent="0.25">
      <c r="A785" s="86" t="s">
        <v>562</v>
      </c>
      <c r="B785" t="s">
        <v>160</v>
      </c>
      <c r="K785">
        <v>0</v>
      </c>
      <c r="N785" s="72" t="s">
        <v>154</v>
      </c>
      <c r="O785" s="48" t="s">
        <v>852</v>
      </c>
      <c r="P785">
        <v>46</v>
      </c>
      <c r="S785"/>
      <c r="T785"/>
    </row>
    <row r="786" spans="1:20" x14ac:dyDescent="0.25">
      <c r="A786" s="86" t="s">
        <v>385</v>
      </c>
      <c r="B786" t="s">
        <v>158</v>
      </c>
      <c r="C786">
        <v>69</v>
      </c>
      <c r="D786">
        <v>57</v>
      </c>
      <c r="E786">
        <v>107</v>
      </c>
      <c r="F786">
        <v>68</v>
      </c>
      <c r="K786">
        <v>301</v>
      </c>
      <c r="N786" s="72" t="s">
        <v>2253</v>
      </c>
      <c r="O786" t="s">
        <v>23</v>
      </c>
      <c r="P786">
        <v>54</v>
      </c>
      <c r="Q786" s="131">
        <v>23285</v>
      </c>
      <c r="S786"/>
    </row>
    <row r="787" spans="1:20" x14ac:dyDescent="0.25">
      <c r="A787" s="86" t="s">
        <v>862</v>
      </c>
      <c r="B787" t="s">
        <v>157</v>
      </c>
      <c r="K787">
        <v>0</v>
      </c>
      <c r="N787" s="72" t="s">
        <v>155</v>
      </c>
      <c r="O787" t="s">
        <v>23</v>
      </c>
      <c r="P787">
        <v>41</v>
      </c>
      <c r="Q787" s="131">
        <v>27857</v>
      </c>
      <c r="S787"/>
    </row>
    <row r="788" spans="1:20" x14ac:dyDescent="0.25">
      <c r="A788" s="86" t="s">
        <v>1678</v>
      </c>
      <c r="B788" t="s">
        <v>156</v>
      </c>
      <c r="K788">
        <v>0</v>
      </c>
      <c r="N788" s="72" t="s">
        <v>51</v>
      </c>
      <c r="O788" t="s">
        <v>23</v>
      </c>
      <c r="P788">
        <v>32</v>
      </c>
      <c r="Q788" s="131">
        <v>30854</v>
      </c>
      <c r="S788"/>
    </row>
    <row r="789" spans="1:20" x14ac:dyDescent="0.25">
      <c r="A789" s="86" t="s">
        <v>576</v>
      </c>
      <c r="B789" t="s">
        <v>156</v>
      </c>
      <c r="K789">
        <v>0</v>
      </c>
      <c r="N789" s="72" t="s">
        <v>14</v>
      </c>
      <c r="O789" s="48" t="s">
        <v>851</v>
      </c>
      <c r="P789">
        <v>16</v>
      </c>
      <c r="S789"/>
      <c r="T789" s="85"/>
    </row>
    <row r="790" spans="1:20" x14ac:dyDescent="0.25">
      <c r="A790" s="86" t="s">
        <v>1091</v>
      </c>
      <c r="B790" t="s">
        <v>160</v>
      </c>
      <c r="K790">
        <v>0</v>
      </c>
      <c r="N790" s="72" t="s">
        <v>38</v>
      </c>
      <c r="O790" t="s">
        <v>24</v>
      </c>
      <c r="P790">
        <v>40</v>
      </c>
      <c r="S790"/>
    </row>
    <row r="791" spans="1:20" x14ac:dyDescent="0.25">
      <c r="A791" s="86" t="s">
        <v>1085</v>
      </c>
      <c r="B791" t="s">
        <v>162</v>
      </c>
      <c r="K791">
        <v>0</v>
      </c>
      <c r="N791" s="72" t="s">
        <v>38</v>
      </c>
      <c r="O791" t="s">
        <v>24</v>
      </c>
      <c r="P791">
        <v>62</v>
      </c>
      <c r="Q791" s="131">
        <v>20007</v>
      </c>
      <c r="S791"/>
    </row>
    <row r="792" spans="1:20" x14ac:dyDescent="0.25">
      <c r="A792" s="86" t="s">
        <v>780</v>
      </c>
      <c r="B792" t="s">
        <v>67</v>
      </c>
      <c r="K792">
        <v>0</v>
      </c>
      <c r="N792" s="72" t="s">
        <v>155</v>
      </c>
      <c r="O792" t="s">
        <v>24</v>
      </c>
      <c r="P792">
        <v>26</v>
      </c>
      <c r="Q792" s="131">
        <v>33331</v>
      </c>
      <c r="S792"/>
    </row>
    <row r="793" spans="1:20" x14ac:dyDescent="0.25">
      <c r="A793" s="86" t="s">
        <v>471</v>
      </c>
      <c r="B793" t="s">
        <v>161</v>
      </c>
      <c r="K793">
        <v>0</v>
      </c>
      <c r="N793" s="72" t="s">
        <v>506</v>
      </c>
      <c r="O793" t="s">
        <v>24</v>
      </c>
      <c r="P793">
        <v>54</v>
      </c>
      <c r="S793"/>
    </row>
    <row r="794" spans="1:20" x14ac:dyDescent="0.25">
      <c r="A794" s="86" t="s">
        <v>1657</v>
      </c>
      <c r="B794" t="s">
        <v>161</v>
      </c>
      <c r="K794">
        <v>0</v>
      </c>
      <c r="N794" s="72" t="s">
        <v>657</v>
      </c>
      <c r="O794" t="s">
        <v>24</v>
      </c>
      <c r="P794">
        <v>56</v>
      </c>
      <c r="S794"/>
    </row>
    <row r="795" spans="1:20" x14ac:dyDescent="0.25">
      <c r="A795" s="86" t="s">
        <v>1632</v>
      </c>
      <c r="B795" t="s">
        <v>156</v>
      </c>
      <c r="K795">
        <v>0</v>
      </c>
      <c r="N795" s="72" t="s">
        <v>43</v>
      </c>
      <c r="O795" t="s">
        <v>23</v>
      </c>
      <c r="P795">
        <v>31</v>
      </c>
      <c r="Q795" s="131" t="s">
        <v>2109</v>
      </c>
      <c r="S795"/>
    </row>
    <row r="796" spans="1:20" x14ac:dyDescent="0.25">
      <c r="A796" s="86" t="s">
        <v>1397</v>
      </c>
      <c r="B796" t="s">
        <v>156</v>
      </c>
      <c r="K796">
        <v>0</v>
      </c>
      <c r="N796" s="72" t="s">
        <v>1233</v>
      </c>
      <c r="O796" t="s">
        <v>23</v>
      </c>
      <c r="P796">
        <v>19</v>
      </c>
      <c r="Q796" s="131">
        <v>35401</v>
      </c>
      <c r="S796"/>
    </row>
    <row r="797" spans="1:20" x14ac:dyDescent="0.25">
      <c r="A797" s="86" t="s">
        <v>188</v>
      </c>
      <c r="B797" t="s">
        <v>156</v>
      </c>
      <c r="C797">
        <v>42</v>
      </c>
      <c r="D797">
        <v>32</v>
      </c>
      <c r="E797">
        <v>51</v>
      </c>
      <c r="F797">
        <v>20</v>
      </c>
      <c r="K797">
        <v>145</v>
      </c>
      <c r="N797" s="72" t="s">
        <v>108</v>
      </c>
      <c r="O797" t="s">
        <v>23</v>
      </c>
      <c r="P797">
        <v>29</v>
      </c>
      <c r="Q797" s="131">
        <v>32599</v>
      </c>
      <c r="S797"/>
    </row>
    <row r="798" spans="1:20" x14ac:dyDescent="0.25">
      <c r="A798" s="86" t="s">
        <v>2355</v>
      </c>
      <c r="B798" t="s">
        <v>158</v>
      </c>
      <c r="E798">
        <v>56</v>
      </c>
      <c r="K798">
        <v>56</v>
      </c>
      <c r="N798" s="72" t="s">
        <v>14</v>
      </c>
      <c r="O798" t="s">
        <v>23</v>
      </c>
      <c r="P798">
        <v>48</v>
      </c>
      <c r="Q798" s="131">
        <v>25390</v>
      </c>
      <c r="S798"/>
    </row>
    <row r="799" spans="1:20" x14ac:dyDescent="0.25">
      <c r="A799" s="86" t="s">
        <v>377</v>
      </c>
      <c r="B799" t="s">
        <v>157</v>
      </c>
      <c r="D799">
        <v>42</v>
      </c>
      <c r="F799">
        <v>60</v>
      </c>
      <c r="K799">
        <v>102</v>
      </c>
      <c r="N799" s="72" t="s">
        <v>155</v>
      </c>
      <c r="O799" t="s">
        <v>23</v>
      </c>
      <c r="P799">
        <v>38</v>
      </c>
      <c r="Q799" s="131">
        <v>29401</v>
      </c>
      <c r="S799"/>
    </row>
    <row r="800" spans="1:20" x14ac:dyDescent="0.25">
      <c r="A800" s="86" t="s">
        <v>901</v>
      </c>
      <c r="B800" t="s">
        <v>156</v>
      </c>
      <c r="D800">
        <v>1</v>
      </c>
      <c r="E800">
        <v>1</v>
      </c>
      <c r="F800">
        <v>1</v>
      </c>
      <c r="K800">
        <v>3</v>
      </c>
      <c r="N800" s="72" t="s">
        <v>12</v>
      </c>
      <c r="O800" t="s">
        <v>23</v>
      </c>
      <c r="P800">
        <v>27</v>
      </c>
      <c r="Q800" s="131">
        <v>33311</v>
      </c>
      <c r="S800"/>
    </row>
    <row r="801" spans="1:20" x14ac:dyDescent="0.25">
      <c r="A801" s="86" t="s">
        <v>1199</v>
      </c>
      <c r="B801" t="s">
        <v>157</v>
      </c>
      <c r="K801">
        <v>0</v>
      </c>
      <c r="N801" s="72" t="s">
        <v>43</v>
      </c>
      <c r="O801" t="s">
        <v>23</v>
      </c>
      <c r="P801">
        <v>38</v>
      </c>
      <c r="Q801" s="131">
        <v>29024</v>
      </c>
      <c r="S801"/>
      <c r="T801"/>
    </row>
    <row r="802" spans="1:20" x14ac:dyDescent="0.25">
      <c r="A802" s="86" t="s">
        <v>1339</v>
      </c>
      <c r="B802" t="s">
        <v>156</v>
      </c>
      <c r="K802">
        <v>0</v>
      </c>
      <c r="N802" s="72" t="s">
        <v>12</v>
      </c>
      <c r="O802" t="s">
        <v>23</v>
      </c>
      <c r="P802">
        <v>32</v>
      </c>
      <c r="Q802" s="131">
        <v>30541</v>
      </c>
      <c r="S802"/>
      <c r="T802"/>
    </row>
    <row r="803" spans="1:20" x14ac:dyDescent="0.25">
      <c r="A803" s="86" t="s">
        <v>2357</v>
      </c>
      <c r="B803" t="s">
        <v>157</v>
      </c>
      <c r="E803">
        <v>62</v>
      </c>
      <c r="K803">
        <v>62</v>
      </c>
      <c r="N803" s="72" t="s">
        <v>154</v>
      </c>
      <c r="O803" t="s">
        <v>23</v>
      </c>
      <c r="P803">
        <v>35</v>
      </c>
      <c r="Q803" s="131">
        <v>30144</v>
      </c>
      <c r="S803"/>
      <c r="T803"/>
    </row>
    <row r="804" spans="1:20" x14ac:dyDescent="0.25">
      <c r="A804" s="86" t="s">
        <v>1883</v>
      </c>
      <c r="B804" t="s">
        <v>157</v>
      </c>
      <c r="C804">
        <v>6</v>
      </c>
      <c r="D804">
        <v>5</v>
      </c>
      <c r="E804">
        <v>5</v>
      </c>
      <c r="K804">
        <v>16</v>
      </c>
      <c r="N804" s="72" t="s">
        <v>154</v>
      </c>
      <c r="O804" t="s">
        <v>23</v>
      </c>
      <c r="P804">
        <v>39</v>
      </c>
      <c r="Q804" s="131">
        <v>28926</v>
      </c>
      <c r="S804"/>
      <c r="T804"/>
    </row>
    <row r="805" spans="1:20" x14ac:dyDescent="0.25">
      <c r="A805" s="86" t="s">
        <v>1846</v>
      </c>
      <c r="B805" t="s">
        <v>157</v>
      </c>
      <c r="K805">
        <v>0</v>
      </c>
      <c r="N805" s="72" t="s">
        <v>650</v>
      </c>
      <c r="O805" t="s">
        <v>23</v>
      </c>
      <c r="P805">
        <v>39</v>
      </c>
      <c r="Q805" s="131">
        <v>28380</v>
      </c>
      <c r="S805"/>
      <c r="T805"/>
    </row>
    <row r="806" spans="1:20" x14ac:dyDescent="0.25">
      <c r="A806" s="86" t="s">
        <v>677</v>
      </c>
      <c r="B806" t="s">
        <v>157</v>
      </c>
      <c r="K806">
        <v>0</v>
      </c>
      <c r="N806" s="72" t="s">
        <v>662</v>
      </c>
      <c r="O806" t="s">
        <v>23</v>
      </c>
      <c r="P806">
        <v>35</v>
      </c>
      <c r="S806"/>
      <c r="T806"/>
    </row>
    <row r="807" spans="1:20" x14ac:dyDescent="0.25">
      <c r="A807" s="86" t="s">
        <v>2274</v>
      </c>
      <c r="B807" t="s">
        <v>157</v>
      </c>
      <c r="D807">
        <v>47</v>
      </c>
      <c r="E807">
        <v>72</v>
      </c>
      <c r="F807">
        <v>51</v>
      </c>
      <c r="K807">
        <v>170</v>
      </c>
      <c r="N807" s="72" t="s">
        <v>155</v>
      </c>
      <c r="O807" t="s">
        <v>23</v>
      </c>
      <c r="P807">
        <v>38</v>
      </c>
      <c r="Q807" s="131">
        <v>29410</v>
      </c>
      <c r="S807"/>
      <c r="T807"/>
    </row>
    <row r="808" spans="1:20" x14ac:dyDescent="0.25">
      <c r="A808" s="86" t="s">
        <v>827</v>
      </c>
      <c r="B808" t="s">
        <v>161</v>
      </c>
      <c r="K808">
        <v>0</v>
      </c>
      <c r="N808" s="72" t="s">
        <v>505</v>
      </c>
      <c r="O808" t="s">
        <v>24</v>
      </c>
      <c r="P808">
        <v>51</v>
      </c>
      <c r="Q808" s="131" t="s">
        <v>1254</v>
      </c>
      <c r="S808"/>
      <c r="T808"/>
    </row>
    <row r="809" spans="1:20" x14ac:dyDescent="0.25">
      <c r="A809" s="86" t="s">
        <v>416</v>
      </c>
      <c r="B809" t="s">
        <v>161</v>
      </c>
      <c r="K809">
        <v>0</v>
      </c>
      <c r="N809" s="72" t="s">
        <v>10</v>
      </c>
      <c r="O809" t="s">
        <v>24</v>
      </c>
      <c r="P809">
        <v>50</v>
      </c>
      <c r="S809"/>
      <c r="T809"/>
    </row>
    <row r="810" spans="1:20" x14ac:dyDescent="0.25">
      <c r="A810" s="86" t="s">
        <v>2457</v>
      </c>
      <c r="B810" t="s">
        <v>67</v>
      </c>
      <c r="F810">
        <v>92</v>
      </c>
      <c r="K810">
        <v>92</v>
      </c>
      <c r="N810" s="72" t="s">
        <v>505</v>
      </c>
      <c r="O810" t="s">
        <v>24</v>
      </c>
      <c r="P810">
        <v>33</v>
      </c>
      <c r="Q810" s="131">
        <v>30987</v>
      </c>
      <c r="S810"/>
      <c r="T810"/>
    </row>
    <row r="811" spans="1:20" x14ac:dyDescent="0.25">
      <c r="A811" s="86" t="s">
        <v>1055</v>
      </c>
      <c r="B811" t="s">
        <v>162</v>
      </c>
      <c r="K811">
        <v>0</v>
      </c>
      <c r="N811" s="72" t="s">
        <v>10</v>
      </c>
      <c r="O811" t="s">
        <v>24</v>
      </c>
      <c r="P811">
        <v>60</v>
      </c>
      <c r="S811"/>
      <c r="T811"/>
    </row>
    <row r="812" spans="1:20" x14ac:dyDescent="0.25">
      <c r="A812" s="86" t="s">
        <v>1873</v>
      </c>
      <c r="B812" t="s">
        <v>67</v>
      </c>
      <c r="K812">
        <v>0</v>
      </c>
      <c r="N812" s="72" t="s">
        <v>1923</v>
      </c>
      <c r="O812" t="s">
        <v>24</v>
      </c>
      <c r="P812">
        <v>35</v>
      </c>
      <c r="Q812" s="131">
        <v>30059</v>
      </c>
      <c r="S812"/>
      <c r="T812"/>
    </row>
    <row r="813" spans="1:20" x14ac:dyDescent="0.25">
      <c r="A813" s="86" t="s">
        <v>1997</v>
      </c>
      <c r="B813" t="s">
        <v>157</v>
      </c>
      <c r="K813">
        <v>0</v>
      </c>
      <c r="N813" s="72" t="s">
        <v>12</v>
      </c>
      <c r="O813" t="s">
        <v>23</v>
      </c>
      <c r="S813"/>
      <c r="T813"/>
    </row>
    <row r="814" spans="1:20" x14ac:dyDescent="0.25">
      <c r="A814" s="86" t="s">
        <v>1716</v>
      </c>
      <c r="B814" t="s">
        <v>158</v>
      </c>
      <c r="K814">
        <v>0</v>
      </c>
      <c r="N814" s="72" t="s">
        <v>505</v>
      </c>
      <c r="O814" t="s">
        <v>23</v>
      </c>
      <c r="P814">
        <v>51</v>
      </c>
      <c r="Q814" s="131">
        <v>24076</v>
      </c>
      <c r="S814"/>
      <c r="T814"/>
    </row>
    <row r="815" spans="1:20" x14ac:dyDescent="0.25">
      <c r="A815" s="86" t="s">
        <v>2194</v>
      </c>
      <c r="B815" t="s">
        <v>67</v>
      </c>
      <c r="C815">
        <v>12</v>
      </c>
      <c r="D815">
        <v>22</v>
      </c>
      <c r="E815">
        <v>12</v>
      </c>
      <c r="K815">
        <v>46</v>
      </c>
      <c r="N815" s="72" t="s">
        <v>63</v>
      </c>
      <c r="O815" t="s">
        <v>24</v>
      </c>
      <c r="P815">
        <v>25</v>
      </c>
      <c r="Q815" s="131">
        <v>34046</v>
      </c>
      <c r="S815"/>
      <c r="T815"/>
    </row>
    <row r="816" spans="1:20" x14ac:dyDescent="0.25">
      <c r="A816" s="86" t="s">
        <v>2208</v>
      </c>
      <c r="B816" t="s">
        <v>67</v>
      </c>
      <c r="C816">
        <v>71</v>
      </c>
      <c r="E816">
        <v>103</v>
      </c>
      <c r="F816">
        <v>91</v>
      </c>
      <c r="K816">
        <v>265</v>
      </c>
      <c r="N816" s="72" t="s">
        <v>12</v>
      </c>
      <c r="O816" t="s">
        <v>24</v>
      </c>
      <c r="P816">
        <v>32</v>
      </c>
      <c r="Q816" s="131">
        <v>31587</v>
      </c>
      <c r="S816"/>
      <c r="T816"/>
    </row>
    <row r="817" spans="1:20" x14ac:dyDescent="0.25">
      <c r="A817" s="86" t="s">
        <v>1981</v>
      </c>
      <c r="B817" t="s">
        <v>156</v>
      </c>
      <c r="K817">
        <v>0</v>
      </c>
      <c r="N817" s="72" t="s">
        <v>657</v>
      </c>
      <c r="O817" t="s">
        <v>23</v>
      </c>
      <c r="S817"/>
      <c r="T817"/>
    </row>
    <row r="818" spans="1:20" x14ac:dyDescent="0.25">
      <c r="A818" s="86" t="s">
        <v>601</v>
      </c>
      <c r="B818" t="s">
        <v>157</v>
      </c>
      <c r="K818">
        <v>0</v>
      </c>
      <c r="N818" s="72" t="s">
        <v>653</v>
      </c>
      <c r="O818" t="s">
        <v>23</v>
      </c>
      <c r="P818">
        <v>42</v>
      </c>
      <c r="S818"/>
      <c r="T818"/>
    </row>
    <row r="819" spans="1:20" x14ac:dyDescent="0.25">
      <c r="A819" s="86" t="s">
        <v>1456</v>
      </c>
      <c r="B819" t="s">
        <v>159</v>
      </c>
      <c r="K819">
        <v>0</v>
      </c>
      <c r="N819" s="72" t="s">
        <v>505</v>
      </c>
      <c r="O819" t="s">
        <v>23</v>
      </c>
      <c r="P819">
        <v>57</v>
      </c>
      <c r="Q819" s="131">
        <v>22145</v>
      </c>
      <c r="S819"/>
      <c r="T819"/>
    </row>
    <row r="820" spans="1:20" x14ac:dyDescent="0.25">
      <c r="A820" s="86" t="s">
        <v>1769</v>
      </c>
      <c r="B820" t="s">
        <v>158</v>
      </c>
      <c r="C820">
        <v>56</v>
      </c>
      <c r="E820">
        <v>90</v>
      </c>
      <c r="F820">
        <v>65</v>
      </c>
      <c r="K820">
        <v>211</v>
      </c>
      <c r="N820" s="72" t="s">
        <v>63</v>
      </c>
      <c r="O820" t="s">
        <v>23</v>
      </c>
      <c r="P820">
        <v>50</v>
      </c>
      <c r="Q820" s="131">
        <v>24777</v>
      </c>
      <c r="S820"/>
      <c r="T820"/>
    </row>
    <row r="821" spans="1:20" x14ac:dyDescent="0.25">
      <c r="A821" s="86" t="s">
        <v>257</v>
      </c>
      <c r="B821" t="s">
        <v>157</v>
      </c>
      <c r="K821">
        <v>0</v>
      </c>
      <c r="N821" s="72" t="s">
        <v>12</v>
      </c>
      <c r="O821" t="s">
        <v>23</v>
      </c>
      <c r="P821">
        <v>39</v>
      </c>
      <c r="S821"/>
      <c r="T821"/>
    </row>
    <row r="822" spans="1:20" x14ac:dyDescent="0.25">
      <c r="A822" s="86" t="s">
        <v>2140</v>
      </c>
      <c r="B822" t="s">
        <v>157</v>
      </c>
      <c r="K822">
        <v>0</v>
      </c>
      <c r="N822" s="72" t="s">
        <v>12</v>
      </c>
      <c r="O822" t="s">
        <v>23</v>
      </c>
      <c r="P822">
        <v>36</v>
      </c>
      <c r="Q822" s="131">
        <v>29507</v>
      </c>
      <c r="S822"/>
      <c r="T822"/>
    </row>
    <row r="823" spans="1:20" x14ac:dyDescent="0.25">
      <c r="A823" s="86" t="s">
        <v>1844</v>
      </c>
      <c r="B823" t="s">
        <v>157</v>
      </c>
      <c r="K823">
        <v>0</v>
      </c>
      <c r="N823" s="72" t="s">
        <v>12</v>
      </c>
      <c r="O823" t="s">
        <v>23</v>
      </c>
      <c r="P823">
        <v>43</v>
      </c>
      <c r="Q823" s="131">
        <v>27231</v>
      </c>
      <c r="S823"/>
      <c r="T823"/>
    </row>
    <row r="824" spans="1:20" x14ac:dyDescent="0.25">
      <c r="A824" s="86" t="s">
        <v>499</v>
      </c>
      <c r="B824" t="s">
        <v>157</v>
      </c>
      <c r="K824">
        <v>0</v>
      </c>
      <c r="N824" s="72" t="s">
        <v>155</v>
      </c>
      <c r="O824" t="s">
        <v>23</v>
      </c>
      <c r="P824">
        <v>39</v>
      </c>
      <c r="S824"/>
      <c r="T824"/>
    </row>
    <row r="825" spans="1:20" x14ac:dyDescent="0.25">
      <c r="A825" s="86" t="s">
        <v>1603</v>
      </c>
      <c r="B825" t="s">
        <v>159</v>
      </c>
      <c r="E825">
        <v>154</v>
      </c>
      <c r="K825">
        <v>154</v>
      </c>
      <c r="N825" s="72" t="s">
        <v>154</v>
      </c>
      <c r="O825" t="s">
        <v>23</v>
      </c>
      <c r="P825">
        <v>60</v>
      </c>
      <c r="Q825" s="131">
        <v>21279</v>
      </c>
      <c r="S825"/>
      <c r="T825"/>
    </row>
    <row r="826" spans="1:20" x14ac:dyDescent="0.25">
      <c r="A826" s="86" t="s">
        <v>289</v>
      </c>
      <c r="B826" t="s">
        <v>158</v>
      </c>
      <c r="K826">
        <v>0</v>
      </c>
      <c r="N826" s="72" t="s">
        <v>155</v>
      </c>
      <c r="O826" t="s">
        <v>23</v>
      </c>
      <c r="P826">
        <v>47</v>
      </c>
      <c r="S826"/>
      <c r="T826"/>
    </row>
    <row r="827" spans="1:20" x14ac:dyDescent="0.25">
      <c r="A827" s="86" t="s">
        <v>755</v>
      </c>
      <c r="B827" t="s">
        <v>157</v>
      </c>
      <c r="K827">
        <v>0</v>
      </c>
      <c r="N827" s="72" t="s">
        <v>155</v>
      </c>
      <c r="O827" t="s">
        <v>23</v>
      </c>
      <c r="P827">
        <v>44</v>
      </c>
      <c r="S827"/>
      <c r="T827"/>
    </row>
    <row r="828" spans="1:20" x14ac:dyDescent="0.25">
      <c r="A828" s="86" t="s">
        <v>213</v>
      </c>
      <c r="B828" t="s">
        <v>157</v>
      </c>
      <c r="K828">
        <v>0</v>
      </c>
      <c r="N828" s="72" t="s">
        <v>38</v>
      </c>
      <c r="O828" t="s">
        <v>23</v>
      </c>
      <c r="P828">
        <v>43</v>
      </c>
      <c r="Q828" s="131">
        <v>27163</v>
      </c>
      <c r="S828"/>
      <c r="T828"/>
    </row>
    <row r="829" spans="1:20" x14ac:dyDescent="0.25">
      <c r="A829" s="86" t="s">
        <v>1344</v>
      </c>
      <c r="B829" s="48" t="s">
        <v>158</v>
      </c>
      <c r="F829">
        <v>22</v>
      </c>
      <c r="K829">
        <v>22</v>
      </c>
      <c r="N829" s="72" t="s">
        <v>817</v>
      </c>
      <c r="O829" s="48" t="s">
        <v>23</v>
      </c>
      <c r="P829">
        <v>45</v>
      </c>
      <c r="Q829" s="131">
        <v>26860</v>
      </c>
      <c r="S829"/>
      <c r="T829"/>
    </row>
    <row r="830" spans="1:20" x14ac:dyDescent="0.25">
      <c r="A830" s="86" t="s">
        <v>1418</v>
      </c>
      <c r="B830" s="48" t="s">
        <v>156</v>
      </c>
      <c r="D830">
        <v>26</v>
      </c>
      <c r="K830">
        <v>26</v>
      </c>
      <c r="N830" s="72" t="s">
        <v>38</v>
      </c>
      <c r="O830" t="s">
        <v>23</v>
      </c>
      <c r="P830">
        <v>31</v>
      </c>
      <c r="Q830" s="131">
        <v>31772</v>
      </c>
      <c r="S830"/>
      <c r="T830"/>
    </row>
    <row r="831" spans="1:20" x14ac:dyDescent="0.25">
      <c r="A831" s="86" t="s">
        <v>724</v>
      </c>
      <c r="B831" t="s">
        <v>67</v>
      </c>
      <c r="K831">
        <v>0</v>
      </c>
      <c r="N831" s="72" t="s">
        <v>657</v>
      </c>
      <c r="O831" t="s">
        <v>24</v>
      </c>
      <c r="P831">
        <v>30</v>
      </c>
      <c r="S831"/>
      <c r="T831"/>
    </row>
    <row r="832" spans="1:20" x14ac:dyDescent="0.25">
      <c r="A832" s="86" t="s">
        <v>1251</v>
      </c>
      <c r="B832" t="s">
        <v>67</v>
      </c>
      <c r="K832">
        <v>0</v>
      </c>
      <c r="N832" s="72" t="s">
        <v>653</v>
      </c>
      <c r="O832" t="s">
        <v>24</v>
      </c>
      <c r="P832">
        <v>34</v>
      </c>
      <c r="Q832" s="131" t="s">
        <v>1252</v>
      </c>
      <c r="S832"/>
      <c r="T832"/>
    </row>
    <row r="833" spans="1:20" x14ac:dyDescent="0.25">
      <c r="A833" s="86" t="s">
        <v>687</v>
      </c>
      <c r="B833" t="s">
        <v>67</v>
      </c>
      <c r="K833">
        <v>0</v>
      </c>
      <c r="N833" s="72" t="s">
        <v>653</v>
      </c>
      <c r="O833" t="s">
        <v>24</v>
      </c>
      <c r="P833">
        <v>30</v>
      </c>
      <c r="S833"/>
      <c r="T833"/>
    </row>
    <row r="834" spans="1:20" x14ac:dyDescent="0.25">
      <c r="A834" s="86" t="s">
        <v>1025</v>
      </c>
      <c r="B834" t="s">
        <v>67</v>
      </c>
      <c r="K834">
        <v>0</v>
      </c>
      <c r="N834" s="72" t="s">
        <v>1324</v>
      </c>
      <c r="O834" t="s">
        <v>24</v>
      </c>
      <c r="P834">
        <v>30</v>
      </c>
      <c r="S834"/>
      <c r="T834"/>
    </row>
    <row r="835" spans="1:20" x14ac:dyDescent="0.25">
      <c r="A835" s="86" t="s">
        <v>316</v>
      </c>
      <c r="B835" t="s">
        <v>160</v>
      </c>
      <c r="K835">
        <v>0</v>
      </c>
      <c r="N835" s="72" t="s">
        <v>14</v>
      </c>
      <c r="O835" t="s">
        <v>24</v>
      </c>
      <c r="P835">
        <v>45</v>
      </c>
      <c r="S835"/>
      <c r="T835"/>
    </row>
    <row r="836" spans="1:20" x14ac:dyDescent="0.25">
      <c r="A836" s="86" t="s">
        <v>2003</v>
      </c>
      <c r="B836" t="s">
        <v>160</v>
      </c>
      <c r="K836">
        <v>0</v>
      </c>
      <c r="N836" s="72" t="s">
        <v>657</v>
      </c>
      <c r="O836" t="s">
        <v>24</v>
      </c>
      <c r="S836"/>
      <c r="T836"/>
    </row>
    <row r="837" spans="1:20" x14ac:dyDescent="0.25">
      <c r="A837" s="86" t="s">
        <v>2151</v>
      </c>
      <c r="B837" t="s">
        <v>67</v>
      </c>
      <c r="E837">
        <v>18</v>
      </c>
      <c r="K837">
        <v>18</v>
      </c>
      <c r="N837" s="72" t="s">
        <v>63</v>
      </c>
      <c r="O837" t="s">
        <v>24</v>
      </c>
      <c r="P837">
        <v>26</v>
      </c>
      <c r="Q837" s="131">
        <v>33444</v>
      </c>
      <c r="S837"/>
      <c r="T837"/>
    </row>
    <row r="838" spans="1:20" x14ac:dyDescent="0.25">
      <c r="A838" s="86" t="s">
        <v>584</v>
      </c>
      <c r="B838" t="s">
        <v>160</v>
      </c>
      <c r="E838">
        <v>68</v>
      </c>
      <c r="K838">
        <v>68</v>
      </c>
      <c r="N838" s="72" t="s">
        <v>155</v>
      </c>
      <c r="O838" t="s">
        <v>24</v>
      </c>
      <c r="P838">
        <v>41</v>
      </c>
      <c r="Q838" s="131">
        <v>28286</v>
      </c>
      <c r="S838"/>
      <c r="T838"/>
    </row>
    <row r="839" spans="1:20" x14ac:dyDescent="0.25">
      <c r="A839" s="86" t="s">
        <v>1426</v>
      </c>
      <c r="B839" t="s">
        <v>157</v>
      </c>
      <c r="D839" s="48"/>
      <c r="K839">
        <v>0</v>
      </c>
      <c r="N839" s="72" t="s">
        <v>505</v>
      </c>
      <c r="O839" t="s">
        <v>23</v>
      </c>
      <c r="P839">
        <v>39</v>
      </c>
      <c r="Q839" s="131" t="s">
        <v>2045</v>
      </c>
      <c r="S839"/>
      <c r="T839"/>
    </row>
    <row r="840" spans="1:20" x14ac:dyDescent="0.25">
      <c r="A840" s="86" t="s">
        <v>1951</v>
      </c>
      <c r="B840" t="s">
        <v>160</v>
      </c>
      <c r="K840">
        <v>0</v>
      </c>
      <c r="N840" s="72" t="s">
        <v>656</v>
      </c>
      <c r="O840" t="s">
        <v>24</v>
      </c>
      <c r="S840"/>
      <c r="T840"/>
    </row>
    <row r="841" spans="1:20" x14ac:dyDescent="0.25">
      <c r="A841" s="86" t="s">
        <v>1348</v>
      </c>
      <c r="B841" t="s">
        <v>1817</v>
      </c>
      <c r="C841">
        <v>149</v>
      </c>
      <c r="D841">
        <v>140</v>
      </c>
      <c r="E841">
        <v>181</v>
      </c>
      <c r="F841">
        <v>157</v>
      </c>
      <c r="K841">
        <v>627</v>
      </c>
      <c r="N841" s="72" t="s">
        <v>12</v>
      </c>
      <c r="O841" t="s">
        <v>24</v>
      </c>
      <c r="P841">
        <v>75</v>
      </c>
      <c r="Q841" s="131">
        <v>15573</v>
      </c>
      <c r="S841"/>
      <c r="T841"/>
    </row>
    <row r="842" spans="1:20" x14ac:dyDescent="0.25">
      <c r="A842" s="86" t="s">
        <v>1421</v>
      </c>
      <c r="B842" t="s">
        <v>161</v>
      </c>
      <c r="K842">
        <v>0</v>
      </c>
      <c r="N842" s="72" t="s">
        <v>46</v>
      </c>
      <c r="O842" t="s">
        <v>24</v>
      </c>
      <c r="P842">
        <v>51</v>
      </c>
      <c r="Q842" s="131">
        <v>23914</v>
      </c>
      <c r="S842"/>
      <c r="T842"/>
    </row>
    <row r="843" spans="1:20" x14ac:dyDescent="0.25">
      <c r="A843" s="86" t="s">
        <v>736</v>
      </c>
      <c r="B843" t="s">
        <v>161</v>
      </c>
      <c r="K843">
        <v>0</v>
      </c>
      <c r="N843" s="72" t="s">
        <v>14</v>
      </c>
      <c r="O843" t="s">
        <v>24</v>
      </c>
      <c r="P843">
        <v>50</v>
      </c>
      <c r="S843"/>
      <c r="T843"/>
    </row>
    <row r="844" spans="1:20" x14ac:dyDescent="0.25">
      <c r="A844" s="86" t="s">
        <v>1699</v>
      </c>
      <c r="B844" t="s">
        <v>162</v>
      </c>
      <c r="C844">
        <v>48</v>
      </c>
      <c r="D844">
        <v>61</v>
      </c>
      <c r="E844">
        <v>86</v>
      </c>
      <c r="F844">
        <v>63</v>
      </c>
      <c r="K844">
        <v>258</v>
      </c>
      <c r="N844" s="72" t="s">
        <v>154</v>
      </c>
      <c r="O844" t="s">
        <v>24</v>
      </c>
      <c r="P844">
        <v>61</v>
      </c>
      <c r="Q844" s="131">
        <v>20663</v>
      </c>
      <c r="S844"/>
      <c r="T844"/>
    </row>
    <row r="845" spans="1:20" x14ac:dyDescent="0.25">
      <c r="A845" s="86" t="s">
        <v>1358</v>
      </c>
      <c r="B845" s="48" t="s">
        <v>67</v>
      </c>
      <c r="K845">
        <v>0</v>
      </c>
      <c r="N845" s="72" t="s">
        <v>12</v>
      </c>
      <c r="O845" t="s">
        <v>24</v>
      </c>
      <c r="P845">
        <v>36</v>
      </c>
      <c r="Q845" s="131">
        <v>29395</v>
      </c>
      <c r="S845"/>
      <c r="T845"/>
    </row>
    <row r="846" spans="1:20" x14ac:dyDescent="0.25">
      <c r="A846" s="86" t="s">
        <v>701</v>
      </c>
      <c r="B846" t="s">
        <v>160</v>
      </c>
      <c r="K846">
        <v>0</v>
      </c>
      <c r="N846" s="72" t="s">
        <v>656</v>
      </c>
      <c r="O846" t="s">
        <v>24</v>
      </c>
      <c r="P846">
        <v>40</v>
      </c>
      <c r="S846"/>
      <c r="T846"/>
    </row>
    <row r="847" spans="1:20" x14ac:dyDescent="0.25">
      <c r="A847" s="86" t="s">
        <v>1682</v>
      </c>
      <c r="B847" s="48" t="s">
        <v>67</v>
      </c>
      <c r="C847">
        <v>13</v>
      </c>
      <c r="D847">
        <v>20</v>
      </c>
      <c r="F847">
        <v>15</v>
      </c>
      <c r="K847">
        <v>48</v>
      </c>
      <c r="N847" s="72" t="s">
        <v>108</v>
      </c>
      <c r="O847" t="s">
        <v>24</v>
      </c>
      <c r="P847">
        <v>33</v>
      </c>
      <c r="Q847" s="131">
        <v>31023</v>
      </c>
      <c r="S847"/>
      <c r="T847"/>
    </row>
    <row r="848" spans="1:20" x14ac:dyDescent="0.25">
      <c r="A848" s="86" t="s">
        <v>388</v>
      </c>
      <c r="B848" t="s">
        <v>161</v>
      </c>
      <c r="K848">
        <v>0</v>
      </c>
      <c r="N848" s="72" t="s">
        <v>38</v>
      </c>
      <c r="O848" t="s">
        <v>24</v>
      </c>
      <c r="P848">
        <v>56</v>
      </c>
      <c r="S848"/>
      <c r="T848"/>
    </row>
    <row r="849" spans="1:20" x14ac:dyDescent="0.25">
      <c r="A849" s="86" t="s">
        <v>1463</v>
      </c>
      <c r="B849" t="s">
        <v>161</v>
      </c>
      <c r="K849">
        <v>0</v>
      </c>
      <c r="N849" s="72" t="s">
        <v>43</v>
      </c>
      <c r="O849" t="s">
        <v>24</v>
      </c>
      <c r="P849">
        <v>56</v>
      </c>
      <c r="Q849" s="131" t="s">
        <v>2072</v>
      </c>
      <c r="S849"/>
      <c r="T849"/>
    </row>
    <row r="850" spans="1:20" x14ac:dyDescent="0.25">
      <c r="A850" s="86" t="s">
        <v>205</v>
      </c>
      <c r="B850" t="s">
        <v>162</v>
      </c>
      <c r="K850">
        <v>0</v>
      </c>
      <c r="N850" s="72" t="s">
        <v>38</v>
      </c>
      <c r="O850" t="s">
        <v>24</v>
      </c>
      <c r="P850">
        <v>68</v>
      </c>
      <c r="Q850" s="131">
        <v>17667</v>
      </c>
      <c r="S850"/>
      <c r="T850"/>
    </row>
    <row r="851" spans="1:20" x14ac:dyDescent="0.25">
      <c r="A851" s="86" t="s">
        <v>430</v>
      </c>
      <c r="B851" t="s">
        <v>160</v>
      </c>
      <c r="K851">
        <v>0</v>
      </c>
      <c r="N851" s="72" t="s">
        <v>38</v>
      </c>
      <c r="O851" t="s">
        <v>24</v>
      </c>
      <c r="P851">
        <v>43</v>
      </c>
      <c r="S851"/>
      <c r="T851"/>
    </row>
    <row r="852" spans="1:20" x14ac:dyDescent="0.25">
      <c r="A852" s="86" t="s">
        <v>990</v>
      </c>
      <c r="B852" t="s">
        <v>161</v>
      </c>
      <c r="K852">
        <v>0</v>
      </c>
      <c r="N852" s="72" t="s">
        <v>14</v>
      </c>
      <c r="O852" t="s">
        <v>24</v>
      </c>
      <c r="P852">
        <v>59</v>
      </c>
      <c r="S852"/>
      <c r="T852"/>
    </row>
    <row r="853" spans="1:20" x14ac:dyDescent="0.25">
      <c r="A853" s="86" t="s">
        <v>2318</v>
      </c>
      <c r="B853" t="s">
        <v>67</v>
      </c>
      <c r="E853">
        <v>19</v>
      </c>
      <c r="K853">
        <v>19</v>
      </c>
      <c r="N853" s="72" t="s">
        <v>12</v>
      </c>
      <c r="O853" t="s">
        <v>24</v>
      </c>
      <c r="P853">
        <v>38</v>
      </c>
      <c r="Q853" s="131">
        <v>29131</v>
      </c>
      <c r="S853"/>
      <c r="T853"/>
    </row>
    <row r="854" spans="1:20" x14ac:dyDescent="0.25">
      <c r="A854" s="86" t="s">
        <v>1887</v>
      </c>
      <c r="B854" t="s">
        <v>160</v>
      </c>
      <c r="K854">
        <v>0</v>
      </c>
      <c r="N854" s="72" t="s">
        <v>14</v>
      </c>
      <c r="O854" t="s">
        <v>24</v>
      </c>
      <c r="P854">
        <v>45</v>
      </c>
      <c r="Q854" s="131">
        <v>26450</v>
      </c>
      <c r="S854"/>
      <c r="T854"/>
    </row>
    <row r="855" spans="1:20" x14ac:dyDescent="0.25">
      <c r="A855" s="86" t="s">
        <v>797</v>
      </c>
      <c r="B855" t="s">
        <v>162</v>
      </c>
      <c r="K855">
        <v>0</v>
      </c>
      <c r="N855" s="72" t="s">
        <v>43</v>
      </c>
      <c r="O855" t="s">
        <v>24</v>
      </c>
      <c r="P855">
        <v>60</v>
      </c>
      <c r="Q855" s="131" t="s">
        <v>2071</v>
      </c>
      <c r="S855"/>
      <c r="T855"/>
    </row>
    <row r="856" spans="1:20" x14ac:dyDescent="0.25">
      <c r="A856" s="86" t="s">
        <v>884</v>
      </c>
      <c r="B856" t="s">
        <v>67</v>
      </c>
      <c r="K856">
        <v>0</v>
      </c>
      <c r="N856" s="72" t="s">
        <v>63</v>
      </c>
      <c r="O856" t="s">
        <v>24</v>
      </c>
      <c r="P856">
        <v>35</v>
      </c>
      <c r="S856"/>
      <c r="T856"/>
    </row>
    <row r="857" spans="1:20" x14ac:dyDescent="0.25">
      <c r="A857" s="86" t="s">
        <v>697</v>
      </c>
      <c r="B857" t="s">
        <v>162</v>
      </c>
      <c r="K857">
        <v>0</v>
      </c>
      <c r="N857" s="72" t="s">
        <v>656</v>
      </c>
      <c r="O857" t="s">
        <v>24</v>
      </c>
      <c r="P857">
        <v>61</v>
      </c>
      <c r="Q857" s="131">
        <v>20363</v>
      </c>
      <c r="S857"/>
      <c r="T857"/>
    </row>
    <row r="858" spans="1:20" x14ac:dyDescent="0.25">
      <c r="A858" s="86" t="s">
        <v>917</v>
      </c>
      <c r="B858" t="s">
        <v>162</v>
      </c>
      <c r="K858">
        <v>0</v>
      </c>
      <c r="N858" s="72" t="s">
        <v>108</v>
      </c>
      <c r="O858" t="s">
        <v>24</v>
      </c>
      <c r="P858">
        <v>61</v>
      </c>
      <c r="Q858" s="131">
        <v>19973</v>
      </c>
      <c r="S858"/>
      <c r="T858"/>
    </row>
    <row r="859" spans="1:20" x14ac:dyDescent="0.25">
      <c r="A859" s="86" t="s">
        <v>1048</v>
      </c>
      <c r="B859" t="s">
        <v>161</v>
      </c>
      <c r="K859">
        <v>0</v>
      </c>
      <c r="N859" s="72" t="s">
        <v>154</v>
      </c>
      <c r="O859" t="s">
        <v>24</v>
      </c>
      <c r="P859">
        <v>51</v>
      </c>
      <c r="S859"/>
      <c r="T859"/>
    </row>
    <row r="860" spans="1:20" x14ac:dyDescent="0.25">
      <c r="A860" s="86" t="s">
        <v>1109</v>
      </c>
      <c r="B860" t="s">
        <v>162</v>
      </c>
      <c r="E860">
        <v>128</v>
      </c>
      <c r="F860">
        <v>97</v>
      </c>
      <c r="K860">
        <v>225</v>
      </c>
      <c r="N860" s="72" t="s">
        <v>505</v>
      </c>
      <c r="O860" t="s">
        <v>24</v>
      </c>
      <c r="P860">
        <v>60</v>
      </c>
      <c r="Q860" s="131">
        <v>21278</v>
      </c>
      <c r="S860"/>
      <c r="T860"/>
    </row>
    <row r="861" spans="1:20" x14ac:dyDescent="0.25">
      <c r="A861" s="86" t="s">
        <v>1680</v>
      </c>
      <c r="B861" t="s">
        <v>67</v>
      </c>
      <c r="K861">
        <v>0</v>
      </c>
      <c r="N861" s="72" t="s">
        <v>1724</v>
      </c>
      <c r="O861" t="s">
        <v>24</v>
      </c>
      <c r="P861">
        <v>36</v>
      </c>
      <c r="Q861" s="131">
        <v>29458</v>
      </c>
      <c r="S861"/>
      <c r="T861"/>
    </row>
    <row r="862" spans="1:20" x14ac:dyDescent="0.25">
      <c r="A862" s="86" t="s">
        <v>530</v>
      </c>
      <c r="B862" t="s">
        <v>162</v>
      </c>
      <c r="F862">
        <v>152</v>
      </c>
      <c r="K862">
        <v>152</v>
      </c>
      <c r="N862" s="72" t="s">
        <v>505</v>
      </c>
      <c r="O862" t="s">
        <v>24</v>
      </c>
      <c r="P862">
        <v>62</v>
      </c>
      <c r="Q862" s="131">
        <v>20339</v>
      </c>
      <c r="S862"/>
      <c r="T862"/>
    </row>
    <row r="863" spans="1:20" x14ac:dyDescent="0.25">
      <c r="A863" s="86" t="s">
        <v>1002</v>
      </c>
      <c r="B863" t="s">
        <v>162</v>
      </c>
      <c r="C863">
        <v>121</v>
      </c>
      <c r="E863">
        <v>163</v>
      </c>
      <c r="F863">
        <v>132</v>
      </c>
      <c r="K863">
        <v>416</v>
      </c>
      <c r="N863" s="72" t="s">
        <v>14</v>
      </c>
      <c r="O863" t="s">
        <v>24</v>
      </c>
      <c r="P863">
        <v>60</v>
      </c>
      <c r="Q863" s="131">
        <v>21103</v>
      </c>
      <c r="S863"/>
      <c r="T863"/>
    </row>
    <row r="864" spans="1:20" x14ac:dyDescent="0.25">
      <c r="A864" s="86" t="s">
        <v>1250</v>
      </c>
      <c r="B864" t="s">
        <v>160</v>
      </c>
      <c r="C864">
        <v>111</v>
      </c>
      <c r="F864">
        <v>120</v>
      </c>
      <c r="K864">
        <v>231</v>
      </c>
      <c r="N864" s="72" t="s">
        <v>12</v>
      </c>
      <c r="O864" t="s">
        <v>24</v>
      </c>
      <c r="P864">
        <v>44</v>
      </c>
      <c r="Q864" s="131">
        <v>27150</v>
      </c>
      <c r="S864"/>
      <c r="T864"/>
    </row>
    <row r="865" spans="1:20" x14ac:dyDescent="0.25">
      <c r="A865" s="86" t="s">
        <v>1977</v>
      </c>
      <c r="B865" t="s">
        <v>161</v>
      </c>
      <c r="K865">
        <v>0</v>
      </c>
      <c r="N865" s="72" t="s">
        <v>14</v>
      </c>
      <c r="O865" t="s">
        <v>24</v>
      </c>
      <c r="S865"/>
      <c r="T865"/>
    </row>
    <row r="866" spans="1:20" x14ac:dyDescent="0.25">
      <c r="A866" s="86" t="s">
        <v>1927</v>
      </c>
      <c r="B866" t="s">
        <v>161</v>
      </c>
      <c r="K866">
        <v>0</v>
      </c>
      <c r="N866" s="72" t="s">
        <v>155</v>
      </c>
      <c r="O866" t="s">
        <v>24</v>
      </c>
      <c r="P866">
        <v>51</v>
      </c>
      <c r="Q866" s="131">
        <v>24299</v>
      </c>
      <c r="S866"/>
      <c r="T866"/>
    </row>
    <row r="867" spans="1:20" x14ac:dyDescent="0.25">
      <c r="A867" s="86" t="s">
        <v>863</v>
      </c>
      <c r="B867" t="s">
        <v>160</v>
      </c>
      <c r="K867">
        <v>0</v>
      </c>
      <c r="N867" s="72" t="s">
        <v>155</v>
      </c>
      <c r="O867" t="s">
        <v>24</v>
      </c>
      <c r="P867">
        <v>49</v>
      </c>
      <c r="Q867" s="131">
        <v>24816</v>
      </c>
      <c r="S867"/>
      <c r="T867"/>
    </row>
    <row r="868" spans="1:20" x14ac:dyDescent="0.25">
      <c r="A868" s="86" t="s">
        <v>973</v>
      </c>
      <c r="B868" t="s">
        <v>160</v>
      </c>
      <c r="D868">
        <v>87</v>
      </c>
      <c r="E868">
        <v>116</v>
      </c>
      <c r="F868">
        <v>93</v>
      </c>
      <c r="K868">
        <v>296</v>
      </c>
      <c r="N868" s="72" t="s">
        <v>38</v>
      </c>
      <c r="O868" t="s">
        <v>24</v>
      </c>
      <c r="P868">
        <v>49</v>
      </c>
      <c r="Q868" s="131">
        <v>25056</v>
      </c>
      <c r="S868"/>
      <c r="T868"/>
    </row>
    <row r="869" spans="1:20" x14ac:dyDescent="0.25">
      <c r="A869" s="86" t="s">
        <v>1545</v>
      </c>
      <c r="B869" t="s">
        <v>67</v>
      </c>
      <c r="K869">
        <v>0</v>
      </c>
      <c r="N869" s="72" t="s">
        <v>653</v>
      </c>
      <c r="O869" t="s">
        <v>24</v>
      </c>
      <c r="S869"/>
      <c r="T869"/>
    </row>
    <row r="870" spans="1:20" x14ac:dyDescent="0.25">
      <c r="A870" s="86" t="s">
        <v>1911</v>
      </c>
      <c r="B870" t="s">
        <v>162</v>
      </c>
      <c r="C870">
        <v>64</v>
      </c>
      <c r="D870">
        <v>52</v>
      </c>
      <c r="F870">
        <v>61</v>
      </c>
      <c r="K870">
        <v>177</v>
      </c>
      <c r="N870" s="72" t="s">
        <v>14</v>
      </c>
      <c r="O870" t="s">
        <v>24</v>
      </c>
      <c r="P870">
        <v>60</v>
      </c>
      <c r="Q870" s="131">
        <v>21251</v>
      </c>
      <c r="S870"/>
      <c r="T870"/>
    </row>
    <row r="871" spans="1:20" x14ac:dyDescent="0.25">
      <c r="A871" s="86" t="s">
        <v>286</v>
      </c>
      <c r="B871" t="s">
        <v>161</v>
      </c>
      <c r="K871">
        <v>0</v>
      </c>
      <c r="N871" s="72" t="s">
        <v>154</v>
      </c>
      <c r="O871" t="s">
        <v>24</v>
      </c>
      <c r="P871">
        <v>58</v>
      </c>
      <c r="S871"/>
      <c r="T871"/>
    </row>
    <row r="872" spans="1:20" x14ac:dyDescent="0.25">
      <c r="A872" s="86" t="s">
        <v>977</v>
      </c>
      <c r="B872" t="s">
        <v>162</v>
      </c>
      <c r="K872">
        <v>0</v>
      </c>
      <c r="N872" s="72" t="s">
        <v>38</v>
      </c>
      <c r="O872" t="s">
        <v>24</v>
      </c>
      <c r="P872">
        <v>64</v>
      </c>
      <c r="Q872" s="131">
        <v>19343</v>
      </c>
      <c r="S872"/>
      <c r="T872"/>
    </row>
    <row r="873" spans="1:20" x14ac:dyDescent="0.25">
      <c r="A873" s="86" t="s">
        <v>538</v>
      </c>
      <c r="B873" t="s">
        <v>162</v>
      </c>
      <c r="K873">
        <v>0</v>
      </c>
      <c r="N873" s="72" t="s">
        <v>12</v>
      </c>
      <c r="O873" t="s">
        <v>24</v>
      </c>
      <c r="P873">
        <v>60</v>
      </c>
      <c r="S873"/>
      <c r="T873"/>
    </row>
    <row r="874" spans="1:20" x14ac:dyDescent="0.25">
      <c r="A874" s="86" t="s">
        <v>620</v>
      </c>
      <c r="B874" t="s">
        <v>67</v>
      </c>
      <c r="K874">
        <v>0</v>
      </c>
      <c r="N874" s="72" t="s">
        <v>650</v>
      </c>
      <c r="O874" t="s">
        <v>24</v>
      </c>
      <c r="P874">
        <v>30</v>
      </c>
      <c r="S874"/>
      <c r="T874"/>
    </row>
    <row r="875" spans="1:20" x14ac:dyDescent="0.25">
      <c r="A875" s="86" t="s">
        <v>753</v>
      </c>
      <c r="B875" t="s">
        <v>157</v>
      </c>
      <c r="K875">
        <v>0</v>
      </c>
      <c r="N875" s="72" t="s">
        <v>14</v>
      </c>
      <c r="O875" t="s">
        <v>23</v>
      </c>
      <c r="P875">
        <v>38</v>
      </c>
      <c r="S875"/>
      <c r="T875"/>
    </row>
    <row r="876" spans="1:20" x14ac:dyDescent="0.25">
      <c r="A876" s="86" t="s">
        <v>2333</v>
      </c>
      <c r="B876" t="s">
        <v>160</v>
      </c>
      <c r="E876">
        <v>83</v>
      </c>
      <c r="K876">
        <v>83</v>
      </c>
      <c r="N876" s="72" t="s">
        <v>63</v>
      </c>
      <c r="O876" t="s">
        <v>24</v>
      </c>
      <c r="P876">
        <v>44</v>
      </c>
      <c r="Q876" s="131">
        <v>27088</v>
      </c>
      <c r="S876"/>
      <c r="T876"/>
    </row>
    <row r="877" spans="1:20" x14ac:dyDescent="0.25">
      <c r="A877" s="86" t="s">
        <v>1458</v>
      </c>
      <c r="B877" t="s">
        <v>67</v>
      </c>
      <c r="K877">
        <v>0</v>
      </c>
      <c r="N877" s="72" t="s">
        <v>505</v>
      </c>
      <c r="O877" t="s">
        <v>24</v>
      </c>
      <c r="P877">
        <v>25</v>
      </c>
      <c r="Q877" s="131">
        <v>33095</v>
      </c>
      <c r="S877"/>
      <c r="T877"/>
    </row>
    <row r="878" spans="1:20" x14ac:dyDescent="0.25">
      <c r="A878" s="86" t="s">
        <v>1707</v>
      </c>
      <c r="B878" t="s">
        <v>67</v>
      </c>
      <c r="K878">
        <v>0</v>
      </c>
      <c r="N878" s="72" t="s">
        <v>1727</v>
      </c>
      <c r="O878" t="s">
        <v>24</v>
      </c>
      <c r="P878">
        <v>34</v>
      </c>
      <c r="Q878" s="131">
        <v>30073</v>
      </c>
      <c r="S878"/>
      <c r="T878"/>
    </row>
    <row r="879" spans="1:20" x14ac:dyDescent="0.25">
      <c r="A879" s="86" t="s">
        <v>447</v>
      </c>
      <c r="B879" t="s">
        <v>160</v>
      </c>
      <c r="K879">
        <v>0</v>
      </c>
      <c r="N879" s="72" t="s">
        <v>63</v>
      </c>
      <c r="O879" t="s">
        <v>24</v>
      </c>
      <c r="P879">
        <v>41</v>
      </c>
      <c r="S879"/>
      <c r="T879"/>
    </row>
    <row r="880" spans="1:20" x14ac:dyDescent="0.25">
      <c r="A880" s="86" t="s">
        <v>1238</v>
      </c>
      <c r="B880" t="s">
        <v>67</v>
      </c>
      <c r="K880">
        <v>0</v>
      </c>
      <c r="N880" s="72" t="s">
        <v>38</v>
      </c>
      <c r="O880" t="s">
        <v>24</v>
      </c>
      <c r="P880">
        <v>33</v>
      </c>
      <c r="Q880" s="131" t="s">
        <v>1435</v>
      </c>
      <c r="S880"/>
      <c r="T880"/>
    </row>
    <row r="881" spans="1:20" x14ac:dyDescent="0.25">
      <c r="A881" s="86" t="s">
        <v>2289</v>
      </c>
      <c r="B881" t="s">
        <v>160</v>
      </c>
      <c r="D881">
        <v>81</v>
      </c>
      <c r="E881">
        <v>115</v>
      </c>
      <c r="F881">
        <v>94</v>
      </c>
      <c r="K881">
        <v>290</v>
      </c>
      <c r="N881" s="72" t="s">
        <v>14</v>
      </c>
      <c r="O881" t="s">
        <v>24</v>
      </c>
      <c r="P881">
        <v>41</v>
      </c>
      <c r="Q881" s="131">
        <v>28087</v>
      </c>
      <c r="S881"/>
      <c r="T881"/>
    </row>
    <row r="882" spans="1:20" x14ac:dyDescent="0.25">
      <c r="A882" s="86" t="s">
        <v>2110</v>
      </c>
      <c r="B882" t="s">
        <v>160</v>
      </c>
      <c r="K882">
        <v>0</v>
      </c>
      <c r="N882" s="72" t="s">
        <v>2111</v>
      </c>
      <c r="O882" t="s">
        <v>24</v>
      </c>
      <c r="P882">
        <v>44</v>
      </c>
      <c r="Q882" s="131" t="s">
        <v>2112</v>
      </c>
      <c r="S882"/>
      <c r="T882"/>
    </row>
    <row r="883" spans="1:20" x14ac:dyDescent="0.25">
      <c r="A883" s="86" t="s">
        <v>2337</v>
      </c>
      <c r="B883" t="s">
        <v>67</v>
      </c>
      <c r="E883">
        <v>111</v>
      </c>
      <c r="K883">
        <v>111</v>
      </c>
      <c r="N883" s="72" t="s">
        <v>505</v>
      </c>
      <c r="O883" t="s">
        <v>24</v>
      </c>
      <c r="P883">
        <v>27</v>
      </c>
      <c r="Q883" s="131">
        <v>33317</v>
      </c>
      <c r="S883"/>
      <c r="T883"/>
    </row>
    <row r="884" spans="1:20" x14ac:dyDescent="0.25">
      <c r="A884" s="86" t="s">
        <v>628</v>
      </c>
      <c r="B884" t="s">
        <v>67</v>
      </c>
      <c r="K884">
        <v>0</v>
      </c>
      <c r="N884" s="72" t="s">
        <v>650</v>
      </c>
      <c r="O884" t="s">
        <v>24</v>
      </c>
      <c r="P884">
        <v>30</v>
      </c>
      <c r="S884"/>
      <c r="T884"/>
    </row>
    <row r="885" spans="1:20" x14ac:dyDescent="0.25">
      <c r="A885" s="86" t="s">
        <v>1717</v>
      </c>
      <c r="B885" t="s">
        <v>160</v>
      </c>
      <c r="K885">
        <v>0</v>
      </c>
      <c r="N885" s="72" t="s">
        <v>505</v>
      </c>
      <c r="O885" t="s">
        <v>24</v>
      </c>
      <c r="P885">
        <v>48</v>
      </c>
      <c r="Q885" s="131">
        <v>25130</v>
      </c>
      <c r="S885"/>
      <c r="T885"/>
    </row>
    <row r="886" spans="1:20" x14ac:dyDescent="0.25">
      <c r="A886" s="86" t="s">
        <v>432</v>
      </c>
      <c r="B886" t="s">
        <v>160</v>
      </c>
      <c r="C886">
        <v>103</v>
      </c>
      <c r="K886">
        <v>103</v>
      </c>
      <c r="N886" s="72" t="s">
        <v>12</v>
      </c>
      <c r="O886" t="s">
        <v>24</v>
      </c>
      <c r="P886">
        <v>45</v>
      </c>
      <c r="Q886" s="131">
        <v>26098</v>
      </c>
      <c r="S886"/>
      <c r="T886"/>
    </row>
    <row r="887" spans="1:20" x14ac:dyDescent="0.25">
      <c r="A887" s="86" t="s">
        <v>1386</v>
      </c>
      <c r="B887" t="s">
        <v>160</v>
      </c>
      <c r="C887">
        <v>52</v>
      </c>
      <c r="E887">
        <v>60</v>
      </c>
      <c r="K887">
        <v>112</v>
      </c>
      <c r="N887" s="72" t="s">
        <v>12</v>
      </c>
      <c r="O887" s="48" t="s">
        <v>24</v>
      </c>
      <c r="P887">
        <v>43</v>
      </c>
      <c r="Q887" s="131">
        <v>27151</v>
      </c>
      <c r="S887"/>
      <c r="T887"/>
    </row>
    <row r="888" spans="1:20" x14ac:dyDescent="0.25">
      <c r="A888" s="86" t="s">
        <v>1197</v>
      </c>
      <c r="B888" t="s">
        <v>156</v>
      </c>
      <c r="K888">
        <v>0</v>
      </c>
      <c r="N888" s="72" t="s">
        <v>68</v>
      </c>
      <c r="O888" t="s">
        <v>23</v>
      </c>
      <c r="P888">
        <v>20</v>
      </c>
      <c r="S888"/>
      <c r="T888"/>
    </row>
    <row r="889" spans="1:20" x14ac:dyDescent="0.25">
      <c r="A889" s="86" t="s">
        <v>608</v>
      </c>
      <c r="B889" t="s">
        <v>67</v>
      </c>
      <c r="K889">
        <v>0</v>
      </c>
      <c r="N889" s="72" t="s">
        <v>63</v>
      </c>
      <c r="O889" t="s">
        <v>24</v>
      </c>
      <c r="P889">
        <v>30</v>
      </c>
      <c r="S889"/>
      <c r="T889"/>
    </row>
    <row r="890" spans="1:20" x14ac:dyDescent="0.25">
      <c r="A890" s="86" t="s">
        <v>2316</v>
      </c>
      <c r="B890" t="s">
        <v>67</v>
      </c>
      <c r="E890">
        <v>7</v>
      </c>
      <c r="K890">
        <v>7</v>
      </c>
      <c r="N890" s="72" t="s">
        <v>12</v>
      </c>
      <c r="O890" t="s">
        <v>24</v>
      </c>
      <c r="P890">
        <v>38</v>
      </c>
      <c r="Q890" s="131">
        <v>29252</v>
      </c>
      <c r="S890"/>
      <c r="T890"/>
    </row>
    <row r="891" spans="1:20" x14ac:dyDescent="0.25">
      <c r="A891" s="86" t="s">
        <v>1035</v>
      </c>
      <c r="B891" t="s">
        <v>67</v>
      </c>
      <c r="K891">
        <v>0</v>
      </c>
      <c r="N891" s="72" t="s">
        <v>154</v>
      </c>
      <c r="O891" t="s">
        <v>24</v>
      </c>
      <c r="P891">
        <v>22</v>
      </c>
      <c r="S891"/>
      <c r="T891"/>
    </row>
    <row r="892" spans="1:20" x14ac:dyDescent="0.25">
      <c r="A892" s="86" t="s">
        <v>313</v>
      </c>
      <c r="B892" t="s">
        <v>67</v>
      </c>
      <c r="K892">
        <v>0</v>
      </c>
      <c r="N892" s="72" t="s">
        <v>12</v>
      </c>
      <c r="O892" t="s">
        <v>24</v>
      </c>
      <c r="P892">
        <v>21</v>
      </c>
      <c r="Q892" s="131">
        <v>35026</v>
      </c>
      <c r="S892"/>
      <c r="T892"/>
    </row>
    <row r="893" spans="1:20" x14ac:dyDescent="0.25">
      <c r="A893" s="86" t="s">
        <v>2321</v>
      </c>
      <c r="B893" t="s">
        <v>67</v>
      </c>
      <c r="E893">
        <v>37</v>
      </c>
      <c r="K893">
        <v>37</v>
      </c>
      <c r="N893" s="72" t="s">
        <v>2407</v>
      </c>
      <c r="O893" t="s">
        <v>24</v>
      </c>
      <c r="P893">
        <v>27</v>
      </c>
      <c r="Q893" s="131">
        <v>33300</v>
      </c>
      <c r="S893"/>
      <c r="T893"/>
    </row>
    <row r="894" spans="1:20" x14ac:dyDescent="0.25">
      <c r="A894" s="86" t="s">
        <v>2197</v>
      </c>
      <c r="B894" t="s">
        <v>67</v>
      </c>
      <c r="C894">
        <v>26</v>
      </c>
      <c r="D894">
        <v>31</v>
      </c>
      <c r="E894">
        <v>38</v>
      </c>
      <c r="F894">
        <v>28</v>
      </c>
      <c r="K894">
        <v>123</v>
      </c>
      <c r="N894" s="72" t="s">
        <v>1805</v>
      </c>
      <c r="O894" t="s">
        <v>24</v>
      </c>
      <c r="P894">
        <v>31</v>
      </c>
      <c r="Q894" s="131">
        <v>31708</v>
      </c>
      <c r="S894"/>
      <c r="T894"/>
    </row>
    <row r="895" spans="1:20" x14ac:dyDescent="0.25">
      <c r="A895" s="86" t="s">
        <v>594</v>
      </c>
      <c r="B895" t="s">
        <v>67</v>
      </c>
      <c r="K895">
        <v>0</v>
      </c>
      <c r="N895" s="72" t="s">
        <v>14</v>
      </c>
      <c r="O895" t="s">
        <v>24</v>
      </c>
      <c r="P895">
        <v>30</v>
      </c>
      <c r="S895"/>
      <c r="T895"/>
    </row>
    <row r="896" spans="1:20" x14ac:dyDescent="0.25">
      <c r="A896" s="86" t="s">
        <v>1336</v>
      </c>
      <c r="B896" t="s">
        <v>67</v>
      </c>
      <c r="K896">
        <v>0</v>
      </c>
      <c r="N896" s="72" t="s">
        <v>12</v>
      </c>
      <c r="O896" t="s">
        <v>24</v>
      </c>
      <c r="P896">
        <v>29</v>
      </c>
      <c r="Q896" s="131">
        <v>31793</v>
      </c>
      <c r="S896"/>
      <c r="T896"/>
    </row>
    <row r="897" spans="1:20" x14ac:dyDescent="0.25">
      <c r="A897" s="86" t="s">
        <v>1943</v>
      </c>
      <c r="B897" t="s">
        <v>67</v>
      </c>
      <c r="K897">
        <v>0</v>
      </c>
      <c r="N897" s="72" t="s">
        <v>653</v>
      </c>
      <c r="O897" t="s">
        <v>24</v>
      </c>
      <c r="S897"/>
      <c r="T897"/>
    </row>
    <row r="898" spans="1:20" x14ac:dyDescent="0.25">
      <c r="A898" s="86" t="s">
        <v>1083</v>
      </c>
      <c r="B898" t="s">
        <v>159</v>
      </c>
      <c r="C898">
        <v>103</v>
      </c>
      <c r="E898">
        <v>172</v>
      </c>
      <c r="F898">
        <v>95</v>
      </c>
      <c r="K898">
        <v>370</v>
      </c>
      <c r="N898" s="72" t="s">
        <v>38</v>
      </c>
      <c r="O898" t="s">
        <v>23</v>
      </c>
      <c r="P898">
        <v>56</v>
      </c>
      <c r="Q898" s="131">
        <v>22835</v>
      </c>
      <c r="S898"/>
      <c r="T898"/>
    </row>
    <row r="899" spans="1:20" x14ac:dyDescent="0.25">
      <c r="A899" s="86" t="s">
        <v>715</v>
      </c>
      <c r="B899" t="s">
        <v>158</v>
      </c>
      <c r="K899">
        <v>0</v>
      </c>
      <c r="N899" s="72" t="s">
        <v>653</v>
      </c>
      <c r="O899" t="s">
        <v>23</v>
      </c>
      <c r="P899">
        <v>47</v>
      </c>
      <c r="S899"/>
      <c r="T899"/>
    </row>
    <row r="900" spans="1:20" x14ac:dyDescent="0.25">
      <c r="A900" s="86" t="s">
        <v>1170</v>
      </c>
      <c r="B900" t="s">
        <v>157</v>
      </c>
      <c r="K900">
        <v>0</v>
      </c>
      <c r="N900" s="72" t="s">
        <v>505</v>
      </c>
      <c r="O900" t="s">
        <v>23</v>
      </c>
      <c r="P900">
        <v>43</v>
      </c>
      <c r="S900"/>
      <c r="T900"/>
    </row>
    <row r="901" spans="1:20" x14ac:dyDescent="0.25">
      <c r="A901" s="86" t="s">
        <v>1340</v>
      </c>
      <c r="B901" t="s">
        <v>156</v>
      </c>
      <c r="K901">
        <v>0</v>
      </c>
      <c r="N901" s="72" t="s">
        <v>12</v>
      </c>
      <c r="O901" t="s">
        <v>23</v>
      </c>
      <c r="P901">
        <v>29</v>
      </c>
      <c r="Q901" s="131">
        <v>32270</v>
      </c>
      <c r="S901"/>
      <c r="T901"/>
    </row>
    <row r="902" spans="1:20" x14ac:dyDescent="0.25">
      <c r="A902" s="86" t="s">
        <v>228</v>
      </c>
      <c r="B902" t="s">
        <v>159</v>
      </c>
      <c r="C902">
        <v>59</v>
      </c>
      <c r="D902">
        <v>58</v>
      </c>
      <c r="E902">
        <v>111</v>
      </c>
      <c r="F902">
        <v>56</v>
      </c>
      <c r="K902">
        <v>284</v>
      </c>
      <c r="N902" s="72" t="s">
        <v>108</v>
      </c>
      <c r="O902" t="s">
        <v>23</v>
      </c>
      <c r="P902">
        <v>62</v>
      </c>
      <c r="Q902" s="131">
        <v>20300</v>
      </c>
      <c r="S902"/>
      <c r="T902"/>
    </row>
    <row r="903" spans="1:20" x14ac:dyDescent="0.25">
      <c r="A903" s="86" t="s">
        <v>1776</v>
      </c>
      <c r="B903" t="s">
        <v>156</v>
      </c>
      <c r="K903">
        <v>0</v>
      </c>
      <c r="N903" s="72" t="s">
        <v>12</v>
      </c>
      <c r="O903" t="s">
        <v>23</v>
      </c>
      <c r="P903">
        <v>34</v>
      </c>
      <c r="Q903" s="131">
        <v>30400</v>
      </c>
      <c r="S903"/>
      <c r="T903"/>
    </row>
    <row r="904" spans="1:20" x14ac:dyDescent="0.25">
      <c r="A904" s="86" t="s">
        <v>1998</v>
      </c>
      <c r="B904" t="s">
        <v>157</v>
      </c>
      <c r="K904">
        <v>0</v>
      </c>
      <c r="N904" s="72" t="s">
        <v>657</v>
      </c>
      <c r="O904" t="s">
        <v>23</v>
      </c>
      <c r="S904"/>
      <c r="T904"/>
    </row>
    <row r="905" spans="1:20" x14ac:dyDescent="0.25">
      <c r="A905" s="86" t="s">
        <v>1700</v>
      </c>
      <c r="B905" t="s">
        <v>162</v>
      </c>
      <c r="K905">
        <v>0</v>
      </c>
      <c r="N905" s="72" t="s">
        <v>109</v>
      </c>
      <c r="O905" t="s">
        <v>24</v>
      </c>
      <c r="P905">
        <v>63</v>
      </c>
      <c r="Q905" s="131">
        <v>19402</v>
      </c>
      <c r="S905"/>
      <c r="T905"/>
    </row>
    <row r="906" spans="1:20" x14ac:dyDescent="0.25">
      <c r="A906" s="86" t="s">
        <v>1874</v>
      </c>
      <c r="B906" t="s">
        <v>160</v>
      </c>
      <c r="C906">
        <v>23</v>
      </c>
      <c r="K906">
        <v>23</v>
      </c>
      <c r="N906" s="72" t="s">
        <v>108</v>
      </c>
      <c r="O906" t="s">
        <v>24</v>
      </c>
      <c r="P906">
        <v>45</v>
      </c>
      <c r="Q906" s="131">
        <v>26193</v>
      </c>
      <c r="S906"/>
      <c r="T906"/>
    </row>
    <row r="907" spans="1:20" x14ac:dyDescent="0.25">
      <c r="A907" s="86" t="s">
        <v>688</v>
      </c>
      <c r="B907" t="s">
        <v>67</v>
      </c>
      <c r="K907">
        <v>0</v>
      </c>
      <c r="N907" s="72" t="s">
        <v>653</v>
      </c>
      <c r="O907" t="s">
        <v>24</v>
      </c>
      <c r="P907">
        <v>30</v>
      </c>
      <c r="S907"/>
      <c r="T907"/>
    </row>
    <row r="908" spans="1:20" x14ac:dyDescent="0.25">
      <c r="A908" s="86" t="s">
        <v>2292</v>
      </c>
      <c r="B908" t="s">
        <v>158</v>
      </c>
      <c r="D908">
        <v>91</v>
      </c>
      <c r="E908">
        <v>158</v>
      </c>
      <c r="K908">
        <v>249</v>
      </c>
      <c r="N908" s="72" t="s">
        <v>1805</v>
      </c>
      <c r="O908" t="s">
        <v>23</v>
      </c>
      <c r="P908">
        <v>50</v>
      </c>
      <c r="Q908" s="131">
        <v>24767</v>
      </c>
      <c r="S908"/>
      <c r="T908"/>
    </row>
    <row r="909" spans="1:20" x14ac:dyDescent="0.25">
      <c r="A909" s="86" t="s">
        <v>1690</v>
      </c>
      <c r="B909" t="s">
        <v>159</v>
      </c>
      <c r="C909">
        <v>25</v>
      </c>
      <c r="D909">
        <v>30</v>
      </c>
      <c r="E909">
        <v>39</v>
      </c>
      <c r="F909">
        <v>30</v>
      </c>
      <c r="K909">
        <v>124</v>
      </c>
      <c r="N909" s="72" t="s">
        <v>12</v>
      </c>
      <c r="O909" t="s">
        <v>23</v>
      </c>
      <c r="P909">
        <v>56</v>
      </c>
      <c r="Q909" s="131">
        <v>22502</v>
      </c>
      <c r="S909"/>
      <c r="T909"/>
    </row>
    <row r="910" spans="1:20" x14ac:dyDescent="0.25">
      <c r="A910" s="86" t="s">
        <v>638</v>
      </c>
      <c r="B910" t="s">
        <v>159</v>
      </c>
      <c r="K910">
        <v>0</v>
      </c>
      <c r="N910" s="72" t="s">
        <v>155</v>
      </c>
      <c r="O910" t="s">
        <v>23</v>
      </c>
      <c r="P910">
        <v>57</v>
      </c>
      <c r="Q910" s="131" t="s">
        <v>2052</v>
      </c>
      <c r="S910"/>
      <c r="T910"/>
    </row>
    <row r="911" spans="1:20" x14ac:dyDescent="0.25">
      <c r="A911" s="86" t="s">
        <v>510</v>
      </c>
      <c r="B911" t="s">
        <v>157</v>
      </c>
      <c r="K911">
        <v>0</v>
      </c>
      <c r="N911" s="72" t="s">
        <v>12</v>
      </c>
      <c r="O911" t="s">
        <v>23</v>
      </c>
      <c r="P911">
        <v>37</v>
      </c>
      <c r="S911"/>
      <c r="T911"/>
    </row>
    <row r="912" spans="1:20" x14ac:dyDescent="0.25">
      <c r="A912" s="86" t="s">
        <v>298</v>
      </c>
      <c r="B912" t="s">
        <v>158</v>
      </c>
      <c r="C912">
        <v>98</v>
      </c>
      <c r="E912">
        <v>144</v>
      </c>
      <c r="K912">
        <v>242</v>
      </c>
      <c r="N912" s="72" t="s">
        <v>108</v>
      </c>
      <c r="O912" t="s">
        <v>23</v>
      </c>
      <c r="P912">
        <v>50</v>
      </c>
      <c r="Q912" s="131">
        <v>24855</v>
      </c>
      <c r="S912"/>
      <c r="T912"/>
    </row>
    <row r="913" spans="1:20" x14ac:dyDescent="0.25">
      <c r="A913" s="86" t="s">
        <v>1804</v>
      </c>
      <c r="B913" t="s">
        <v>158</v>
      </c>
      <c r="K913">
        <v>0</v>
      </c>
      <c r="N913" s="72" t="s">
        <v>14</v>
      </c>
      <c r="O913" t="s">
        <v>23</v>
      </c>
      <c r="P913">
        <v>45</v>
      </c>
      <c r="Q913" s="131">
        <v>24231</v>
      </c>
      <c r="S913"/>
      <c r="T913"/>
    </row>
    <row r="914" spans="1:20" x14ac:dyDescent="0.25">
      <c r="A914" s="86" t="s">
        <v>617</v>
      </c>
      <c r="B914" t="s">
        <v>159</v>
      </c>
      <c r="K914">
        <v>0</v>
      </c>
      <c r="N914" s="72" t="s">
        <v>14</v>
      </c>
      <c r="O914" t="s">
        <v>23</v>
      </c>
      <c r="P914">
        <v>59</v>
      </c>
      <c r="Q914" s="131">
        <v>21232</v>
      </c>
      <c r="S914"/>
      <c r="T914"/>
    </row>
    <row r="915" spans="1:20" x14ac:dyDescent="0.25">
      <c r="A915" s="86" t="s">
        <v>1564</v>
      </c>
      <c r="B915" t="s">
        <v>159</v>
      </c>
      <c r="K915">
        <v>0</v>
      </c>
      <c r="N915" s="72" t="s">
        <v>653</v>
      </c>
      <c r="O915" t="s">
        <v>23</v>
      </c>
      <c r="S915"/>
      <c r="T915"/>
    </row>
    <row r="916" spans="1:20" x14ac:dyDescent="0.25">
      <c r="A916" s="86" t="s">
        <v>1902</v>
      </c>
      <c r="B916" t="s">
        <v>160</v>
      </c>
      <c r="K916">
        <v>0</v>
      </c>
      <c r="N916" s="72" t="s">
        <v>505</v>
      </c>
      <c r="O916" t="s">
        <v>24</v>
      </c>
      <c r="P916">
        <v>46</v>
      </c>
      <c r="Q916" s="131">
        <v>26039</v>
      </c>
      <c r="S916"/>
      <c r="T916"/>
    </row>
    <row r="917" spans="1:20" x14ac:dyDescent="0.25">
      <c r="A917" s="86" t="s">
        <v>1517</v>
      </c>
      <c r="B917" t="s">
        <v>157</v>
      </c>
      <c r="K917">
        <v>0</v>
      </c>
      <c r="N917" s="72" t="s">
        <v>12</v>
      </c>
      <c r="O917" t="s">
        <v>23</v>
      </c>
      <c r="P917">
        <v>39</v>
      </c>
      <c r="Q917" s="131">
        <v>28014</v>
      </c>
      <c r="S917"/>
      <c r="T917"/>
    </row>
    <row r="918" spans="1:20" x14ac:dyDescent="0.25">
      <c r="A918" s="86" t="s">
        <v>535</v>
      </c>
      <c r="B918" t="s">
        <v>160</v>
      </c>
      <c r="K918">
        <v>0</v>
      </c>
      <c r="N918" s="72" t="s">
        <v>12</v>
      </c>
      <c r="O918" t="s">
        <v>24</v>
      </c>
      <c r="P918">
        <v>40</v>
      </c>
      <c r="S918"/>
      <c r="T918"/>
    </row>
    <row r="919" spans="1:20" x14ac:dyDescent="0.25">
      <c r="A919" s="86" t="s">
        <v>2456</v>
      </c>
      <c r="B919" t="s">
        <v>67</v>
      </c>
      <c r="F919">
        <v>131</v>
      </c>
      <c r="K919">
        <v>131</v>
      </c>
      <c r="N919" s="72" t="s">
        <v>12</v>
      </c>
      <c r="O919" t="s">
        <v>24</v>
      </c>
      <c r="P919">
        <v>22</v>
      </c>
      <c r="Q919" s="131">
        <v>35095</v>
      </c>
      <c r="S919"/>
      <c r="T919"/>
    </row>
    <row r="920" spans="1:20" x14ac:dyDescent="0.25">
      <c r="A920" s="86" t="s">
        <v>720</v>
      </c>
      <c r="B920" t="s">
        <v>159</v>
      </c>
      <c r="E920">
        <v>35</v>
      </c>
      <c r="K920">
        <v>35</v>
      </c>
      <c r="N920" s="72" t="s">
        <v>14</v>
      </c>
      <c r="O920" t="s">
        <v>23</v>
      </c>
      <c r="P920">
        <v>60</v>
      </c>
      <c r="Q920" s="131">
        <v>21145</v>
      </c>
      <c r="S920"/>
      <c r="T920"/>
    </row>
    <row r="921" spans="1:20" x14ac:dyDescent="0.25">
      <c r="A921" s="86" t="s">
        <v>864</v>
      </c>
      <c r="B921" t="s">
        <v>157</v>
      </c>
      <c r="K921">
        <v>0</v>
      </c>
      <c r="N921" s="72" t="s">
        <v>155</v>
      </c>
      <c r="O921" t="s">
        <v>23</v>
      </c>
      <c r="P921">
        <v>36</v>
      </c>
      <c r="S921"/>
      <c r="T921"/>
    </row>
    <row r="922" spans="1:20" x14ac:dyDescent="0.25">
      <c r="A922" s="86" t="s">
        <v>2280</v>
      </c>
      <c r="B922" t="s">
        <v>157</v>
      </c>
      <c r="D922">
        <v>97</v>
      </c>
      <c r="K922">
        <v>97</v>
      </c>
      <c r="N922" s="72" t="s">
        <v>155</v>
      </c>
      <c r="O922" t="s">
        <v>23</v>
      </c>
      <c r="P922">
        <v>44</v>
      </c>
      <c r="Q922" s="131">
        <v>26830</v>
      </c>
      <c r="S922"/>
      <c r="T922"/>
    </row>
    <row r="923" spans="1:20" x14ac:dyDescent="0.25">
      <c r="A923" s="86" t="s">
        <v>512</v>
      </c>
      <c r="B923" t="s">
        <v>156</v>
      </c>
      <c r="K923">
        <v>0</v>
      </c>
      <c r="N923" s="72" t="s">
        <v>12</v>
      </c>
      <c r="O923" t="s">
        <v>23</v>
      </c>
      <c r="P923">
        <v>30</v>
      </c>
      <c r="S923"/>
      <c r="T923"/>
    </row>
    <row r="924" spans="1:20" x14ac:dyDescent="0.25">
      <c r="A924" s="86" t="s">
        <v>2364</v>
      </c>
      <c r="B924" t="s">
        <v>157</v>
      </c>
      <c r="E924">
        <v>79</v>
      </c>
      <c r="K924">
        <v>79</v>
      </c>
      <c r="N924" s="72" t="s">
        <v>505</v>
      </c>
      <c r="O924" t="s">
        <v>23</v>
      </c>
      <c r="P924">
        <v>44</v>
      </c>
      <c r="Q924" s="131">
        <v>27197</v>
      </c>
      <c r="S924"/>
      <c r="T924"/>
    </row>
    <row r="925" spans="1:20" x14ac:dyDescent="0.25">
      <c r="A925" s="86" t="s">
        <v>183</v>
      </c>
      <c r="B925" t="s">
        <v>158</v>
      </c>
      <c r="K925">
        <v>0</v>
      </c>
      <c r="N925" s="72" t="s">
        <v>12</v>
      </c>
      <c r="O925" t="s">
        <v>23</v>
      </c>
      <c r="P925">
        <v>51</v>
      </c>
      <c r="Q925" s="131">
        <v>24358</v>
      </c>
      <c r="S925"/>
      <c r="T925"/>
    </row>
    <row r="926" spans="1:20" x14ac:dyDescent="0.25">
      <c r="A926" s="86" t="s">
        <v>722</v>
      </c>
      <c r="B926" t="s">
        <v>158</v>
      </c>
      <c r="K926">
        <v>0</v>
      </c>
      <c r="N926" s="72" t="s">
        <v>14</v>
      </c>
      <c r="O926" t="s">
        <v>23</v>
      </c>
      <c r="P926">
        <v>45</v>
      </c>
      <c r="S926"/>
      <c r="T926"/>
    </row>
    <row r="927" spans="1:20" x14ac:dyDescent="0.25">
      <c r="A927" s="86" t="s">
        <v>1235</v>
      </c>
      <c r="B927" t="s">
        <v>158</v>
      </c>
      <c r="K927">
        <v>0</v>
      </c>
      <c r="N927" s="72" t="s">
        <v>1234</v>
      </c>
      <c r="O927" t="s">
        <v>23</v>
      </c>
      <c r="P927">
        <v>48</v>
      </c>
      <c r="S927"/>
      <c r="T927"/>
    </row>
    <row r="928" spans="1:20" x14ac:dyDescent="0.25">
      <c r="A928" s="86" t="s">
        <v>1104</v>
      </c>
      <c r="B928" t="s">
        <v>157</v>
      </c>
      <c r="K928">
        <v>0</v>
      </c>
      <c r="N928" s="72" t="s">
        <v>12</v>
      </c>
      <c r="O928" t="s">
        <v>23</v>
      </c>
      <c r="P928">
        <v>44</v>
      </c>
      <c r="S928"/>
      <c r="T928"/>
    </row>
    <row r="929" spans="1:20" x14ac:dyDescent="0.25">
      <c r="A929" s="86" t="s">
        <v>1794</v>
      </c>
      <c r="B929" t="s">
        <v>157</v>
      </c>
      <c r="C929">
        <v>17</v>
      </c>
      <c r="K929">
        <v>17</v>
      </c>
      <c r="N929" s="72" t="s">
        <v>14</v>
      </c>
      <c r="O929" t="s">
        <v>23</v>
      </c>
      <c r="P929">
        <v>39</v>
      </c>
      <c r="Q929" s="131">
        <v>28331</v>
      </c>
      <c r="S929"/>
      <c r="T929"/>
    </row>
    <row r="930" spans="1:20" x14ac:dyDescent="0.25">
      <c r="A930" s="86" t="s">
        <v>1879</v>
      </c>
      <c r="B930" t="s">
        <v>67</v>
      </c>
      <c r="K930">
        <v>0</v>
      </c>
      <c r="N930" s="72" t="s">
        <v>1923</v>
      </c>
      <c r="O930" t="s">
        <v>24</v>
      </c>
      <c r="P930">
        <v>39</v>
      </c>
      <c r="Q930" s="131">
        <v>28473</v>
      </c>
      <c r="S930"/>
      <c r="T930"/>
    </row>
    <row r="931" spans="1:20" x14ac:dyDescent="0.25">
      <c r="A931" s="86" t="s">
        <v>1740</v>
      </c>
      <c r="B931" t="s">
        <v>157</v>
      </c>
      <c r="E931">
        <v>49</v>
      </c>
      <c r="K931">
        <v>49</v>
      </c>
      <c r="N931" s="72" t="s">
        <v>12</v>
      </c>
      <c r="O931" t="s">
        <v>23</v>
      </c>
      <c r="P931">
        <v>37</v>
      </c>
      <c r="Q931" s="131">
        <v>29407</v>
      </c>
      <c r="S931"/>
      <c r="T931"/>
    </row>
    <row r="932" spans="1:20" x14ac:dyDescent="0.25">
      <c r="A932" s="86" t="s">
        <v>1855</v>
      </c>
      <c r="B932" t="s">
        <v>157</v>
      </c>
      <c r="K932">
        <v>0</v>
      </c>
      <c r="N932" s="72" t="s">
        <v>154</v>
      </c>
      <c r="O932" t="s">
        <v>23</v>
      </c>
      <c r="P932">
        <v>37</v>
      </c>
      <c r="Q932" s="131">
        <v>29055</v>
      </c>
      <c r="S932"/>
      <c r="T932"/>
    </row>
    <row r="933" spans="1:20" x14ac:dyDescent="0.25">
      <c r="A933" s="86" t="s">
        <v>1847</v>
      </c>
      <c r="B933" t="s">
        <v>157</v>
      </c>
      <c r="K933">
        <v>0</v>
      </c>
      <c r="N933" s="72" t="s">
        <v>650</v>
      </c>
      <c r="O933" t="s">
        <v>23</v>
      </c>
      <c r="P933">
        <v>42</v>
      </c>
      <c r="Q933" s="131">
        <v>27499</v>
      </c>
      <c r="S933"/>
      <c r="T933"/>
    </row>
    <row r="934" spans="1:20" x14ac:dyDescent="0.25">
      <c r="A934" s="86" t="s">
        <v>1591</v>
      </c>
      <c r="B934" t="s">
        <v>158</v>
      </c>
      <c r="E934">
        <v>98</v>
      </c>
      <c r="K934">
        <v>98</v>
      </c>
      <c r="N934" s="72" t="s">
        <v>12</v>
      </c>
      <c r="O934" t="s">
        <v>23</v>
      </c>
      <c r="P934">
        <v>52</v>
      </c>
      <c r="Q934" s="131">
        <v>23951</v>
      </c>
      <c r="S934"/>
      <c r="T934"/>
    </row>
    <row r="935" spans="1:20" x14ac:dyDescent="0.25">
      <c r="A935" s="86" t="s">
        <v>1462</v>
      </c>
      <c r="B935" t="s">
        <v>156</v>
      </c>
      <c r="K935">
        <v>0</v>
      </c>
      <c r="N935" s="72" t="s">
        <v>12</v>
      </c>
      <c r="O935" t="s">
        <v>23</v>
      </c>
      <c r="P935">
        <v>30</v>
      </c>
      <c r="Q935" s="131">
        <v>31287</v>
      </c>
      <c r="S935"/>
      <c r="T935"/>
    </row>
    <row r="936" spans="1:20" x14ac:dyDescent="0.25">
      <c r="A936" s="86" t="s">
        <v>2230</v>
      </c>
      <c r="B936" t="s">
        <v>156</v>
      </c>
      <c r="C936">
        <v>44</v>
      </c>
      <c r="D936">
        <v>52</v>
      </c>
      <c r="K936">
        <v>96</v>
      </c>
      <c r="N936" s="72" t="s">
        <v>12</v>
      </c>
      <c r="O936" t="s">
        <v>23</v>
      </c>
      <c r="P936">
        <v>33</v>
      </c>
      <c r="Q936" s="131">
        <v>30961</v>
      </c>
      <c r="S936"/>
      <c r="T936"/>
    </row>
    <row r="937" spans="1:20" x14ac:dyDescent="0.25">
      <c r="A937" s="86" t="s">
        <v>1149</v>
      </c>
      <c r="B937" t="s">
        <v>157</v>
      </c>
      <c r="K937">
        <v>0</v>
      </c>
      <c r="N937" s="72" t="s">
        <v>505</v>
      </c>
      <c r="O937" t="s">
        <v>23</v>
      </c>
      <c r="P937">
        <v>37</v>
      </c>
      <c r="S937"/>
      <c r="T937"/>
    </row>
    <row r="938" spans="1:20" x14ac:dyDescent="0.25">
      <c r="A938" s="86" t="s">
        <v>365</v>
      </c>
      <c r="B938" t="s">
        <v>158</v>
      </c>
      <c r="C938">
        <v>8</v>
      </c>
      <c r="D938">
        <v>11</v>
      </c>
      <c r="F938">
        <v>15</v>
      </c>
      <c r="K938">
        <v>34</v>
      </c>
      <c r="N938" s="72" t="s">
        <v>154</v>
      </c>
      <c r="O938" t="s">
        <v>23</v>
      </c>
      <c r="P938">
        <v>45</v>
      </c>
      <c r="Q938" s="131">
        <v>26654</v>
      </c>
      <c r="S938"/>
      <c r="T938"/>
    </row>
    <row r="939" spans="1:20" x14ac:dyDescent="0.25">
      <c r="A939" s="86" t="s">
        <v>2223</v>
      </c>
      <c r="B939" t="s">
        <v>158</v>
      </c>
      <c r="C939">
        <v>31</v>
      </c>
      <c r="D939">
        <v>27</v>
      </c>
      <c r="E939">
        <v>53</v>
      </c>
      <c r="K939">
        <v>111</v>
      </c>
      <c r="N939" s="72" t="s">
        <v>38</v>
      </c>
      <c r="O939" t="s">
        <v>23</v>
      </c>
      <c r="P939">
        <v>46</v>
      </c>
      <c r="Q939" s="131">
        <v>26106</v>
      </c>
      <c r="S939"/>
      <c r="T939"/>
    </row>
    <row r="940" spans="1:20" x14ac:dyDescent="0.25">
      <c r="A940" s="86" t="s">
        <v>2256</v>
      </c>
      <c r="B940" t="s">
        <v>157</v>
      </c>
      <c r="C940">
        <v>83</v>
      </c>
      <c r="K940">
        <v>83</v>
      </c>
      <c r="N940" s="72" t="s">
        <v>1805</v>
      </c>
      <c r="O940" t="s">
        <v>23</v>
      </c>
      <c r="S940"/>
      <c r="T940"/>
    </row>
    <row r="941" spans="1:20" x14ac:dyDescent="0.25">
      <c r="A941" s="86" t="s">
        <v>1115</v>
      </c>
      <c r="B941" t="s">
        <v>156</v>
      </c>
      <c r="K941">
        <v>0</v>
      </c>
      <c r="N941" s="72" t="s">
        <v>657</v>
      </c>
      <c r="O941" t="s">
        <v>23</v>
      </c>
      <c r="P941">
        <v>31</v>
      </c>
      <c r="S941"/>
      <c r="T941"/>
    </row>
    <row r="942" spans="1:20" x14ac:dyDescent="0.25">
      <c r="A942" s="86" t="s">
        <v>1840</v>
      </c>
      <c r="B942" t="s">
        <v>157</v>
      </c>
      <c r="K942">
        <v>0</v>
      </c>
      <c r="N942" s="72" t="s">
        <v>43</v>
      </c>
      <c r="O942" t="s">
        <v>23</v>
      </c>
      <c r="P942">
        <v>35</v>
      </c>
      <c r="Q942" s="131">
        <v>29794</v>
      </c>
      <c r="S942"/>
      <c r="T942"/>
    </row>
    <row r="943" spans="1:20" x14ac:dyDescent="0.25">
      <c r="A943" s="86" t="s">
        <v>885</v>
      </c>
      <c r="B943" t="s">
        <v>156</v>
      </c>
      <c r="K943">
        <v>0</v>
      </c>
      <c r="N943" s="72" t="s">
        <v>63</v>
      </c>
      <c r="O943" t="s">
        <v>23</v>
      </c>
      <c r="P943">
        <v>25</v>
      </c>
      <c r="Q943" s="131">
        <v>33280</v>
      </c>
      <c r="S943"/>
      <c r="T943"/>
    </row>
    <row r="944" spans="1:20" x14ac:dyDescent="0.25">
      <c r="A944" s="86" t="s">
        <v>1414</v>
      </c>
      <c r="B944" t="s">
        <v>157</v>
      </c>
      <c r="K944">
        <v>0</v>
      </c>
      <c r="N944" s="72" t="s">
        <v>12</v>
      </c>
      <c r="O944" t="s">
        <v>23</v>
      </c>
      <c r="P944">
        <v>38</v>
      </c>
      <c r="Q944" s="131">
        <v>28976</v>
      </c>
      <c r="S944"/>
      <c r="T944"/>
    </row>
    <row r="945" spans="1:20" x14ac:dyDescent="0.25">
      <c r="A945" s="86" t="s">
        <v>1851</v>
      </c>
      <c r="B945" t="s">
        <v>156</v>
      </c>
      <c r="C945">
        <v>86</v>
      </c>
      <c r="D945">
        <v>86</v>
      </c>
      <c r="F945">
        <v>85</v>
      </c>
      <c r="K945">
        <v>257</v>
      </c>
      <c r="N945" s="72" t="s">
        <v>63</v>
      </c>
      <c r="O945" t="s">
        <v>23</v>
      </c>
      <c r="P945">
        <v>27</v>
      </c>
      <c r="Q945" s="131">
        <v>33331</v>
      </c>
      <c r="S945"/>
      <c r="T945"/>
    </row>
    <row r="946" spans="1:20" x14ac:dyDescent="0.25">
      <c r="A946" s="86" t="s">
        <v>782</v>
      </c>
      <c r="B946" t="s">
        <v>157</v>
      </c>
      <c r="C946">
        <v>101</v>
      </c>
      <c r="E946">
        <v>28</v>
      </c>
      <c r="F946">
        <v>26</v>
      </c>
      <c r="K946">
        <v>155</v>
      </c>
      <c r="N946" s="72" t="s">
        <v>12</v>
      </c>
      <c r="O946" t="s">
        <v>23</v>
      </c>
      <c r="P946">
        <v>38</v>
      </c>
      <c r="Q946" s="131">
        <v>29419</v>
      </c>
      <c r="S946"/>
      <c r="T946"/>
    </row>
    <row r="947" spans="1:20" x14ac:dyDescent="0.25">
      <c r="A947" s="86" t="s">
        <v>262</v>
      </c>
      <c r="B947" t="s">
        <v>156</v>
      </c>
      <c r="K947">
        <v>0</v>
      </c>
      <c r="N947" s="72" t="s">
        <v>12</v>
      </c>
      <c r="O947" t="s">
        <v>23</v>
      </c>
      <c r="P947">
        <v>34</v>
      </c>
      <c r="Q947" s="131">
        <v>29812</v>
      </c>
      <c r="S947"/>
      <c r="T947"/>
    </row>
    <row r="948" spans="1:20" x14ac:dyDescent="0.25">
      <c r="A948" s="86" t="s">
        <v>425</v>
      </c>
      <c r="B948" t="s">
        <v>156</v>
      </c>
      <c r="K948">
        <v>0</v>
      </c>
      <c r="N948" s="72" t="s">
        <v>63</v>
      </c>
      <c r="O948" t="s">
        <v>23</v>
      </c>
      <c r="P948">
        <v>30</v>
      </c>
      <c r="S948"/>
      <c r="T948"/>
    </row>
    <row r="949" spans="1:20" x14ac:dyDescent="0.25">
      <c r="A949" s="86" t="s">
        <v>1777</v>
      </c>
      <c r="B949" t="s">
        <v>156</v>
      </c>
      <c r="D949">
        <v>31</v>
      </c>
      <c r="E949">
        <v>59</v>
      </c>
      <c r="K949">
        <v>90</v>
      </c>
      <c r="N949" s="72" t="s">
        <v>12</v>
      </c>
      <c r="O949" t="s">
        <v>23</v>
      </c>
      <c r="P949">
        <v>33</v>
      </c>
      <c r="Q949" s="131">
        <v>31172</v>
      </c>
      <c r="S949"/>
      <c r="T949"/>
    </row>
    <row r="950" spans="1:20" x14ac:dyDescent="0.25">
      <c r="A950" s="86" t="s">
        <v>1052</v>
      </c>
      <c r="B950" t="s">
        <v>158</v>
      </c>
      <c r="K950">
        <v>0</v>
      </c>
      <c r="N950" s="72" t="s">
        <v>155</v>
      </c>
      <c r="O950" t="s">
        <v>23</v>
      </c>
      <c r="P950">
        <v>50</v>
      </c>
      <c r="S950"/>
      <c r="T950"/>
    </row>
    <row r="951" spans="1:20" x14ac:dyDescent="0.25">
      <c r="A951" s="86" t="s">
        <v>1341</v>
      </c>
      <c r="B951" t="s">
        <v>156</v>
      </c>
      <c r="K951">
        <v>0</v>
      </c>
      <c r="N951" s="72" t="s">
        <v>1233</v>
      </c>
      <c r="O951" t="s">
        <v>23</v>
      </c>
      <c r="P951">
        <v>32</v>
      </c>
      <c r="Q951" s="131">
        <v>30654</v>
      </c>
      <c r="S951"/>
      <c r="T951"/>
    </row>
    <row r="952" spans="1:20" x14ac:dyDescent="0.25">
      <c r="A952" s="86" t="s">
        <v>1154</v>
      </c>
      <c r="B952" t="s">
        <v>157</v>
      </c>
      <c r="K952">
        <v>0</v>
      </c>
      <c r="N952" s="72" t="s">
        <v>46</v>
      </c>
      <c r="O952" t="s">
        <v>23</v>
      </c>
      <c r="P952">
        <v>41</v>
      </c>
      <c r="Q952" s="131" t="s">
        <v>2093</v>
      </c>
      <c r="S952"/>
      <c r="T952"/>
    </row>
    <row r="953" spans="1:20" x14ac:dyDescent="0.25">
      <c r="A953" s="86" t="s">
        <v>2348</v>
      </c>
      <c r="B953" t="s">
        <v>157</v>
      </c>
      <c r="E953">
        <v>44</v>
      </c>
      <c r="K953">
        <v>44</v>
      </c>
      <c r="N953" s="72" t="s">
        <v>505</v>
      </c>
      <c r="O953" t="s">
        <v>23</v>
      </c>
      <c r="P953">
        <v>35</v>
      </c>
      <c r="Q953" s="131">
        <v>30390</v>
      </c>
      <c r="S953"/>
      <c r="T953"/>
    </row>
    <row r="954" spans="1:20" x14ac:dyDescent="0.25">
      <c r="A954" s="86" t="s">
        <v>516</v>
      </c>
      <c r="B954" t="s">
        <v>157</v>
      </c>
      <c r="K954">
        <v>0</v>
      </c>
      <c r="N954" s="72" t="s">
        <v>38</v>
      </c>
      <c r="O954" t="s">
        <v>23</v>
      </c>
      <c r="P954">
        <v>44</v>
      </c>
      <c r="S954"/>
      <c r="T954"/>
    </row>
    <row r="955" spans="1:20" x14ac:dyDescent="0.25">
      <c r="A955" s="86" t="s">
        <v>1071</v>
      </c>
      <c r="B955" t="s">
        <v>156</v>
      </c>
      <c r="K955">
        <v>0</v>
      </c>
      <c r="N955" s="72" t="s">
        <v>10</v>
      </c>
      <c r="O955" t="s">
        <v>23</v>
      </c>
      <c r="P955">
        <v>23</v>
      </c>
      <c r="S955"/>
      <c r="T955"/>
    </row>
    <row r="956" spans="1:20" x14ac:dyDescent="0.25">
      <c r="A956" s="86" t="s">
        <v>1780</v>
      </c>
      <c r="B956" t="s">
        <v>156</v>
      </c>
      <c r="D956">
        <v>23</v>
      </c>
      <c r="E956">
        <v>77</v>
      </c>
      <c r="K956">
        <v>100</v>
      </c>
      <c r="N956" s="72" t="s">
        <v>12</v>
      </c>
      <c r="O956" t="s">
        <v>23</v>
      </c>
      <c r="P956">
        <v>26</v>
      </c>
      <c r="Q956" s="131">
        <v>33760</v>
      </c>
      <c r="S956"/>
      <c r="T956"/>
    </row>
    <row r="957" spans="1:20" x14ac:dyDescent="0.25">
      <c r="A957" s="86" t="s">
        <v>1157</v>
      </c>
      <c r="B957" t="s">
        <v>156</v>
      </c>
      <c r="K957">
        <v>0</v>
      </c>
      <c r="N957" s="72" t="s">
        <v>12</v>
      </c>
      <c r="O957" t="s">
        <v>23</v>
      </c>
      <c r="P957">
        <v>31</v>
      </c>
      <c r="S957"/>
      <c r="T957"/>
    </row>
    <row r="958" spans="1:20" x14ac:dyDescent="0.25">
      <c r="A958" s="86" t="s">
        <v>627</v>
      </c>
      <c r="B958" t="s">
        <v>158</v>
      </c>
      <c r="K958">
        <v>0</v>
      </c>
      <c r="N958" s="72" t="s">
        <v>12</v>
      </c>
      <c r="O958" t="s">
        <v>23</v>
      </c>
      <c r="P958">
        <v>45</v>
      </c>
      <c r="S958"/>
      <c r="T958"/>
    </row>
    <row r="959" spans="1:20" x14ac:dyDescent="0.25">
      <c r="A959" s="86" t="s">
        <v>832</v>
      </c>
      <c r="B959" t="s">
        <v>157</v>
      </c>
      <c r="K959">
        <v>0</v>
      </c>
      <c r="N959" s="72" t="s">
        <v>12</v>
      </c>
      <c r="O959" t="s">
        <v>23</v>
      </c>
      <c r="P959">
        <v>44</v>
      </c>
      <c r="Q959" s="131">
        <v>26328</v>
      </c>
      <c r="S959"/>
      <c r="T959"/>
    </row>
    <row r="960" spans="1:20" x14ac:dyDescent="0.25">
      <c r="A960" s="86" t="s">
        <v>2389</v>
      </c>
      <c r="B960" t="s">
        <v>156</v>
      </c>
      <c r="E960">
        <v>149</v>
      </c>
      <c r="K960">
        <v>149</v>
      </c>
      <c r="N960" s="72" t="s">
        <v>505</v>
      </c>
      <c r="O960" t="s">
        <v>23</v>
      </c>
      <c r="P960">
        <v>29</v>
      </c>
      <c r="Q960" s="131">
        <v>32423</v>
      </c>
      <c r="S960"/>
      <c r="T960"/>
    </row>
    <row r="961" spans="1:20" x14ac:dyDescent="0.25">
      <c r="A961" s="86" t="s">
        <v>963</v>
      </c>
      <c r="B961" t="s">
        <v>157</v>
      </c>
      <c r="E961">
        <v>177</v>
      </c>
      <c r="K961">
        <v>177</v>
      </c>
      <c r="N961" s="72" t="s">
        <v>12</v>
      </c>
      <c r="O961" t="s">
        <v>23</v>
      </c>
      <c r="P961">
        <v>44</v>
      </c>
      <c r="Q961" s="131">
        <v>27116</v>
      </c>
      <c r="S961"/>
      <c r="T961"/>
    </row>
    <row r="962" spans="1:20" x14ac:dyDescent="0.25">
      <c r="A962" s="86" t="s">
        <v>2145</v>
      </c>
      <c r="B962" t="s">
        <v>67</v>
      </c>
      <c r="K962">
        <v>0</v>
      </c>
      <c r="N962" s="72" t="s">
        <v>505</v>
      </c>
      <c r="O962" t="s">
        <v>24</v>
      </c>
      <c r="P962">
        <v>29</v>
      </c>
      <c r="Q962" s="131">
        <v>32408</v>
      </c>
      <c r="S962"/>
      <c r="T962"/>
    </row>
    <row r="963" spans="1:20" x14ac:dyDescent="0.25">
      <c r="A963" s="86" t="s">
        <v>2351</v>
      </c>
      <c r="B963" t="s">
        <v>157</v>
      </c>
      <c r="E963">
        <v>47</v>
      </c>
      <c r="K963">
        <v>47</v>
      </c>
      <c r="N963" s="72" t="s">
        <v>154</v>
      </c>
      <c r="O963" t="s">
        <v>23</v>
      </c>
      <c r="P963">
        <v>37</v>
      </c>
      <c r="Q963" s="131">
        <v>29679</v>
      </c>
      <c r="S963"/>
      <c r="T963"/>
    </row>
    <row r="964" spans="1:20" x14ac:dyDescent="0.25">
      <c r="A964" s="86" t="s">
        <v>754</v>
      </c>
      <c r="B964" t="s">
        <v>158</v>
      </c>
      <c r="K964">
        <v>0</v>
      </c>
      <c r="N964" s="72" t="s">
        <v>14</v>
      </c>
      <c r="O964" t="s">
        <v>23</v>
      </c>
      <c r="P964">
        <v>45</v>
      </c>
      <c r="S964"/>
      <c r="T964"/>
    </row>
    <row r="965" spans="1:20" x14ac:dyDescent="0.25">
      <c r="A965" s="86" t="s">
        <v>803</v>
      </c>
      <c r="B965" t="s">
        <v>158</v>
      </c>
      <c r="K965">
        <v>0</v>
      </c>
      <c r="N965" s="72" t="s">
        <v>14</v>
      </c>
      <c r="O965" t="s">
        <v>23</v>
      </c>
      <c r="P965">
        <v>53</v>
      </c>
      <c r="S965"/>
      <c r="T965"/>
    </row>
    <row r="966" spans="1:20" x14ac:dyDescent="0.25">
      <c r="A966" s="86" t="s">
        <v>2281</v>
      </c>
      <c r="B966" t="s">
        <v>156</v>
      </c>
      <c r="D966">
        <v>96</v>
      </c>
      <c r="F966">
        <v>91</v>
      </c>
      <c r="K966">
        <v>187</v>
      </c>
      <c r="N966" s="72" t="s">
        <v>155</v>
      </c>
      <c r="O966" t="s">
        <v>23</v>
      </c>
      <c r="P966">
        <v>28</v>
      </c>
      <c r="Q966" s="131">
        <v>32969</v>
      </c>
      <c r="S966"/>
      <c r="T966"/>
    </row>
    <row r="967" spans="1:20" x14ac:dyDescent="0.25">
      <c r="A967" s="86" t="s">
        <v>1909</v>
      </c>
      <c r="B967" t="s">
        <v>158</v>
      </c>
      <c r="K967">
        <v>0</v>
      </c>
      <c r="N967" s="72" t="s">
        <v>14</v>
      </c>
      <c r="O967" t="s">
        <v>23</v>
      </c>
      <c r="P967">
        <v>51</v>
      </c>
      <c r="Q967" s="131">
        <v>24211</v>
      </c>
      <c r="S967"/>
      <c r="T967"/>
    </row>
    <row r="968" spans="1:20" x14ac:dyDescent="0.25">
      <c r="A968" s="86" t="s">
        <v>2305</v>
      </c>
      <c r="B968" t="s">
        <v>157</v>
      </c>
      <c r="D968">
        <v>73</v>
      </c>
      <c r="K968">
        <v>73</v>
      </c>
      <c r="N968" s="72" t="s">
        <v>1805</v>
      </c>
      <c r="O968" t="s">
        <v>23</v>
      </c>
      <c r="P968">
        <v>42</v>
      </c>
      <c r="Q968" s="131">
        <v>27898</v>
      </c>
      <c r="S968"/>
      <c r="T968"/>
    </row>
    <row r="969" spans="1:20" x14ac:dyDescent="0.25">
      <c r="A969" s="86" t="s">
        <v>769</v>
      </c>
      <c r="B969" t="s">
        <v>67</v>
      </c>
      <c r="K969">
        <v>0</v>
      </c>
      <c r="N969" s="72" t="s">
        <v>51</v>
      </c>
      <c r="O969" t="s">
        <v>24</v>
      </c>
      <c r="P969">
        <v>33</v>
      </c>
      <c r="S969"/>
      <c r="T969"/>
    </row>
    <row r="970" spans="1:20" x14ac:dyDescent="0.25">
      <c r="A970" s="86" t="s">
        <v>1423</v>
      </c>
      <c r="B970" t="s">
        <v>162</v>
      </c>
      <c r="K970">
        <v>0</v>
      </c>
      <c r="N970" s="72" t="s">
        <v>581</v>
      </c>
      <c r="O970" t="s">
        <v>24</v>
      </c>
      <c r="P970">
        <v>64</v>
      </c>
      <c r="Q970" s="131" t="s">
        <v>1440</v>
      </c>
      <c r="S970"/>
      <c r="T970"/>
    </row>
    <row r="971" spans="1:20" x14ac:dyDescent="0.25">
      <c r="A971" s="86" t="s">
        <v>526</v>
      </c>
      <c r="B971" t="s">
        <v>67</v>
      </c>
      <c r="K971">
        <v>0</v>
      </c>
      <c r="N971" s="72" t="s">
        <v>10</v>
      </c>
      <c r="O971" t="s">
        <v>24</v>
      </c>
      <c r="P971">
        <v>26</v>
      </c>
      <c r="S971"/>
      <c r="T971"/>
    </row>
    <row r="972" spans="1:20" x14ac:dyDescent="0.25">
      <c r="A972" s="86" t="s">
        <v>2246</v>
      </c>
      <c r="B972" t="s">
        <v>161</v>
      </c>
      <c r="C972">
        <v>151</v>
      </c>
      <c r="D972">
        <v>150</v>
      </c>
      <c r="K972">
        <v>301</v>
      </c>
      <c r="N972" s="72" t="s">
        <v>38</v>
      </c>
      <c r="O972" t="s">
        <v>24</v>
      </c>
      <c r="P972">
        <v>52</v>
      </c>
      <c r="Q972" s="131">
        <v>24188</v>
      </c>
      <c r="S972"/>
      <c r="T972"/>
    </row>
    <row r="973" spans="1:20" x14ac:dyDescent="0.25">
      <c r="A973" s="86" t="s">
        <v>212</v>
      </c>
      <c r="B973" t="s">
        <v>162</v>
      </c>
      <c r="E973">
        <v>196</v>
      </c>
      <c r="F973">
        <v>165</v>
      </c>
      <c r="K973">
        <v>361</v>
      </c>
      <c r="N973" s="72" t="s">
        <v>38</v>
      </c>
      <c r="O973" t="s">
        <v>24</v>
      </c>
      <c r="P973">
        <v>66</v>
      </c>
      <c r="Q973" s="131">
        <v>18983</v>
      </c>
      <c r="S973"/>
      <c r="T973"/>
    </row>
    <row r="974" spans="1:20" x14ac:dyDescent="0.25">
      <c r="A974" s="86" t="s">
        <v>1514</v>
      </c>
      <c r="B974" t="s">
        <v>157</v>
      </c>
      <c r="D974">
        <v>92</v>
      </c>
      <c r="E974">
        <v>163</v>
      </c>
      <c r="F974">
        <v>96</v>
      </c>
      <c r="K974">
        <v>351</v>
      </c>
      <c r="N974" s="72" t="s">
        <v>155</v>
      </c>
      <c r="O974" t="s">
        <v>23</v>
      </c>
      <c r="P974">
        <v>40</v>
      </c>
      <c r="Q974" s="131">
        <v>28453</v>
      </c>
      <c r="S974"/>
      <c r="T974"/>
    </row>
    <row r="975" spans="1:20" x14ac:dyDescent="0.25">
      <c r="A975" s="86" t="s">
        <v>614</v>
      </c>
      <c r="B975" t="s">
        <v>156</v>
      </c>
      <c r="K975">
        <v>0</v>
      </c>
      <c r="N975" s="72" t="s">
        <v>38</v>
      </c>
      <c r="O975" t="s">
        <v>23</v>
      </c>
      <c r="P975">
        <v>30</v>
      </c>
      <c r="S975"/>
      <c r="T975"/>
    </row>
    <row r="976" spans="1:20" x14ac:dyDescent="0.25">
      <c r="A976" s="86" t="s">
        <v>856</v>
      </c>
      <c r="B976" t="s">
        <v>161</v>
      </c>
      <c r="K976">
        <v>0</v>
      </c>
      <c r="N976" s="72" t="s">
        <v>43</v>
      </c>
      <c r="O976" t="s">
        <v>24</v>
      </c>
      <c r="P976">
        <v>51</v>
      </c>
      <c r="Q976" s="131">
        <v>24195</v>
      </c>
      <c r="S976"/>
      <c r="T976"/>
    </row>
    <row r="977" spans="1:20" x14ac:dyDescent="0.25">
      <c r="A977" s="86" t="s">
        <v>886</v>
      </c>
      <c r="B977" t="s">
        <v>161</v>
      </c>
      <c r="K977">
        <v>0</v>
      </c>
      <c r="N977" s="72" t="s">
        <v>63</v>
      </c>
      <c r="O977" t="s">
        <v>24</v>
      </c>
      <c r="P977">
        <v>51</v>
      </c>
      <c r="S977"/>
      <c r="T977"/>
    </row>
    <row r="978" spans="1:20" x14ac:dyDescent="0.25">
      <c r="A978" s="86" t="s">
        <v>2402</v>
      </c>
      <c r="B978" t="s">
        <v>158</v>
      </c>
      <c r="E978">
        <v>182</v>
      </c>
      <c r="K978">
        <v>182</v>
      </c>
      <c r="N978" s="72" t="s">
        <v>38</v>
      </c>
      <c r="O978" t="s">
        <v>23</v>
      </c>
      <c r="P978">
        <v>47</v>
      </c>
      <c r="Q978" s="131">
        <v>25781</v>
      </c>
      <c r="S978"/>
      <c r="T978"/>
    </row>
    <row r="979" spans="1:20" x14ac:dyDescent="0.25">
      <c r="A979" s="86" t="s">
        <v>1900</v>
      </c>
      <c r="B979" t="s">
        <v>157</v>
      </c>
      <c r="E979">
        <v>45</v>
      </c>
      <c r="K979">
        <v>45</v>
      </c>
      <c r="N979" s="72" t="s">
        <v>14</v>
      </c>
      <c r="O979" t="s">
        <v>23</v>
      </c>
      <c r="P979">
        <v>39</v>
      </c>
      <c r="Q979" s="131">
        <v>28775</v>
      </c>
      <c r="S979"/>
      <c r="T979"/>
    </row>
    <row r="980" spans="1:20" x14ac:dyDescent="0.25">
      <c r="A980" s="86" t="s">
        <v>2278</v>
      </c>
      <c r="B980" t="s">
        <v>157</v>
      </c>
      <c r="D980">
        <v>13</v>
      </c>
      <c r="K980">
        <v>13</v>
      </c>
      <c r="N980" s="72" t="s">
        <v>1805</v>
      </c>
      <c r="O980" t="s">
        <v>23</v>
      </c>
      <c r="P980">
        <v>35</v>
      </c>
      <c r="Q980" s="131">
        <v>30477</v>
      </c>
      <c r="S980"/>
      <c r="T980"/>
    </row>
    <row r="981" spans="1:20" x14ac:dyDescent="0.25">
      <c r="A981" s="86" t="s">
        <v>1747</v>
      </c>
      <c r="B981" t="s">
        <v>161</v>
      </c>
      <c r="D981">
        <v>153</v>
      </c>
      <c r="K981">
        <v>153</v>
      </c>
      <c r="N981" s="72" t="s">
        <v>505</v>
      </c>
      <c r="O981" t="s">
        <v>24</v>
      </c>
      <c r="P981">
        <v>57</v>
      </c>
      <c r="Q981" s="131">
        <v>22210</v>
      </c>
      <c r="S981"/>
      <c r="T981"/>
    </row>
    <row r="982" spans="1:20" x14ac:dyDescent="0.25">
      <c r="A982" s="86" t="s">
        <v>1823</v>
      </c>
      <c r="B982" t="s">
        <v>67</v>
      </c>
      <c r="K982">
        <v>0</v>
      </c>
      <c r="N982" s="72" t="s">
        <v>1805</v>
      </c>
      <c r="O982" t="s">
        <v>24</v>
      </c>
      <c r="P982">
        <v>30</v>
      </c>
      <c r="Q982" s="131">
        <v>31910</v>
      </c>
      <c r="S982"/>
      <c r="T982"/>
    </row>
    <row r="983" spans="1:20" x14ac:dyDescent="0.25">
      <c r="A983" s="86" t="s">
        <v>969</v>
      </c>
      <c r="B983" t="s">
        <v>67</v>
      </c>
      <c r="K983">
        <v>0</v>
      </c>
      <c r="N983" s="72" t="s">
        <v>38</v>
      </c>
      <c r="O983" t="s">
        <v>24</v>
      </c>
      <c r="P983">
        <v>39</v>
      </c>
      <c r="S983"/>
      <c r="T983"/>
    </row>
    <row r="984" spans="1:20" x14ac:dyDescent="0.25">
      <c r="A984" s="86" t="s">
        <v>700</v>
      </c>
      <c r="B984" t="s">
        <v>160</v>
      </c>
      <c r="K984">
        <v>0</v>
      </c>
      <c r="N984" s="72" t="s">
        <v>653</v>
      </c>
      <c r="O984" t="s">
        <v>24</v>
      </c>
      <c r="P984">
        <v>39</v>
      </c>
      <c r="S984"/>
      <c r="T984"/>
    </row>
    <row r="985" spans="1:20" x14ac:dyDescent="0.25">
      <c r="A985" s="86" t="s">
        <v>265</v>
      </c>
      <c r="B985" t="s">
        <v>67</v>
      </c>
      <c r="K985">
        <v>0</v>
      </c>
      <c r="N985" s="72" t="s">
        <v>108</v>
      </c>
      <c r="O985" t="s">
        <v>24</v>
      </c>
      <c r="P985">
        <v>39</v>
      </c>
      <c r="S985"/>
      <c r="T985"/>
    </row>
    <row r="986" spans="1:20" x14ac:dyDescent="0.25">
      <c r="A986" s="86" t="s">
        <v>300</v>
      </c>
      <c r="B986" t="s">
        <v>161</v>
      </c>
      <c r="C986">
        <v>63</v>
      </c>
      <c r="D986">
        <v>55</v>
      </c>
      <c r="E986">
        <v>82</v>
      </c>
      <c r="F986">
        <v>78</v>
      </c>
      <c r="K986">
        <v>278</v>
      </c>
      <c r="N986" s="72" t="s">
        <v>43</v>
      </c>
      <c r="O986" t="s">
        <v>24</v>
      </c>
      <c r="P986">
        <v>50</v>
      </c>
      <c r="Q986" s="131">
        <v>24838</v>
      </c>
      <c r="S986"/>
      <c r="T986"/>
    </row>
    <row r="987" spans="1:20" x14ac:dyDescent="0.25">
      <c r="A987" s="86" t="s">
        <v>357</v>
      </c>
      <c r="B987" t="s">
        <v>161</v>
      </c>
      <c r="K987">
        <v>0</v>
      </c>
      <c r="N987" s="72" t="s">
        <v>12</v>
      </c>
      <c r="O987" t="s">
        <v>24</v>
      </c>
      <c r="P987">
        <v>59</v>
      </c>
      <c r="Q987" s="131">
        <v>21085</v>
      </c>
      <c r="S987"/>
      <c r="T987"/>
    </row>
    <row r="988" spans="1:20" x14ac:dyDescent="0.25">
      <c r="A988" s="86" t="s">
        <v>1147</v>
      </c>
      <c r="B988" t="s">
        <v>67</v>
      </c>
      <c r="K988">
        <v>0</v>
      </c>
      <c r="N988" s="72" t="s">
        <v>1148</v>
      </c>
      <c r="O988" t="s">
        <v>24</v>
      </c>
      <c r="P988">
        <v>32</v>
      </c>
      <c r="S988"/>
      <c r="T988"/>
    </row>
    <row r="989" spans="1:20" x14ac:dyDescent="0.25">
      <c r="A989" s="86" t="s">
        <v>305</v>
      </c>
      <c r="B989" t="s">
        <v>160</v>
      </c>
      <c r="K989">
        <v>0</v>
      </c>
      <c r="N989" s="72" t="s">
        <v>1400</v>
      </c>
      <c r="O989" t="s">
        <v>24</v>
      </c>
      <c r="P989">
        <v>46</v>
      </c>
      <c r="Q989" s="131" t="s">
        <v>2057</v>
      </c>
      <c r="S989"/>
      <c r="T989"/>
    </row>
    <row r="990" spans="1:20" x14ac:dyDescent="0.25">
      <c r="A990" s="86" t="s">
        <v>268</v>
      </c>
      <c r="B990" t="s">
        <v>67</v>
      </c>
      <c r="K990">
        <v>0</v>
      </c>
      <c r="N990" s="72" t="s">
        <v>43</v>
      </c>
      <c r="O990" t="s">
        <v>24</v>
      </c>
      <c r="P990">
        <v>35</v>
      </c>
      <c r="S990"/>
      <c r="T990"/>
    </row>
    <row r="991" spans="1:20" x14ac:dyDescent="0.25">
      <c r="A991" s="86" t="s">
        <v>978</v>
      </c>
      <c r="B991" t="s">
        <v>159</v>
      </c>
      <c r="K991">
        <v>0</v>
      </c>
      <c r="N991" s="72" t="s">
        <v>108</v>
      </c>
      <c r="O991" t="s">
        <v>23</v>
      </c>
      <c r="P991">
        <v>61</v>
      </c>
      <c r="Q991" s="131" t="s">
        <v>2091</v>
      </c>
      <c r="S991"/>
      <c r="T991"/>
    </row>
    <row r="992" spans="1:20" x14ac:dyDescent="0.25">
      <c r="A992" s="86" t="s">
        <v>449</v>
      </c>
      <c r="B992" t="s">
        <v>158</v>
      </c>
      <c r="K992">
        <v>0</v>
      </c>
      <c r="N992" s="72" t="s">
        <v>12</v>
      </c>
      <c r="O992" t="s">
        <v>23</v>
      </c>
      <c r="P992">
        <v>45</v>
      </c>
      <c r="S992"/>
      <c r="T992"/>
    </row>
    <row r="993" spans="1:20" x14ac:dyDescent="0.25">
      <c r="A993" s="86" t="s">
        <v>2244</v>
      </c>
      <c r="B993" t="s">
        <v>158</v>
      </c>
      <c r="C993">
        <v>90</v>
      </c>
      <c r="D993">
        <v>77</v>
      </c>
      <c r="F993">
        <v>81</v>
      </c>
      <c r="K993">
        <v>248</v>
      </c>
      <c r="N993" s="72" t="s">
        <v>38</v>
      </c>
      <c r="O993" t="s">
        <v>23</v>
      </c>
      <c r="P993">
        <v>54</v>
      </c>
      <c r="Q993" s="131">
        <v>23478</v>
      </c>
      <c r="S993"/>
      <c r="T993"/>
    </row>
    <row r="994" spans="1:20" x14ac:dyDescent="0.25">
      <c r="A994" s="86" t="s">
        <v>2044</v>
      </c>
      <c r="B994" t="s">
        <v>158</v>
      </c>
      <c r="C994">
        <v>68</v>
      </c>
      <c r="K994">
        <v>68</v>
      </c>
      <c r="N994" s="72" t="s">
        <v>1805</v>
      </c>
      <c r="O994" t="s">
        <v>23</v>
      </c>
      <c r="P994">
        <v>53</v>
      </c>
      <c r="Q994" s="131">
        <v>23600</v>
      </c>
      <c r="S994"/>
      <c r="T994"/>
    </row>
    <row r="995" spans="1:20" x14ac:dyDescent="0.25">
      <c r="A995" s="86" t="s">
        <v>2462</v>
      </c>
      <c r="B995" t="s">
        <v>157</v>
      </c>
      <c r="F995">
        <v>19</v>
      </c>
      <c r="K995">
        <v>19</v>
      </c>
      <c r="N995" s="72" t="s">
        <v>12</v>
      </c>
      <c r="O995" t="s">
        <v>23</v>
      </c>
      <c r="P995">
        <v>36</v>
      </c>
      <c r="Q995" s="131">
        <v>29917</v>
      </c>
      <c r="S995"/>
      <c r="T995"/>
    </row>
    <row r="996" spans="1:20" x14ac:dyDescent="0.25">
      <c r="A996" s="86" t="s">
        <v>1936</v>
      </c>
      <c r="B996" t="s">
        <v>161</v>
      </c>
      <c r="F996">
        <v>162</v>
      </c>
      <c r="K996">
        <v>162</v>
      </c>
      <c r="N996" s="72" t="s">
        <v>12</v>
      </c>
      <c r="O996" t="s">
        <v>24</v>
      </c>
      <c r="P996">
        <v>53</v>
      </c>
      <c r="Q996" s="131">
        <v>23611</v>
      </c>
      <c r="S996"/>
      <c r="T996"/>
    </row>
    <row r="997" spans="1:20" x14ac:dyDescent="0.25">
      <c r="A997" s="86" t="s">
        <v>1184</v>
      </c>
      <c r="B997" t="s">
        <v>157</v>
      </c>
      <c r="K997">
        <v>0</v>
      </c>
      <c r="N997" s="72" t="s">
        <v>43</v>
      </c>
      <c r="O997" t="s">
        <v>23</v>
      </c>
      <c r="P997">
        <v>40</v>
      </c>
      <c r="Q997" s="131">
        <v>28014</v>
      </c>
      <c r="S997"/>
      <c r="T997"/>
    </row>
    <row r="998" spans="1:20" x14ac:dyDescent="0.25">
      <c r="A998" s="86" t="s">
        <v>1474</v>
      </c>
      <c r="B998" t="s">
        <v>157</v>
      </c>
      <c r="K998">
        <v>0</v>
      </c>
      <c r="N998" s="72" t="s">
        <v>1923</v>
      </c>
      <c r="O998" t="s">
        <v>23</v>
      </c>
      <c r="P998">
        <v>35</v>
      </c>
      <c r="Q998" s="131">
        <v>30092</v>
      </c>
      <c r="S998"/>
      <c r="T998"/>
    </row>
    <row r="999" spans="1:20" x14ac:dyDescent="0.25">
      <c r="A999" s="86" t="s">
        <v>1738</v>
      </c>
      <c r="B999" t="s">
        <v>156</v>
      </c>
      <c r="K999">
        <v>0</v>
      </c>
      <c r="N999" s="72" t="s">
        <v>155</v>
      </c>
      <c r="O999" t="s">
        <v>23</v>
      </c>
      <c r="P999">
        <v>22</v>
      </c>
      <c r="Q999" s="131">
        <v>34588</v>
      </c>
      <c r="S999"/>
      <c r="T999"/>
    </row>
    <row r="1000" spans="1:20" x14ac:dyDescent="0.25">
      <c r="A1000" s="86" t="s">
        <v>1882</v>
      </c>
      <c r="B1000" t="s">
        <v>156</v>
      </c>
      <c r="D1000">
        <v>106</v>
      </c>
      <c r="E1000">
        <v>187</v>
      </c>
      <c r="K1000">
        <v>293</v>
      </c>
      <c r="N1000" s="72" t="s">
        <v>155</v>
      </c>
      <c r="O1000" t="s">
        <v>23</v>
      </c>
      <c r="P1000">
        <v>30</v>
      </c>
      <c r="Q1000" s="131">
        <v>32155</v>
      </c>
      <c r="S1000"/>
      <c r="T1000"/>
    </row>
    <row r="1001" spans="1:20" x14ac:dyDescent="0.25">
      <c r="A1001" s="86" t="s">
        <v>751</v>
      </c>
      <c r="B1001" t="s">
        <v>67</v>
      </c>
      <c r="K1001">
        <v>0</v>
      </c>
      <c r="N1001" s="72" t="s">
        <v>657</v>
      </c>
      <c r="O1001" t="s">
        <v>24</v>
      </c>
      <c r="P1001">
        <v>30</v>
      </c>
      <c r="S1001"/>
      <c r="T1001"/>
    </row>
    <row r="1002" spans="1:20" x14ac:dyDescent="0.25">
      <c r="A1002" s="86" t="s">
        <v>525</v>
      </c>
      <c r="B1002" t="s">
        <v>160</v>
      </c>
      <c r="C1002">
        <v>148</v>
      </c>
      <c r="E1002">
        <v>193</v>
      </c>
      <c r="F1002">
        <v>161</v>
      </c>
      <c r="K1002">
        <v>502</v>
      </c>
      <c r="N1002" s="72" t="s">
        <v>43</v>
      </c>
      <c r="O1002" t="s">
        <v>24</v>
      </c>
      <c r="P1002">
        <v>42</v>
      </c>
      <c r="Q1002" s="131">
        <v>27894</v>
      </c>
      <c r="S1002"/>
      <c r="T1002"/>
    </row>
    <row r="1003" spans="1:20" x14ac:dyDescent="0.25">
      <c r="A1003" s="86" t="s">
        <v>273</v>
      </c>
      <c r="B1003" t="s">
        <v>156</v>
      </c>
      <c r="K1003">
        <v>0</v>
      </c>
      <c r="N1003" s="72" t="s">
        <v>108</v>
      </c>
      <c r="O1003" t="s">
        <v>23</v>
      </c>
      <c r="P1003">
        <v>28</v>
      </c>
      <c r="S1003"/>
      <c r="T1003"/>
    </row>
    <row r="1004" spans="1:20" x14ac:dyDescent="0.25">
      <c r="A1004" s="86" t="s">
        <v>760</v>
      </c>
      <c r="B1004" t="s">
        <v>67</v>
      </c>
      <c r="K1004">
        <v>0</v>
      </c>
      <c r="N1004" s="72" t="s">
        <v>39</v>
      </c>
      <c r="O1004" t="s">
        <v>24</v>
      </c>
      <c r="P1004">
        <v>23</v>
      </c>
      <c r="S1004"/>
      <c r="T1004"/>
    </row>
    <row r="1005" spans="1:20" x14ac:dyDescent="0.25">
      <c r="A1005" s="86" t="s">
        <v>936</v>
      </c>
      <c r="B1005" t="s">
        <v>159</v>
      </c>
      <c r="K1005">
        <v>0</v>
      </c>
      <c r="N1005" s="72" t="s">
        <v>14</v>
      </c>
      <c r="O1005" t="s">
        <v>23</v>
      </c>
      <c r="P1005">
        <v>55</v>
      </c>
      <c r="S1005"/>
      <c r="T1005"/>
    </row>
    <row r="1006" spans="1:20" x14ac:dyDescent="0.25">
      <c r="A1006" s="86" t="s">
        <v>1721</v>
      </c>
      <c r="B1006" t="s">
        <v>160</v>
      </c>
      <c r="K1006">
        <v>0</v>
      </c>
      <c r="N1006" s="72" t="s">
        <v>154</v>
      </c>
      <c r="O1006" t="s">
        <v>24</v>
      </c>
      <c r="P1006">
        <v>45</v>
      </c>
      <c r="Q1006" s="131">
        <v>26140</v>
      </c>
      <c r="S1006"/>
      <c r="T1006"/>
    </row>
    <row r="1007" spans="1:20" x14ac:dyDescent="0.25">
      <c r="A1007" s="86" t="s">
        <v>1575</v>
      </c>
      <c r="B1007" t="s">
        <v>161</v>
      </c>
      <c r="F1007">
        <v>102</v>
      </c>
      <c r="K1007">
        <v>102</v>
      </c>
      <c r="N1007" s="72" t="s">
        <v>12</v>
      </c>
      <c r="O1007" t="s">
        <v>24</v>
      </c>
      <c r="P1007">
        <v>56</v>
      </c>
      <c r="Q1007" s="131">
        <v>22797</v>
      </c>
      <c r="S1007"/>
      <c r="T1007"/>
    </row>
    <row r="1008" spans="1:20" x14ac:dyDescent="0.25">
      <c r="A1008" s="86" t="s">
        <v>1133</v>
      </c>
      <c r="B1008" t="s">
        <v>158</v>
      </c>
      <c r="D1008">
        <v>70</v>
      </c>
      <c r="E1008">
        <v>116</v>
      </c>
      <c r="K1008">
        <v>186</v>
      </c>
      <c r="N1008" s="72" t="s">
        <v>38</v>
      </c>
      <c r="O1008" t="s">
        <v>23</v>
      </c>
      <c r="P1008">
        <v>48</v>
      </c>
      <c r="Q1008" s="131">
        <v>25468</v>
      </c>
      <c r="S1008"/>
      <c r="T1008"/>
    </row>
    <row r="1009" spans="1:20" x14ac:dyDescent="0.25">
      <c r="A1009" s="86" t="s">
        <v>2135</v>
      </c>
      <c r="B1009" t="s">
        <v>156</v>
      </c>
      <c r="K1009">
        <v>0</v>
      </c>
      <c r="N1009" s="72" t="s">
        <v>505</v>
      </c>
      <c r="O1009" t="s">
        <v>23</v>
      </c>
      <c r="P1009">
        <v>32</v>
      </c>
      <c r="Q1009" s="131">
        <v>31049</v>
      </c>
      <c r="S1009"/>
      <c r="T1009"/>
    </row>
    <row r="1010" spans="1:20" x14ac:dyDescent="0.25">
      <c r="A1010" s="86" t="s">
        <v>1513</v>
      </c>
      <c r="B1010" t="s">
        <v>158</v>
      </c>
      <c r="C1010">
        <v>82</v>
      </c>
      <c r="E1010">
        <v>140</v>
      </c>
      <c r="F1010">
        <v>76</v>
      </c>
      <c r="K1010">
        <v>298</v>
      </c>
      <c r="N1010" s="72" t="s">
        <v>108</v>
      </c>
      <c r="O1010" t="s">
        <v>23</v>
      </c>
      <c r="P1010">
        <v>50</v>
      </c>
      <c r="Q1010" s="131">
        <v>24693</v>
      </c>
      <c r="S1010"/>
      <c r="T1010"/>
    </row>
    <row r="1011" spans="1:20" x14ac:dyDescent="0.25">
      <c r="A1011" s="86" t="s">
        <v>2400</v>
      </c>
      <c r="B1011" t="s">
        <v>157</v>
      </c>
      <c r="E1011">
        <v>180</v>
      </c>
      <c r="K1011">
        <v>180</v>
      </c>
      <c r="N1011" s="72" t="s">
        <v>505</v>
      </c>
      <c r="O1011" t="s">
        <v>23</v>
      </c>
      <c r="P1011">
        <v>40</v>
      </c>
      <c r="Q1011" s="131">
        <v>28358</v>
      </c>
      <c r="S1011"/>
      <c r="T1011"/>
    </row>
    <row r="1012" spans="1:20" x14ac:dyDescent="0.25">
      <c r="A1012" s="86" t="s">
        <v>201</v>
      </c>
      <c r="B1012" t="s">
        <v>156</v>
      </c>
      <c r="K1012">
        <v>0</v>
      </c>
      <c r="N1012" s="72" t="s">
        <v>38</v>
      </c>
      <c r="O1012" t="s">
        <v>23</v>
      </c>
      <c r="P1012">
        <v>27</v>
      </c>
      <c r="S1012"/>
      <c r="T1012"/>
    </row>
    <row r="1013" spans="1:20" x14ac:dyDescent="0.25">
      <c r="A1013" s="86" t="s">
        <v>439</v>
      </c>
      <c r="B1013" t="s">
        <v>156</v>
      </c>
      <c r="K1013">
        <v>0</v>
      </c>
      <c r="N1013" s="72" t="s">
        <v>12</v>
      </c>
      <c r="O1013" t="s">
        <v>23</v>
      </c>
      <c r="P1013">
        <v>29</v>
      </c>
      <c r="S1013"/>
      <c r="T1013"/>
    </row>
    <row r="1014" spans="1:20" x14ac:dyDescent="0.25">
      <c r="A1014" s="86" t="s">
        <v>1171</v>
      </c>
      <c r="B1014" t="s">
        <v>158</v>
      </c>
      <c r="K1014">
        <v>0</v>
      </c>
      <c r="N1014" s="72" t="s">
        <v>38</v>
      </c>
      <c r="O1014" t="s">
        <v>23</v>
      </c>
      <c r="P1014">
        <v>48</v>
      </c>
      <c r="Q1014" s="131">
        <v>25421</v>
      </c>
      <c r="S1014"/>
      <c r="T1014"/>
    </row>
    <row r="1015" spans="1:20" x14ac:dyDescent="0.25">
      <c r="A1015" s="86" t="s">
        <v>1765</v>
      </c>
      <c r="B1015" t="s">
        <v>156</v>
      </c>
      <c r="K1015">
        <v>0</v>
      </c>
      <c r="N1015" s="72" t="s">
        <v>38</v>
      </c>
      <c r="O1015" t="s">
        <v>23</v>
      </c>
      <c r="P1015">
        <v>30</v>
      </c>
      <c r="Q1015" s="131">
        <v>31701</v>
      </c>
      <c r="S1015"/>
      <c r="T1015"/>
    </row>
    <row r="1016" spans="1:20" x14ac:dyDescent="0.25">
      <c r="A1016" s="86" t="s">
        <v>2369</v>
      </c>
      <c r="B1016" t="s">
        <v>156</v>
      </c>
      <c r="E1016">
        <v>96</v>
      </c>
      <c r="K1016">
        <v>96</v>
      </c>
      <c r="N1016" s="72" t="s">
        <v>505</v>
      </c>
      <c r="O1016" t="s">
        <v>23</v>
      </c>
      <c r="P1016">
        <v>27</v>
      </c>
      <c r="Q1016" s="131">
        <v>33179</v>
      </c>
      <c r="S1016"/>
      <c r="T1016"/>
    </row>
    <row r="1017" spans="1:20" x14ac:dyDescent="0.25">
      <c r="A1017" s="86" t="s">
        <v>1009</v>
      </c>
      <c r="B1017" t="s">
        <v>156</v>
      </c>
      <c r="K1017">
        <v>0</v>
      </c>
      <c r="N1017" s="72" t="s">
        <v>1324</v>
      </c>
      <c r="O1017" t="s">
        <v>23</v>
      </c>
      <c r="P1017">
        <v>30</v>
      </c>
      <c r="S1017"/>
      <c r="T1017"/>
    </row>
    <row r="1018" spans="1:20" x14ac:dyDescent="0.25">
      <c r="A1018" s="86" t="s">
        <v>514</v>
      </c>
      <c r="B1018" t="s">
        <v>156</v>
      </c>
      <c r="K1018">
        <v>0</v>
      </c>
      <c r="N1018" s="72" t="s">
        <v>12</v>
      </c>
      <c r="O1018" t="s">
        <v>23</v>
      </c>
      <c r="P1018">
        <v>25</v>
      </c>
      <c r="S1018"/>
      <c r="T1018"/>
    </row>
    <row r="1019" spans="1:20" x14ac:dyDescent="0.25">
      <c r="A1019" s="86" t="s">
        <v>2026</v>
      </c>
      <c r="B1019" t="s">
        <v>156</v>
      </c>
      <c r="K1019">
        <v>0</v>
      </c>
      <c r="N1019" s="72" t="s">
        <v>38</v>
      </c>
      <c r="O1019" t="s">
        <v>23</v>
      </c>
      <c r="P1019">
        <v>30</v>
      </c>
      <c r="Q1019" s="131">
        <v>31701</v>
      </c>
      <c r="S1019"/>
      <c r="T1019"/>
    </row>
    <row r="1020" spans="1:20" x14ac:dyDescent="0.25">
      <c r="A1020" s="86" t="s">
        <v>748</v>
      </c>
      <c r="B1020" t="s">
        <v>156</v>
      </c>
      <c r="K1020">
        <v>0</v>
      </c>
      <c r="N1020" s="72" t="s">
        <v>1138</v>
      </c>
      <c r="O1020" t="s">
        <v>23</v>
      </c>
      <c r="P1020">
        <v>30</v>
      </c>
      <c r="S1020"/>
      <c r="T1020"/>
    </row>
    <row r="1021" spans="1:20" x14ac:dyDescent="0.25">
      <c r="A1021" s="86" t="s">
        <v>296</v>
      </c>
      <c r="B1021" t="s">
        <v>157</v>
      </c>
      <c r="K1021">
        <v>0</v>
      </c>
      <c r="N1021" s="72" t="s">
        <v>38</v>
      </c>
      <c r="O1021" t="s">
        <v>23</v>
      </c>
      <c r="P1021">
        <v>39</v>
      </c>
      <c r="Q1021" s="131">
        <v>28195</v>
      </c>
      <c r="S1021"/>
      <c r="T1021"/>
    </row>
    <row r="1022" spans="1:20" x14ac:dyDescent="0.25">
      <c r="A1022" s="86" t="s">
        <v>1697</v>
      </c>
      <c r="B1022" t="s">
        <v>156</v>
      </c>
      <c r="K1022">
        <v>0</v>
      </c>
      <c r="N1022" s="72" t="s">
        <v>1730</v>
      </c>
      <c r="O1022" t="s">
        <v>23</v>
      </c>
      <c r="P1022">
        <v>26</v>
      </c>
      <c r="Q1022" s="131">
        <v>32921</v>
      </c>
      <c r="S1022"/>
      <c r="T1022"/>
    </row>
    <row r="1023" spans="1:20" x14ac:dyDescent="0.25">
      <c r="A1023" s="86" t="s">
        <v>1378</v>
      </c>
      <c r="B1023" t="s">
        <v>156</v>
      </c>
      <c r="K1023">
        <v>0</v>
      </c>
      <c r="N1023" s="72" t="s">
        <v>12</v>
      </c>
      <c r="O1023" t="s">
        <v>23</v>
      </c>
      <c r="P1023">
        <v>28</v>
      </c>
      <c r="Q1023" s="131">
        <v>32547</v>
      </c>
      <c r="S1023"/>
      <c r="T1023"/>
    </row>
    <row r="1024" spans="1:20" x14ac:dyDescent="0.25">
      <c r="A1024" s="86" t="s">
        <v>1645</v>
      </c>
      <c r="B1024" t="s">
        <v>156</v>
      </c>
      <c r="K1024">
        <v>0</v>
      </c>
      <c r="N1024" s="72" t="s">
        <v>1646</v>
      </c>
      <c r="O1024" t="s">
        <v>23</v>
      </c>
      <c r="P1024">
        <v>27</v>
      </c>
      <c r="Q1024" s="131">
        <v>32690</v>
      </c>
      <c r="S1024"/>
      <c r="T1024"/>
    </row>
    <row r="1025" spans="1:20" x14ac:dyDescent="0.25">
      <c r="A1025" s="86" t="s">
        <v>2284</v>
      </c>
      <c r="B1025" t="s">
        <v>156</v>
      </c>
      <c r="D1025">
        <v>40</v>
      </c>
      <c r="E1025">
        <v>61</v>
      </c>
      <c r="K1025">
        <v>101</v>
      </c>
      <c r="N1025" s="72" t="s">
        <v>505</v>
      </c>
      <c r="O1025" t="s">
        <v>23</v>
      </c>
      <c r="P1025">
        <v>30</v>
      </c>
      <c r="Q1025" s="131">
        <v>32228</v>
      </c>
      <c r="S1025"/>
      <c r="T1025"/>
    </row>
    <row r="1026" spans="1:20" x14ac:dyDescent="0.25">
      <c r="A1026" s="86" t="s">
        <v>1099</v>
      </c>
      <c r="B1026" t="s">
        <v>156</v>
      </c>
      <c r="K1026">
        <v>0</v>
      </c>
      <c r="N1026" s="72" t="s">
        <v>12</v>
      </c>
      <c r="O1026" t="s">
        <v>851</v>
      </c>
      <c r="P1026">
        <v>28</v>
      </c>
      <c r="Q1026" s="131">
        <v>32367</v>
      </c>
      <c r="S1026"/>
      <c r="T1026"/>
    </row>
    <row r="1027" spans="1:20" x14ac:dyDescent="0.25">
      <c r="A1027" s="86" t="s">
        <v>1671</v>
      </c>
      <c r="B1027" t="s">
        <v>156</v>
      </c>
      <c r="K1027">
        <v>0</v>
      </c>
      <c r="N1027" s="72" t="s">
        <v>10</v>
      </c>
      <c r="O1027" t="s">
        <v>23</v>
      </c>
      <c r="P1027">
        <v>31</v>
      </c>
      <c r="S1027"/>
      <c r="T1027"/>
    </row>
    <row r="1028" spans="1:20" x14ac:dyDescent="0.25">
      <c r="A1028" s="86" t="s">
        <v>1111</v>
      </c>
      <c r="B1028" t="s">
        <v>158</v>
      </c>
      <c r="K1028">
        <v>0</v>
      </c>
      <c r="N1028" s="72" t="s">
        <v>12</v>
      </c>
      <c r="O1028" t="s">
        <v>23</v>
      </c>
      <c r="P1028">
        <v>48</v>
      </c>
      <c r="S1028"/>
      <c r="T1028"/>
    </row>
    <row r="1029" spans="1:20" x14ac:dyDescent="0.25">
      <c r="A1029" s="86" t="s">
        <v>2345</v>
      </c>
      <c r="B1029" t="s">
        <v>156</v>
      </c>
      <c r="E1029">
        <v>37</v>
      </c>
      <c r="K1029">
        <v>37</v>
      </c>
      <c r="N1029" s="72" t="s">
        <v>12</v>
      </c>
      <c r="O1029" t="s">
        <v>23</v>
      </c>
      <c r="P1029">
        <v>29</v>
      </c>
      <c r="Q1029" s="131">
        <v>32367</v>
      </c>
      <c r="S1029"/>
      <c r="T1029"/>
    </row>
    <row r="1030" spans="1:20" x14ac:dyDescent="0.25">
      <c r="A1030" s="86" t="s">
        <v>971</v>
      </c>
      <c r="B1030" t="s">
        <v>156</v>
      </c>
      <c r="K1030">
        <v>0</v>
      </c>
      <c r="N1030" s="72" t="s">
        <v>38</v>
      </c>
      <c r="O1030" t="s">
        <v>23</v>
      </c>
      <c r="P1030">
        <v>29</v>
      </c>
      <c r="S1030"/>
      <c r="T1030"/>
    </row>
    <row r="1031" spans="1:20" x14ac:dyDescent="0.25">
      <c r="A1031" s="86" t="s">
        <v>2358</v>
      </c>
      <c r="B1031" t="s">
        <v>156</v>
      </c>
      <c r="E1031">
        <v>66</v>
      </c>
      <c r="K1031">
        <v>66</v>
      </c>
      <c r="N1031" s="72" t="s">
        <v>505</v>
      </c>
      <c r="O1031" t="s">
        <v>23</v>
      </c>
      <c r="P1031">
        <v>30</v>
      </c>
      <c r="Q1031" s="131">
        <v>32109</v>
      </c>
      <c r="S1031"/>
      <c r="T1031"/>
    </row>
    <row r="1032" spans="1:20" x14ac:dyDescent="0.25">
      <c r="A1032" s="86" t="s">
        <v>1686</v>
      </c>
      <c r="B1032" t="s">
        <v>156</v>
      </c>
      <c r="K1032">
        <v>0</v>
      </c>
      <c r="N1032" s="72" t="s">
        <v>505</v>
      </c>
      <c r="O1032" t="s">
        <v>23</v>
      </c>
      <c r="P1032">
        <v>32</v>
      </c>
      <c r="Q1032" s="131">
        <v>30822</v>
      </c>
      <c r="S1032"/>
      <c r="T1032"/>
    </row>
    <row r="1033" spans="1:20" x14ac:dyDescent="0.25">
      <c r="A1033" s="86" t="s">
        <v>980</v>
      </c>
      <c r="B1033" t="s">
        <v>67</v>
      </c>
      <c r="K1033">
        <v>0</v>
      </c>
      <c r="N1033" s="72" t="s">
        <v>981</v>
      </c>
      <c r="O1033" t="s">
        <v>24</v>
      </c>
      <c r="P1033">
        <v>23</v>
      </c>
      <c r="S1033"/>
      <c r="T1033"/>
    </row>
    <row r="1034" spans="1:20" x14ac:dyDescent="0.25">
      <c r="A1034" s="86" t="s">
        <v>1644</v>
      </c>
      <c r="B1034" t="s">
        <v>67</v>
      </c>
      <c r="K1034">
        <v>0</v>
      </c>
      <c r="N1034" s="72" t="s">
        <v>505</v>
      </c>
      <c r="O1034" t="s">
        <v>24</v>
      </c>
      <c r="P1034">
        <v>25</v>
      </c>
      <c r="Q1034" s="131">
        <v>33292</v>
      </c>
      <c r="S1034"/>
      <c r="T1034"/>
    </row>
    <row r="1035" spans="1:20" x14ac:dyDescent="0.25">
      <c r="A1035" s="86" t="s">
        <v>1392</v>
      </c>
      <c r="B1035" t="s">
        <v>156</v>
      </c>
      <c r="K1035">
        <v>0</v>
      </c>
      <c r="N1035" s="72" t="s">
        <v>38</v>
      </c>
      <c r="O1035" t="s">
        <v>23</v>
      </c>
      <c r="P1035">
        <v>31</v>
      </c>
      <c r="Q1035" s="131">
        <v>31542</v>
      </c>
      <c r="S1035"/>
      <c r="T1035"/>
    </row>
    <row r="1036" spans="1:20" x14ac:dyDescent="0.25">
      <c r="A1036" s="86" t="s">
        <v>2283</v>
      </c>
      <c r="B1036" t="s">
        <v>158</v>
      </c>
      <c r="D1036">
        <v>67</v>
      </c>
      <c r="K1036">
        <v>67</v>
      </c>
      <c r="N1036" s="72" t="s">
        <v>1805</v>
      </c>
      <c r="O1036" t="s">
        <v>23</v>
      </c>
      <c r="P1036">
        <v>54</v>
      </c>
      <c r="Q1036" s="131">
        <v>23358</v>
      </c>
      <c r="S1036"/>
      <c r="T1036"/>
    </row>
    <row r="1037" spans="1:20" x14ac:dyDescent="0.25">
      <c r="A1037" s="86" t="s">
        <v>2251</v>
      </c>
      <c r="B1037" t="s">
        <v>161</v>
      </c>
      <c r="C1037">
        <v>156</v>
      </c>
      <c r="K1037">
        <v>156</v>
      </c>
      <c r="N1037" s="72" t="s">
        <v>155</v>
      </c>
      <c r="O1037" t="s">
        <v>24</v>
      </c>
      <c r="P1037">
        <v>45</v>
      </c>
      <c r="Q1037" s="131">
        <v>24732</v>
      </c>
      <c r="S1037"/>
      <c r="T1037"/>
    </row>
    <row r="1038" spans="1:20" x14ac:dyDescent="0.25">
      <c r="A1038" s="86" t="s">
        <v>865</v>
      </c>
      <c r="B1038" t="s">
        <v>160</v>
      </c>
      <c r="K1038">
        <v>0</v>
      </c>
      <c r="N1038" s="72" t="s">
        <v>155</v>
      </c>
      <c r="O1038" t="s">
        <v>24</v>
      </c>
      <c r="P1038">
        <v>41</v>
      </c>
      <c r="S1038"/>
      <c r="T1038"/>
    </row>
    <row r="1039" spans="1:20" x14ac:dyDescent="0.25">
      <c r="A1039" s="86" t="s">
        <v>632</v>
      </c>
      <c r="B1039" t="s">
        <v>161</v>
      </c>
      <c r="K1039">
        <v>0</v>
      </c>
      <c r="N1039" s="72" t="s">
        <v>38</v>
      </c>
      <c r="O1039" t="s">
        <v>24</v>
      </c>
      <c r="P1039">
        <v>52</v>
      </c>
      <c r="Q1039" s="131">
        <v>23715</v>
      </c>
      <c r="S1039"/>
      <c r="T1039"/>
    </row>
    <row r="1040" spans="1:20" x14ac:dyDescent="0.25">
      <c r="A1040" s="86" t="s">
        <v>1687</v>
      </c>
      <c r="B1040" t="s">
        <v>160</v>
      </c>
      <c r="K1040">
        <v>0</v>
      </c>
      <c r="N1040" s="72" t="s">
        <v>38</v>
      </c>
      <c r="O1040" t="s">
        <v>24</v>
      </c>
      <c r="P1040">
        <v>41</v>
      </c>
      <c r="Q1040" s="131" t="s">
        <v>2063</v>
      </c>
      <c r="S1040"/>
      <c r="T1040"/>
    </row>
    <row r="1041" spans="1:20" x14ac:dyDescent="0.25">
      <c r="A1041" s="86" t="s">
        <v>1825</v>
      </c>
      <c r="B1041" t="s">
        <v>67</v>
      </c>
      <c r="C1041">
        <v>62</v>
      </c>
      <c r="D1041">
        <v>60</v>
      </c>
      <c r="F1041">
        <v>70</v>
      </c>
      <c r="K1041">
        <v>192</v>
      </c>
      <c r="N1041" s="72" t="s">
        <v>505</v>
      </c>
      <c r="O1041" t="s">
        <v>24</v>
      </c>
      <c r="P1041">
        <v>36</v>
      </c>
      <c r="Q1041" s="131">
        <v>29966</v>
      </c>
      <c r="S1041"/>
      <c r="T1041"/>
    </row>
    <row r="1042" spans="1:20" x14ac:dyDescent="0.25">
      <c r="A1042" s="86" t="s">
        <v>1766</v>
      </c>
      <c r="B1042" t="s">
        <v>160</v>
      </c>
      <c r="K1042">
        <v>0</v>
      </c>
      <c r="N1042" s="72" t="s">
        <v>12</v>
      </c>
      <c r="O1042" t="s">
        <v>24</v>
      </c>
      <c r="P1042">
        <v>48</v>
      </c>
      <c r="Q1042" s="131">
        <v>25019</v>
      </c>
      <c r="S1042"/>
      <c r="T1042"/>
    </row>
    <row r="1043" spans="1:20" x14ac:dyDescent="0.25">
      <c r="A1043" s="86" t="s">
        <v>1864</v>
      </c>
      <c r="B1043" t="s">
        <v>157</v>
      </c>
      <c r="C1043">
        <v>107</v>
      </c>
      <c r="K1043">
        <v>107</v>
      </c>
      <c r="N1043" s="72" t="s">
        <v>63</v>
      </c>
      <c r="O1043" t="s">
        <v>23</v>
      </c>
      <c r="P1043">
        <v>36</v>
      </c>
      <c r="Q1043" s="131">
        <v>29558</v>
      </c>
      <c r="S1043"/>
      <c r="T1043"/>
    </row>
    <row r="1044" spans="1:20" x14ac:dyDescent="0.25">
      <c r="A1044" s="86" t="s">
        <v>1153</v>
      </c>
      <c r="B1044" t="s">
        <v>161</v>
      </c>
      <c r="D1044">
        <v>139</v>
      </c>
      <c r="F1044">
        <v>147</v>
      </c>
      <c r="K1044">
        <v>286</v>
      </c>
      <c r="N1044" s="72" t="s">
        <v>155</v>
      </c>
      <c r="O1044" t="s">
        <v>24</v>
      </c>
      <c r="P1044">
        <v>58</v>
      </c>
      <c r="Q1044" s="131">
        <v>21811</v>
      </c>
      <c r="S1044"/>
      <c r="T1044"/>
    </row>
    <row r="1045" spans="1:20" x14ac:dyDescent="0.25">
      <c r="A1045" s="86" t="s">
        <v>1191</v>
      </c>
      <c r="B1045" t="s">
        <v>158</v>
      </c>
      <c r="D1045">
        <v>48</v>
      </c>
      <c r="K1045">
        <v>48</v>
      </c>
      <c r="N1045" s="72" t="s">
        <v>38</v>
      </c>
      <c r="O1045" t="s">
        <v>23</v>
      </c>
      <c r="P1045">
        <v>54</v>
      </c>
      <c r="Q1045" s="131">
        <v>23483</v>
      </c>
      <c r="S1045"/>
      <c r="T1045"/>
    </row>
    <row r="1046" spans="1:20" x14ac:dyDescent="0.25">
      <c r="A1046" s="86" t="s">
        <v>568</v>
      </c>
      <c r="B1046" t="s">
        <v>161</v>
      </c>
      <c r="K1046">
        <v>0</v>
      </c>
      <c r="N1046" s="72" t="s">
        <v>154</v>
      </c>
      <c r="O1046" s="48" t="s">
        <v>852</v>
      </c>
      <c r="P1046">
        <v>56</v>
      </c>
      <c r="S1046"/>
      <c r="T1046"/>
    </row>
    <row r="1047" spans="1:20" x14ac:dyDescent="0.25">
      <c r="A1047" s="86" t="s">
        <v>636</v>
      </c>
      <c r="B1047" t="s">
        <v>159</v>
      </c>
      <c r="K1047">
        <v>0</v>
      </c>
      <c r="N1047" s="72" t="s">
        <v>63</v>
      </c>
      <c r="O1047" t="s">
        <v>23</v>
      </c>
      <c r="P1047">
        <v>59</v>
      </c>
      <c r="Q1047" s="131">
        <v>20896</v>
      </c>
      <c r="S1047"/>
      <c r="T1047"/>
    </row>
    <row r="1048" spans="1:20" x14ac:dyDescent="0.25">
      <c r="A1048" s="86" t="s">
        <v>615</v>
      </c>
      <c r="B1048" s="48" t="s">
        <v>161</v>
      </c>
      <c r="K1048">
        <v>0</v>
      </c>
      <c r="N1048" s="72" t="s">
        <v>63</v>
      </c>
      <c r="O1048" t="s">
        <v>24</v>
      </c>
      <c r="P1048">
        <v>51</v>
      </c>
      <c r="S1048"/>
      <c r="T1048"/>
    </row>
    <row r="1049" spans="1:20" x14ac:dyDescent="0.25">
      <c r="A1049" s="86" t="s">
        <v>1592</v>
      </c>
      <c r="B1049" t="s">
        <v>161</v>
      </c>
      <c r="K1049">
        <v>0</v>
      </c>
      <c r="N1049" s="72" t="s">
        <v>1618</v>
      </c>
      <c r="O1049" t="s">
        <v>24</v>
      </c>
      <c r="S1049"/>
      <c r="T1049"/>
    </row>
    <row r="1050" spans="1:20" x14ac:dyDescent="0.25">
      <c r="A1050" s="86" t="s">
        <v>734</v>
      </c>
      <c r="B1050" t="s">
        <v>162</v>
      </c>
      <c r="K1050">
        <v>0</v>
      </c>
      <c r="N1050" s="72" t="s">
        <v>14</v>
      </c>
      <c r="O1050" t="s">
        <v>24</v>
      </c>
      <c r="P1050">
        <v>60</v>
      </c>
      <c r="S1050"/>
      <c r="T1050"/>
    </row>
    <row r="1051" spans="1:20" x14ac:dyDescent="0.25">
      <c r="A1051" s="86" t="s">
        <v>813</v>
      </c>
      <c r="B1051" t="s">
        <v>159</v>
      </c>
      <c r="K1051">
        <v>0</v>
      </c>
      <c r="N1051" s="72" t="s">
        <v>822</v>
      </c>
      <c r="O1051" t="s">
        <v>23</v>
      </c>
      <c r="P1051">
        <v>64</v>
      </c>
      <c r="S1051"/>
      <c r="T1051"/>
    </row>
    <row r="1052" spans="1:20" x14ac:dyDescent="0.25">
      <c r="A1052" s="86" t="s">
        <v>2012</v>
      </c>
      <c r="B1052" t="s">
        <v>1817</v>
      </c>
      <c r="K1052">
        <v>0</v>
      </c>
      <c r="N1052" s="72" t="s">
        <v>38</v>
      </c>
      <c r="O1052" t="s">
        <v>24</v>
      </c>
      <c r="P1052">
        <v>71</v>
      </c>
      <c r="Q1052" s="131">
        <v>16925</v>
      </c>
      <c r="S1052"/>
      <c r="T1052"/>
    </row>
    <row r="1053" spans="1:20" x14ac:dyDescent="0.25">
      <c r="A1053" s="86" t="s">
        <v>2243</v>
      </c>
      <c r="B1053" t="s">
        <v>162</v>
      </c>
      <c r="C1053">
        <v>150</v>
      </c>
      <c r="F1053">
        <v>160</v>
      </c>
      <c r="K1053">
        <v>310</v>
      </c>
      <c r="N1053" s="72" t="s">
        <v>43</v>
      </c>
      <c r="O1053" t="s">
        <v>24</v>
      </c>
      <c r="P1053">
        <v>64</v>
      </c>
      <c r="Q1053" s="131">
        <v>19813</v>
      </c>
      <c r="S1053"/>
      <c r="T1053"/>
    </row>
    <row r="1054" spans="1:20" x14ac:dyDescent="0.25">
      <c r="A1054" s="86" t="s">
        <v>1445</v>
      </c>
      <c r="B1054" t="s">
        <v>67</v>
      </c>
      <c r="K1054">
        <v>0</v>
      </c>
      <c r="N1054" s="72" t="s">
        <v>505</v>
      </c>
      <c r="O1054" t="s">
        <v>24</v>
      </c>
      <c r="P1054">
        <v>16</v>
      </c>
      <c r="Q1054" s="131">
        <v>36414</v>
      </c>
      <c r="S1054"/>
      <c r="T1054"/>
    </row>
    <row r="1055" spans="1:20" x14ac:dyDescent="0.25">
      <c r="A1055" s="86" t="s">
        <v>1788</v>
      </c>
      <c r="B1055" t="s">
        <v>67</v>
      </c>
      <c r="D1055">
        <v>114</v>
      </c>
      <c r="K1055">
        <v>114</v>
      </c>
      <c r="N1055" s="72" t="s">
        <v>12</v>
      </c>
      <c r="O1055" t="s">
        <v>24</v>
      </c>
      <c r="P1055">
        <v>31</v>
      </c>
      <c r="Q1055" s="131">
        <v>31756</v>
      </c>
      <c r="S1055"/>
      <c r="T1055"/>
    </row>
    <row r="1056" spans="1:20" x14ac:dyDescent="0.25">
      <c r="A1056" s="86" t="s">
        <v>2130</v>
      </c>
      <c r="B1056" t="s">
        <v>158</v>
      </c>
      <c r="K1056">
        <v>0</v>
      </c>
      <c r="N1056" s="72" t="s">
        <v>1805</v>
      </c>
      <c r="O1056" t="s">
        <v>23</v>
      </c>
      <c r="P1056">
        <v>45</v>
      </c>
      <c r="Q1056" s="131">
        <v>26498</v>
      </c>
      <c r="S1056"/>
      <c r="T1056"/>
    </row>
    <row r="1057" spans="1:20" x14ac:dyDescent="0.25">
      <c r="A1057" s="86" t="s">
        <v>642</v>
      </c>
      <c r="B1057" t="s">
        <v>158</v>
      </c>
      <c r="K1057">
        <v>0</v>
      </c>
      <c r="N1057" s="72" t="s">
        <v>38</v>
      </c>
      <c r="O1057" t="s">
        <v>23</v>
      </c>
      <c r="P1057">
        <v>50</v>
      </c>
      <c r="S1057"/>
      <c r="T1057"/>
    </row>
    <row r="1058" spans="1:20" x14ac:dyDescent="0.25">
      <c r="A1058" s="86" t="s">
        <v>2404</v>
      </c>
      <c r="B1058" t="s">
        <v>157</v>
      </c>
      <c r="E1058">
        <v>188</v>
      </c>
      <c r="K1058">
        <v>188</v>
      </c>
      <c r="N1058" s="72" t="s">
        <v>505</v>
      </c>
      <c r="O1058" t="s">
        <v>23</v>
      </c>
      <c r="P1058">
        <v>36</v>
      </c>
      <c r="Q1058" s="131">
        <v>30107</v>
      </c>
      <c r="S1058"/>
      <c r="T1058"/>
    </row>
    <row r="1059" spans="1:20" x14ac:dyDescent="0.25">
      <c r="A1059" s="86" t="s">
        <v>2013</v>
      </c>
      <c r="B1059" t="s">
        <v>157</v>
      </c>
      <c r="K1059">
        <v>0</v>
      </c>
      <c r="N1059" s="72" t="s">
        <v>1805</v>
      </c>
      <c r="O1059" t="s">
        <v>23</v>
      </c>
      <c r="P1059">
        <v>43</v>
      </c>
      <c r="Q1059" s="131" t="s">
        <v>2014</v>
      </c>
      <c r="S1059"/>
      <c r="T1059"/>
    </row>
    <row r="1060" spans="1:20" x14ac:dyDescent="0.25">
      <c r="A1060" s="86" t="s">
        <v>1126</v>
      </c>
      <c r="B1060" t="s">
        <v>158</v>
      </c>
      <c r="K1060">
        <v>0</v>
      </c>
      <c r="N1060" s="72" t="s">
        <v>38</v>
      </c>
      <c r="O1060" t="s">
        <v>23</v>
      </c>
      <c r="P1060">
        <v>48</v>
      </c>
      <c r="Q1060" s="131">
        <v>24981</v>
      </c>
      <c r="S1060"/>
      <c r="T1060"/>
    </row>
    <row r="1061" spans="1:20" x14ac:dyDescent="0.25">
      <c r="A1061" s="86" t="s">
        <v>1334</v>
      </c>
      <c r="B1061" t="s">
        <v>158</v>
      </c>
      <c r="K1061">
        <v>0</v>
      </c>
      <c r="N1061" s="72" t="s">
        <v>43</v>
      </c>
      <c r="O1061" t="s">
        <v>23</v>
      </c>
      <c r="P1061">
        <v>51</v>
      </c>
      <c r="Q1061" s="131">
        <v>23589</v>
      </c>
      <c r="S1061"/>
      <c r="T1061"/>
    </row>
    <row r="1062" spans="1:20" x14ac:dyDescent="0.25">
      <c r="A1062" s="86" t="s">
        <v>276</v>
      </c>
      <c r="B1062" t="s">
        <v>157</v>
      </c>
      <c r="D1062">
        <v>38</v>
      </c>
      <c r="E1062">
        <v>64</v>
      </c>
      <c r="F1062">
        <v>40</v>
      </c>
      <c r="K1062">
        <v>142</v>
      </c>
      <c r="N1062" s="72" t="s">
        <v>63</v>
      </c>
      <c r="O1062" t="s">
        <v>23</v>
      </c>
      <c r="P1062">
        <v>44</v>
      </c>
      <c r="Q1062" s="131">
        <v>26899</v>
      </c>
      <c r="S1062"/>
      <c r="T1062"/>
    </row>
    <row r="1063" spans="1:20" x14ac:dyDescent="0.25">
      <c r="A1063" s="86" t="s">
        <v>1677</v>
      </c>
      <c r="B1063" t="s">
        <v>159</v>
      </c>
      <c r="C1063">
        <v>55</v>
      </c>
      <c r="D1063">
        <v>49</v>
      </c>
      <c r="F1063">
        <v>59</v>
      </c>
      <c r="K1063">
        <v>163</v>
      </c>
      <c r="N1063" s="72" t="s">
        <v>14</v>
      </c>
      <c r="O1063" t="s">
        <v>23</v>
      </c>
      <c r="P1063">
        <v>59</v>
      </c>
      <c r="Q1063" s="131">
        <v>21555</v>
      </c>
      <c r="S1063"/>
      <c r="T1063"/>
    </row>
    <row r="1064" spans="1:20" x14ac:dyDescent="0.25">
      <c r="A1064" s="86" t="s">
        <v>455</v>
      </c>
      <c r="B1064" t="s">
        <v>158</v>
      </c>
      <c r="D1064">
        <v>61</v>
      </c>
      <c r="K1064">
        <v>61</v>
      </c>
      <c r="N1064" s="72" t="s">
        <v>14</v>
      </c>
      <c r="O1064" t="s">
        <v>23</v>
      </c>
      <c r="P1064">
        <v>47</v>
      </c>
      <c r="Q1064" s="131">
        <v>25887</v>
      </c>
      <c r="S1064"/>
      <c r="T1064"/>
    </row>
    <row r="1065" spans="1:20" x14ac:dyDescent="0.25">
      <c r="A1065" s="86" t="s">
        <v>774</v>
      </c>
      <c r="B1065" t="s">
        <v>158</v>
      </c>
      <c r="K1065">
        <v>0</v>
      </c>
      <c r="N1065" s="72" t="s">
        <v>820</v>
      </c>
      <c r="O1065" t="s">
        <v>23</v>
      </c>
      <c r="P1065">
        <v>48</v>
      </c>
      <c r="S1065"/>
      <c r="T1065"/>
    </row>
    <row r="1066" spans="1:20" x14ac:dyDescent="0.25">
      <c r="A1066" s="86" t="s">
        <v>565</v>
      </c>
      <c r="B1066" t="s">
        <v>67</v>
      </c>
      <c r="C1066">
        <v>3</v>
      </c>
      <c r="D1066">
        <v>2</v>
      </c>
      <c r="K1066">
        <v>5</v>
      </c>
      <c r="N1066" s="72" t="s">
        <v>43</v>
      </c>
      <c r="O1066" s="48" t="s">
        <v>24</v>
      </c>
      <c r="P1066">
        <v>27</v>
      </c>
      <c r="Q1066" s="131">
        <v>33088</v>
      </c>
      <c r="S1066"/>
      <c r="T1066"/>
    </row>
    <row r="1067" spans="1:20" x14ac:dyDescent="0.25">
      <c r="A1067" s="86" t="s">
        <v>424</v>
      </c>
      <c r="B1067" t="s">
        <v>156</v>
      </c>
      <c r="K1067">
        <v>0</v>
      </c>
      <c r="N1067" s="72" t="s">
        <v>14</v>
      </c>
      <c r="O1067" t="s">
        <v>23</v>
      </c>
      <c r="P1067">
        <v>34</v>
      </c>
      <c r="S1067"/>
      <c r="T1067"/>
    </row>
    <row r="1068" spans="1:20" x14ac:dyDescent="0.25">
      <c r="A1068" s="86" t="s">
        <v>1976</v>
      </c>
      <c r="B1068" t="s">
        <v>157</v>
      </c>
      <c r="K1068">
        <v>0</v>
      </c>
      <c r="N1068" s="72" t="s">
        <v>14</v>
      </c>
      <c r="O1068" t="s">
        <v>23</v>
      </c>
      <c r="S1068"/>
      <c r="T1068"/>
    </row>
    <row r="1069" spans="1:20" x14ac:dyDescent="0.25">
      <c r="A1069" s="86" t="s">
        <v>1562</v>
      </c>
      <c r="B1069" t="s">
        <v>156</v>
      </c>
      <c r="K1069">
        <v>0</v>
      </c>
      <c r="N1069" s="72" t="s">
        <v>14</v>
      </c>
      <c r="O1069" t="s">
        <v>23</v>
      </c>
      <c r="S1069"/>
      <c r="T1069"/>
    </row>
    <row r="1070" spans="1:20" x14ac:dyDescent="0.25">
      <c r="A1070" s="86" t="s">
        <v>1023</v>
      </c>
      <c r="B1070" t="s">
        <v>160</v>
      </c>
      <c r="K1070">
        <v>0</v>
      </c>
      <c r="N1070" s="72" t="s">
        <v>39</v>
      </c>
      <c r="O1070" t="s">
        <v>24</v>
      </c>
      <c r="P1070">
        <v>45</v>
      </c>
      <c r="S1070"/>
      <c r="T1070"/>
    </row>
    <row r="1071" spans="1:20" x14ac:dyDescent="0.25">
      <c r="A1071" s="86" t="s">
        <v>1604</v>
      </c>
      <c r="B1071" t="s">
        <v>156</v>
      </c>
      <c r="K1071">
        <v>0</v>
      </c>
      <c r="N1071" s="72" t="s">
        <v>1618</v>
      </c>
      <c r="O1071" t="s">
        <v>23</v>
      </c>
      <c r="S1071"/>
      <c r="T1071"/>
    </row>
    <row r="1072" spans="1:20" x14ac:dyDescent="0.25">
      <c r="A1072" s="86" t="s">
        <v>1970</v>
      </c>
      <c r="B1072" t="s">
        <v>157</v>
      </c>
      <c r="K1072">
        <v>0</v>
      </c>
      <c r="N1072" s="72" t="s">
        <v>14</v>
      </c>
      <c r="O1072" t="s">
        <v>23</v>
      </c>
      <c r="S1072"/>
      <c r="T1072"/>
    </row>
    <row r="1073" spans="1:20" x14ac:dyDescent="0.25">
      <c r="A1073" s="86" t="s">
        <v>2271</v>
      </c>
      <c r="B1073" t="s">
        <v>159</v>
      </c>
      <c r="D1073">
        <v>78</v>
      </c>
      <c r="E1073">
        <v>138</v>
      </c>
      <c r="F1073">
        <v>84</v>
      </c>
      <c r="K1073">
        <v>300</v>
      </c>
      <c r="N1073" s="72" t="s">
        <v>155</v>
      </c>
      <c r="O1073" t="s">
        <v>23</v>
      </c>
      <c r="P1073">
        <v>58</v>
      </c>
      <c r="Q1073" s="131">
        <v>22051</v>
      </c>
      <c r="S1073"/>
      <c r="T1073"/>
    </row>
    <row r="1074" spans="1:20" x14ac:dyDescent="0.25">
      <c r="A1074" s="86" t="s">
        <v>866</v>
      </c>
      <c r="B1074" t="s">
        <v>158</v>
      </c>
      <c r="K1074">
        <v>0</v>
      </c>
      <c r="N1074" s="72" t="s">
        <v>155</v>
      </c>
      <c r="O1074" t="s">
        <v>23</v>
      </c>
      <c r="P1074">
        <v>48</v>
      </c>
      <c r="Q1074" s="131">
        <v>25271</v>
      </c>
      <c r="S1074"/>
      <c r="T1074"/>
    </row>
    <row r="1075" spans="1:20" x14ac:dyDescent="0.25">
      <c r="A1075" s="86" t="s">
        <v>1745</v>
      </c>
      <c r="B1075" t="s">
        <v>67</v>
      </c>
      <c r="D1075">
        <v>23</v>
      </c>
      <c r="E1075">
        <v>27</v>
      </c>
      <c r="F1075">
        <v>18</v>
      </c>
      <c r="K1075">
        <v>68</v>
      </c>
      <c r="N1075" s="72" t="s">
        <v>12</v>
      </c>
      <c r="O1075" t="s">
        <v>24</v>
      </c>
      <c r="P1075">
        <v>36</v>
      </c>
      <c r="Q1075" s="131">
        <v>29910</v>
      </c>
      <c r="S1075"/>
      <c r="T1075"/>
    </row>
    <row r="1076" spans="1:20" x14ac:dyDescent="0.25">
      <c r="A1076" s="86" t="s">
        <v>280</v>
      </c>
      <c r="B1076" t="s">
        <v>157</v>
      </c>
      <c r="C1076">
        <v>73</v>
      </c>
      <c r="D1076">
        <v>53</v>
      </c>
      <c r="E1076">
        <v>83</v>
      </c>
      <c r="F1076">
        <v>58</v>
      </c>
      <c r="K1076">
        <v>267</v>
      </c>
      <c r="N1076" s="72" t="s">
        <v>155</v>
      </c>
      <c r="O1076" t="s">
        <v>23</v>
      </c>
      <c r="P1076">
        <v>44</v>
      </c>
      <c r="Q1076" s="131">
        <v>26975</v>
      </c>
      <c r="S1076"/>
      <c r="T1076"/>
    </row>
    <row r="1077" spans="1:20" x14ac:dyDescent="0.25">
      <c r="A1077" s="86" t="s">
        <v>913</v>
      </c>
      <c r="B1077" t="s">
        <v>157</v>
      </c>
      <c r="K1077">
        <v>0</v>
      </c>
      <c r="N1077" s="72" t="s">
        <v>38</v>
      </c>
      <c r="O1077" t="s">
        <v>23</v>
      </c>
      <c r="P1077">
        <v>37</v>
      </c>
      <c r="S1077"/>
      <c r="T1077"/>
    </row>
    <row r="1078" spans="1:20" x14ac:dyDescent="0.25">
      <c r="A1078" s="86" t="s">
        <v>1585</v>
      </c>
      <c r="B1078" t="s">
        <v>157</v>
      </c>
      <c r="K1078">
        <v>0</v>
      </c>
      <c r="N1078" s="72" t="s">
        <v>932</v>
      </c>
      <c r="O1078" t="s">
        <v>23</v>
      </c>
      <c r="S1078"/>
      <c r="T1078"/>
    </row>
    <row r="1079" spans="1:20" x14ac:dyDescent="0.25">
      <c r="A1079" s="86" t="s">
        <v>2236</v>
      </c>
      <c r="B1079" t="s">
        <v>157</v>
      </c>
      <c r="C1079">
        <v>67</v>
      </c>
      <c r="D1079">
        <v>56</v>
      </c>
      <c r="E1079">
        <v>86</v>
      </c>
      <c r="F1079">
        <v>57</v>
      </c>
      <c r="K1079">
        <v>266</v>
      </c>
      <c r="N1079" s="72" t="s">
        <v>1805</v>
      </c>
      <c r="O1079" t="s">
        <v>23</v>
      </c>
      <c r="P1079">
        <v>38</v>
      </c>
      <c r="Q1079" s="131">
        <v>29236</v>
      </c>
      <c r="S1079"/>
      <c r="T1079"/>
    </row>
    <row r="1080" spans="1:20" x14ac:dyDescent="0.25">
      <c r="A1080" s="86" t="s">
        <v>1821</v>
      </c>
      <c r="B1080" t="s">
        <v>157</v>
      </c>
      <c r="K1080">
        <v>0</v>
      </c>
      <c r="N1080" s="72" t="s">
        <v>14</v>
      </c>
      <c r="O1080" t="s">
        <v>23</v>
      </c>
      <c r="P1080">
        <v>37</v>
      </c>
      <c r="Q1080" s="131">
        <v>29182</v>
      </c>
      <c r="S1080"/>
      <c r="T1080"/>
    </row>
    <row r="1081" spans="1:20" x14ac:dyDescent="0.25">
      <c r="A1081" s="86" t="s">
        <v>2142</v>
      </c>
      <c r="B1081" t="s">
        <v>158</v>
      </c>
      <c r="K1081">
        <v>0</v>
      </c>
      <c r="N1081" s="72" t="s">
        <v>505</v>
      </c>
      <c r="O1081" t="s">
        <v>23</v>
      </c>
      <c r="P1081">
        <v>52</v>
      </c>
      <c r="Q1081" s="131">
        <v>23798</v>
      </c>
      <c r="S1081"/>
      <c r="T1081"/>
    </row>
    <row r="1082" spans="1:20" x14ac:dyDescent="0.25">
      <c r="A1082" s="86" t="s">
        <v>1371</v>
      </c>
      <c r="B1082" t="s">
        <v>157</v>
      </c>
      <c r="C1082">
        <v>50</v>
      </c>
      <c r="F1082">
        <v>62</v>
      </c>
      <c r="K1082">
        <v>112</v>
      </c>
      <c r="N1082" s="72" t="s">
        <v>38</v>
      </c>
      <c r="O1082" t="s">
        <v>23</v>
      </c>
      <c r="P1082">
        <v>38</v>
      </c>
      <c r="Q1082" s="131">
        <v>29323</v>
      </c>
      <c r="S1082"/>
      <c r="T1082"/>
    </row>
    <row r="1083" spans="1:20" x14ac:dyDescent="0.25">
      <c r="A1083" s="86" t="s">
        <v>381</v>
      </c>
      <c r="B1083" t="s">
        <v>157</v>
      </c>
      <c r="K1083">
        <v>0</v>
      </c>
      <c r="N1083" s="72" t="s">
        <v>63</v>
      </c>
      <c r="O1083" t="s">
        <v>23</v>
      </c>
      <c r="P1083">
        <v>38</v>
      </c>
      <c r="S1083"/>
      <c r="T1083"/>
    </row>
    <row r="1084" spans="1:20" x14ac:dyDescent="0.25">
      <c r="A1084" s="86" t="s">
        <v>1841</v>
      </c>
      <c r="B1084" t="s">
        <v>158</v>
      </c>
      <c r="K1084">
        <v>0</v>
      </c>
      <c r="N1084" s="72" t="s">
        <v>14</v>
      </c>
      <c r="O1084" t="s">
        <v>23</v>
      </c>
      <c r="P1084">
        <v>47</v>
      </c>
      <c r="Q1084" s="131">
        <v>25421</v>
      </c>
      <c r="S1084"/>
      <c r="T1084"/>
    </row>
    <row r="1085" spans="1:20" x14ac:dyDescent="0.25">
      <c r="A1085" s="86" t="s">
        <v>1043</v>
      </c>
      <c r="B1085" t="s">
        <v>158</v>
      </c>
      <c r="D1085">
        <v>101</v>
      </c>
      <c r="E1085">
        <v>170</v>
      </c>
      <c r="F1085">
        <v>90</v>
      </c>
      <c r="K1085">
        <v>361</v>
      </c>
      <c r="N1085" s="72" t="s">
        <v>154</v>
      </c>
      <c r="O1085" t="s">
        <v>23</v>
      </c>
      <c r="P1085">
        <v>45</v>
      </c>
      <c r="Q1085" s="131">
        <v>26628</v>
      </c>
      <c r="S1085"/>
      <c r="T1085"/>
    </row>
    <row r="1086" spans="1:20" x14ac:dyDescent="0.25">
      <c r="A1086" s="86" t="s">
        <v>376</v>
      </c>
      <c r="B1086" t="s">
        <v>158</v>
      </c>
      <c r="K1086">
        <v>0</v>
      </c>
      <c r="N1086" s="72" t="s">
        <v>154</v>
      </c>
      <c r="O1086" t="s">
        <v>23</v>
      </c>
      <c r="P1086">
        <v>52</v>
      </c>
      <c r="Q1086" s="131">
        <v>23547</v>
      </c>
      <c r="S1086"/>
      <c r="T1086"/>
    </row>
    <row r="1087" spans="1:20" x14ac:dyDescent="0.25">
      <c r="A1087" s="86" t="s">
        <v>290</v>
      </c>
      <c r="B1087" t="s">
        <v>158</v>
      </c>
      <c r="K1087">
        <v>0</v>
      </c>
      <c r="N1087" s="72" t="s">
        <v>154</v>
      </c>
      <c r="O1087" t="s">
        <v>23</v>
      </c>
      <c r="P1087">
        <v>47</v>
      </c>
      <c r="Q1087" s="131">
        <v>25564</v>
      </c>
      <c r="S1087"/>
      <c r="T1087"/>
    </row>
    <row r="1088" spans="1:20" x14ac:dyDescent="0.25">
      <c r="A1088" s="86" t="s">
        <v>1974</v>
      </c>
      <c r="B1088" t="s">
        <v>156</v>
      </c>
      <c r="K1088">
        <v>0</v>
      </c>
      <c r="N1088" s="72" t="s">
        <v>657</v>
      </c>
      <c r="O1088" t="s">
        <v>23</v>
      </c>
      <c r="S1088"/>
      <c r="T1088"/>
    </row>
    <row r="1089" spans="1:20" x14ac:dyDescent="0.25">
      <c r="A1089" s="86" t="s">
        <v>1044</v>
      </c>
      <c r="B1089" t="s">
        <v>156</v>
      </c>
      <c r="E1089">
        <v>30</v>
      </c>
      <c r="K1089">
        <v>30</v>
      </c>
      <c r="N1089" s="72" t="s">
        <v>12</v>
      </c>
      <c r="O1089" t="s">
        <v>23</v>
      </c>
      <c r="P1089">
        <v>27</v>
      </c>
      <c r="Q1089" s="131">
        <v>33099</v>
      </c>
      <c r="S1089"/>
      <c r="T1089"/>
    </row>
    <row r="1090" spans="1:20" x14ac:dyDescent="0.25">
      <c r="A1090" s="86" t="s">
        <v>914</v>
      </c>
      <c r="B1090" t="s">
        <v>157</v>
      </c>
      <c r="K1090">
        <v>0</v>
      </c>
      <c r="N1090" s="72" t="s">
        <v>38</v>
      </c>
      <c r="O1090" t="s">
        <v>23</v>
      </c>
      <c r="P1090">
        <v>41</v>
      </c>
      <c r="S1090"/>
      <c r="T1090"/>
    </row>
    <row r="1091" spans="1:20" x14ac:dyDescent="0.25">
      <c r="A1091" s="86" t="s">
        <v>1451</v>
      </c>
      <c r="B1091" t="s">
        <v>156</v>
      </c>
      <c r="K1091">
        <v>0</v>
      </c>
      <c r="N1091" s="72" t="s">
        <v>155</v>
      </c>
      <c r="O1091" t="s">
        <v>23</v>
      </c>
      <c r="P1091">
        <v>26</v>
      </c>
      <c r="Q1091" s="131">
        <v>32995</v>
      </c>
      <c r="S1091"/>
      <c r="T1091"/>
    </row>
    <row r="1092" spans="1:20" x14ac:dyDescent="0.25">
      <c r="A1092" s="86" t="s">
        <v>1995</v>
      </c>
      <c r="B1092" t="s">
        <v>156</v>
      </c>
      <c r="K1092">
        <v>0</v>
      </c>
      <c r="N1092" s="72" t="s">
        <v>63</v>
      </c>
      <c r="O1092" t="s">
        <v>23</v>
      </c>
      <c r="S1092"/>
      <c r="T1092"/>
    </row>
    <row r="1093" spans="1:20" x14ac:dyDescent="0.25">
      <c r="A1093" s="86" t="s">
        <v>1602</v>
      </c>
      <c r="B1093" t="s">
        <v>156</v>
      </c>
      <c r="K1093">
        <v>0</v>
      </c>
      <c r="N1093" s="72" t="s">
        <v>1618</v>
      </c>
      <c r="O1093" t="s">
        <v>23</v>
      </c>
      <c r="S1093"/>
      <c r="T1093"/>
    </row>
    <row r="1094" spans="1:20" x14ac:dyDescent="0.25">
      <c r="A1094" s="86" t="s">
        <v>1566</v>
      </c>
      <c r="B1094" t="s">
        <v>156</v>
      </c>
      <c r="F1094">
        <v>17</v>
      </c>
      <c r="K1094">
        <v>17</v>
      </c>
      <c r="N1094" s="72" t="s">
        <v>14</v>
      </c>
      <c r="O1094" t="s">
        <v>23</v>
      </c>
      <c r="P1094">
        <v>29</v>
      </c>
      <c r="Q1094" s="131">
        <v>32409</v>
      </c>
      <c r="S1094"/>
      <c r="T1094"/>
    </row>
    <row r="1095" spans="1:20" x14ac:dyDescent="0.25">
      <c r="A1095" s="86" t="s">
        <v>902</v>
      </c>
      <c r="B1095" t="s">
        <v>157</v>
      </c>
      <c r="K1095">
        <v>0</v>
      </c>
      <c r="N1095" s="72" t="s">
        <v>12</v>
      </c>
      <c r="O1095" t="s">
        <v>23</v>
      </c>
      <c r="P1095">
        <v>35</v>
      </c>
      <c r="S1095"/>
      <c r="T1095"/>
    </row>
    <row r="1096" spans="1:20" x14ac:dyDescent="0.25">
      <c r="A1096" s="86" t="s">
        <v>254</v>
      </c>
      <c r="B1096" t="s">
        <v>157</v>
      </c>
      <c r="K1096">
        <v>0</v>
      </c>
      <c r="N1096" s="72" t="s">
        <v>63</v>
      </c>
      <c r="O1096" t="s">
        <v>23</v>
      </c>
      <c r="P1096">
        <v>37</v>
      </c>
      <c r="S1096"/>
      <c r="T1096"/>
    </row>
    <row r="1097" spans="1:20" x14ac:dyDescent="0.25">
      <c r="A1097" s="86" t="s">
        <v>1096</v>
      </c>
      <c r="B1097" t="s">
        <v>156</v>
      </c>
      <c r="K1097">
        <v>0</v>
      </c>
      <c r="N1097" s="72" t="s">
        <v>10</v>
      </c>
      <c r="O1097" t="s">
        <v>23</v>
      </c>
      <c r="P1097">
        <v>22</v>
      </c>
      <c r="S1097"/>
      <c r="T1097"/>
    </row>
    <row r="1098" spans="1:20" x14ac:dyDescent="0.25">
      <c r="A1098" s="86" t="s">
        <v>1363</v>
      </c>
      <c r="B1098" t="s">
        <v>157</v>
      </c>
      <c r="K1098">
        <v>0</v>
      </c>
      <c r="N1098" s="72" t="s">
        <v>63</v>
      </c>
      <c r="O1098" t="s">
        <v>23</v>
      </c>
      <c r="P1098">
        <v>38</v>
      </c>
      <c r="Q1098" s="131">
        <v>28418</v>
      </c>
      <c r="S1098"/>
      <c r="T1098"/>
    </row>
    <row r="1099" spans="1:20" x14ac:dyDescent="0.25">
      <c r="A1099" s="86" t="s">
        <v>1158</v>
      </c>
      <c r="B1099" t="s">
        <v>156</v>
      </c>
      <c r="K1099">
        <v>0</v>
      </c>
      <c r="N1099" s="72" t="s">
        <v>505</v>
      </c>
      <c r="O1099" t="s">
        <v>23</v>
      </c>
      <c r="P1099">
        <v>23</v>
      </c>
      <c r="S1099"/>
      <c r="T1099"/>
    </row>
    <row r="1100" spans="1:20" x14ac:dyDescent="0.25">
      <c r="A1100" s="86" t="s">
        <v>1494</v>
      </c>
      <c r="B1100" t="s">
        <v>157</v>
      </c>
      <c r="K1100">
        <v>0</v>
      </c>
      <c r="N1100" s="72" t="s">
        <v>12</v>
      </c>
      <c r="O1100" t="s">
        <v>23</v>
      </c>
      <c r="P1100">
        <v>38</v>
      </c>
      <c r="Q1100" s="131">
        <v>28364</v>
      </c>
      <c r="S1100"/>
      <c r="T1100"/>
    </row>
    <row r="1101" spans="1:20" x14ac:dyDescent="0.25">
      <c r="A1101" s="86" t="s">
        <v>806</v>
      </c>
      <c r="B1101" t="s">
        <v>160</v>
      </c>
      <c r="K1101">
        <v>0</v>
      </c>
      <c r="N1101" s="72" t="s">
        <v>657</v>
      </c>
      <c r="O1101" t="s">
        <v>24</v>
      </c>
      <c r="P1101">
        <v>45</v>
      </c>
      <c r="S1101"/>
      <c r="T1101"/>
    </row>
    <row r="1102" spans="1:20" x14ac:dyDescent="0.25">
      <c r="A1102" s="86" t="s">
        <v>558</v>
      </c>
      <c r="B1102" t="s">
        <v>67</v>
      </c>
      <c r="K1102">
        <v>0</v>
      </c>
      <c r="N1102" s="72" t="s">
        <v>154</v>
      </c>
      <c r="O1102" s="48" t="s">
        <v>24</v>
      </c>
      <c r="P1102">
        <v>26</v>
      </c>
      <c r="S1102"/>
      <c r="T1102"/>
    </row>
    <row r="1103" spans="1:20" x14ac:dyDescent="0.25">
      <c r="A1103" s="86" t="s">
        <v>770</v>
      </c>
      <c r="B1103" s="48" t="s">
        <v>67</v>
      </c>
      <c r="K1103">
        <v>0</v>
      </c>
      <c r="N1103" s="72" t="s">
        <v>817</v>
      </c>
      <c r="O1103" t="s">
        <v>24</v>
      </c>
      <c r="P1103">
        <v>33</v>
      </c>
      <c r="S1103"/>
      <c r="T1103"/>
    </row>
    <row r="1104" spans="1:20" x14ac:dyDescent="0.25">
      <c r="A1104" s="86" t="s">
        <v>771</v>
      </c>
      <c r="B1104" t="s">
        <v>160</v>
      </c>
      <c r="K1104">
        <v>0</v>
      </c>
      <c r="N1104" s="72" t="s">
        <v>818</v>
      </c>
      <c r="O1104" t="s">
        <v>24</v>
      </c>
      <c r="P1104">
        <v>44</v>
      </c>
      <c r="S1104"/>
      <c r="T1104"/>
    </row>
    <row r="1105" spans="1:20" x14ac:dyDescent="0.25">
      <c r="A1105" s="86" t="s">
        <v>1420</v>
      </c>
      <c r="B1105" t="s">
        <v>67</v>
      </c>
      <c r="D1105">
        <v>125</v>
      </c>
      <c r="E1105">
        <v>171</v>
      </c>
      <c r="F1105">
        <v>140</v>
      </c>
      <c r="K1105">
        <v>436</v>
      </c>
      <c r="N1105" s="72" t="s">
        <v>155</v>
      </c>
      <c r="O1105" t="s">
        <v>24</v>
      </c>
      <c r="P1105">
        <v>24</v>
      </c>
      <c r="Q1105" s="131">
        <v>34505</v>
      </c>
      <c r="S1105"/>
      <c r="T1105"/>
    </row>
    <row r="1106" spans="1:20" x14ac:dyDescent="0.25">
      <c r="A1106" s="86" t="s">
        <v>518</v>
      </c>
      <c r="B1106" t="s">
        <v>156</v>
      </c>
      <c r="K1106">
        <v>0</v>
      </c>
      <c r="N1106" s="72" t="s">
        <v>63</v>
      </c>
      <c r="O1106" t="s">
        <v>23</v>
      </c>
      <c r="P1106">
        <v>30</v>
      </c>
      <c r="S1106"/>
      <c r="T1106"/>
    </row>
    <row r="1107" spans="1:20" x14ac:dyDescent="0.25">
      <c r="A1107" s="86" t="s">
        <v>1754</v>
      </c>
      <c r="B1107" t="s">
        <v>156</v>
      </c>
      <c r="K1107">
        <v>0</v>
      </c>
      <c r="N1107" s="72" t="s">
        <v>63</v>
      </c>
      <c r="O1107" t="s">
        <v>23</v>
      </c>
      <c r="P1107">
        <v>30</v>
      </c>
      <c r="Q1107" s="131">
        <v>31713</v>
      </c>
      <c r="S1107"/>
      <c r="T1107"/>
    </row>
    <row r="1108" spans="1:20" x14ac:dyDescent="0.25">
      <c r="A1108" s="86" t="s">
        <v>1630</v>
      </c>
      <c r="B1108" t="s">
        <v>156</v>
      </c>
      <c r="K1108">
        <v>0</v>
      </c>
      <c r="N1108" s="72" t="s">
        <v>63</v>
      </c>
      <c r="O1108" t="s">
        <v>23</v>
      </c>
      <c r="P1108">
        <v>29</v>
      </c>
      <c r="Q1108" s="131">
        <v>31713</v>
      </c>
      <c r="S1108"/>
      <c r="T1108"/>
    </row>
    <row r="1109" spans="1:20" x14ac:dyDescent="0.25">
      <c r="A1109" s="86" t="s">
        <v>2227</v>
      </c>
      <c r="B1109" t="s">
        <v>157</v>
      </c>
      <c r="C1109">
        <v>36</v>
      </c>
      <c r="E1109">
        <v>50</v>
      </c>
      <c r="K1109">
        <v>86</v>
      </c>
      <c r="N1109" s="72" t="s">
        <v>154</v>
      </c>
      <c r="O1109" t="s">
        <v>23</v>
      </c>
      <c r="P1109">
        <v>36</v>
      </c>
      <c r="Q1109" s="131">
        <v>29805</v>
      </c>
      <c r="S1109"/>
      <c r="T1109"/>
    </row>
    <row r="1110" spans="1:20" x14ac:dyDescent="0.25">
      <c r="A1110" s="86" t="s">
        <v>460</v>
      </c>
      <c r="B1110" t="s">
        <v>158</v>
      </c>
      <c r="K1110">
        <v>0</v>
      </c>
      <c r="N1110" s="72" t="s">
        <v>14</v>
      </c>
      <c r="O1110" t="s">
        <v>23</v>
      </c>
      <c r="P1110">
        <v>46</v>
      </c>
      <c r="Q1110" s="131">
        <v>25766</v>
      </c>
      <c r="S1110"/>
      <c r="T1110"/>
    </row>
    <row r="1111" spans="1:20" x14ac:dyDescent="0.25">
      <c r="A1111" s="86" t="s">
        <v>486</v>
      </c>
      <c r="B1111" t="s">
        <v>157</v>
      </c>
      <c r="K1111">
        <v>0</v>
      </c>
      <c r="N1111" s="72" t="s">
        <v>38</v>
      </c>
      <c r="O1111" t="s">
        <v>23</v>
      </c>
      <c r="P1111">
        <v>37</v>
      </c>
      <c r="S1111"/>
      <c r="T1111"/>
    </row>
    <row r="1112" spans="1:20" x14ac:dyDescent="0.25">
      <c r="A1112" s="86" t="s">
        <v>1996</v>
      </c>
      <c r="B1112" t="s">
        <v>157</v>
      </c>
      <c r="K1112">
        <v>0</v>
      </c>
      <c r="N1112" s="72" t="s">
        <v>155</v>
      </c>
      <c r="O1112" t="s">
        <v>23</v>
      </c>
      <c r="S1112"/>
      <c r="T1112"/>
    </row>
    <row r="1113" spans="1:20" x14ac:dyDescent="0.25">
      <c r="A1113" s="86" t="s">
        <v>1796</v>
      </c>
      <c r="B1113" t="s">
        <v>157</v>
      </c>
      <c r="E1113">
        <v>150</v>
      </c>
      <c r="F1113">
        <v>78</v>
      </c>
      <c r="K1113">
        <v>228</v>
      </c>
      <c r="N1113" s="72" t="s">
        <v>155</v>
      </c>
      <c r="O1113" t="s">
        <v>23</v>
      </c>
      <c r="P1113">
        <v>39</v>
      </c>
      <c r="Q1113" s="131">
        <v>29038</v>
      </c>
      <c r="S1113"/>
      <c r="T1113"/>
    </row>
    <row r="1114" spans="1:20" x14ac:dyDescent="0.25">
      <c r="A1114" s="86" t="s">
        <v>2027</v>
      </c>
      <c r="B1114" t="s">
        <v>157</v>
      </c>
      <c r="C1114">
        <v>65</v>
      </c>
      <c r="E1114">
        <v>137</v>
      </c>
      <c r="K1114">
        <v>202</v>
      </c>
      <c r="N1114" s="72" t="s">
        <v>1805</v>
      </c>
      <c r="O1114" t="s">
        <v>23</v>
      </c>
      <c r="P1114">
        <v>35</v>
      </c>
      <c r="Q1114" s="131">
        <v>30321</v>
      </c>
      <c r="S1114"/>
      <c r="T1114"/>
    </row>
    <row r="1115" spans="1:20" x14ac:dyDescent="0.25">
      <c r="A1115" s="86" t="s">
        <v>2134</v>
      </c>
      <c r="B1115" t="s">
        <v>156</v>
      </c>
      <c r="K1115">
        <v>0</v>
      </c>
      <c r="N1115" s="72" t="s">
        <v>505</v>
      </c>
      <c r="O1115" t="s">
        <v>23</v>
      </c>
      <c r="P1115">
        <v>33</v>
      </c>
      <c r="Q1115" s="131">
        <v>30857</v>
      </c>
      <c r="S1115"/>
      <c r="T1115"/>
    </row>
    <row r="1116" spans="1:20" x14ac:dyDescent="0.25">
      <c r="A1116" s="86" t="s">
        <v>1653</v>
      </c>
      <c r="B1116" t="s">
        <v>156</v>
      </c>
      <c r="K1116">
        <v>0</v>
      </c>
      <c r="N1116" s="72" t="s">
        <v>63</v>
      </c>
      <c r="O1116" t="s">
        <v>23</v>
      </c>
      <c r="P1116">
        <v>28</v>
      </c>
      <c r="S1116"/>
      <c r="T1116"/>
    </row>
    <row r="1117" spans="1:20" x14ac:dyDescent="0.25">
      <c r="A1117" s="86" t="s">
        <v>1922</v>
      </c>
      <c r="B1117" t="s">
        <v>156</v>
      </c>
      <c r="K1117">
        <v>0</v>
      </c>
      <c r="N1117" s="72" t="s">
        <v>1923</v>
      </c>
      <c r="O1117" t="s">
        <v>23</v>
      </c>
      <c r="P1117">
        <v>29</v>
      </c>
      <c r="Q1117" s="131">
        <v>32106</v>
      </c>
      <c r="S1117"/>
      <c r="T1117"/>
    </row>
    <row r="1118" spans="1:20" x14ac:dyDescent="0.25">
      <c r="A1118" s="86" t="s">
        <v>1659</v>
      </c>
      <c r="B1118" t="s">
        <v>156</v>
      </c>
      <c r="K1118">
        <v>0</v>
      </c>
      <c r="N1118" s="72" t="s">
        <v>817</v>
      </c>
      <c r="O1118" t="s">
        <v>23</v>
      </c>
      <c r="P1118">
        <v>15</v>
      </c>
      <c r="S1118"/>
      <c r="T1118"/>
    </row>
    <row r="1119" spans="1:20" x14ac:dyDescent="0.25">
      <c r="A1119" s="86" t="s">
        <v>2119</v>
      </c>
      <c r="B1119" t="s">
        <v>159</v>
      </c>
      <c r="K1119">
        <v>0</v>
      </c>
      <c r="N1119" s="72" t="s">
        <v>505</v>
      </c>
      <c r="O1119" t="s">
        <v>23</v>
      </c>
      <c r="P1119">
        <v>59</v>
      </c>
      <c r="Q1119" s="131" t="s">
        <v>2113</v>
      </c>
      <c r="S1119"/>
      <c r="T1119"/>
    </row>
    <row r="1120" spans="1:20" x14ac:dyDescent="0.25">
      <c r="A1120" s="86" t="s">
        <v>435</v>
      </c>
      <c r="B1120" t="s">
        <v>160</v>
      </c>
      <c r="K1120">
        <v>0</v>
      </c>
      <c r="N1120" s="72" t="s">
        <v>43</v>
      </c>
      <c r="O1120" t="s">
        <v>24</v>
      </c>
      <c r="P1120">
        <v>40</v>
      </c>
      <c r="S1120"/>
      <c r="T1120"/>
    </row>
    <row r="1121" spans="1:20" x14ac:dyDescent="0.25">
      <c r="A1121" s="86" t="s">
        <v>733</v>
      </c>
      <c r="B1121" t="s">
        <v>158</v>
      </c>
      <c r="K1121">
        <v>0</v>
      </c>
      <c r="N1121" s="72" t="s">
        <v>656</v>
      </c>
      <c r="O1121" t="s">
        <v>23</v>
      </c>
      <c r="P1121">
        <v>47</v>
      </c>
      <c r="Q1121" s="131">
        <v>25448</v>
      </c>
      <c r="S1121"/>
      <c r="T1121"/>
    </row>
    <row r="1122" spans="1:20" x14ac:dyDescent="0.25">
      <c r="A1122" s="86" t="s">
        <v>1743</v>
      </c>
      <c r="B1122" t="s">
        <v>158</v>
      </c>
      <c r="D1122">
        <v>54</v>
      </c>
      <c r="E1122">
        <v>100</v>
      </c>
      <c r="F1122">
        <v>50</v>
      </c>
      <c r="K1122">
        <v>204</v>
      </c>
      <c r="N1122" s="72" t="s">
        <v>154</v>
      </c>
      <c r="O1122" t="s">
        <v>23</v>
      </c>
      <c r="P1122">
        <v>45</v>
      </c>
      <c r="Q1122" s="131">
        <v>26665</v>
      </c>
      <c r="S1122"/>
      <c r="T1122"/>
    </row>
    <row r="1123" spans="1:20" x14ac:dyDescent="0.25">
      <c r="A1123" s="86" t="s">
        <v>1540</v>
      </c>
      <c r="B1123" t="s">
        <v>67</v>
      </c>
      <c r="K1123">
        <v>0</v>
      </c>
      <c r="N1123" s="72" t="s">
        <v>653</v>
      </c>
      <c r="O1123" t="s">
        <v>24</v>
      </c>
      <c r="S1123"/>
      <c r="T1123"/>
    </row>
    <row r="1124" spans="1:20" x14ac:dyDescent="0.25">
      <c r="A1124" s="86" t="s">
        <v>543</v>
      </c>
      <c r="B1124" t="s">
        <v>160</v>
      </c>
      <c r="K1124">
        <v>0</v>
      </c>
      <c r="N1124" s="72" t="s">
        <v>108</v>
      </c>
      <c r="O1124" t="s">
        <v>24</v>
      </c>
      <c r="P1124">
        <v>43</v>
      </c>
      <c r="Q1124" s="131">
        <v>27151</v>
      </c>
      <c r="S1124"/>
      <c r="T1124"/>
    </row>
    <row r="1125" spans="1:20" x14ac:dyDescent="0.25">
      <c r="A1125" s="86" t="s">
        <v>412</v>
      </c>
      <c r="B1125" t="s">
        <v>162</v>
      </c>
      <c r="K1125">
        <v>0</v>
      </c>
      <c r="N1125" s="85" t="s">
        <v>47</v>
      </c>
      <c r="O1125" t="s">
        <v>24</v>
      </c>
      <c r="P1125">
        <v>67</v>
      </c>
      <c r="S1125"/>
      <c r="T1125"/>
    </row>
    <row r="1126" spans="1:20" x14ac:dyDescent="0.25">
      <c r="A1126" s="86" t="s">
        <v>940</v>
      </c>
      <c r="B1126" t="s">
        <v>157</v>
      </c>
      <c r="K1126">
        <v>0</v>
      </c>
      <c r="N1126" s="72" t="s">
        <v>653</v>
      </c>
      <c r="O1126" t="s">
        <v>23</v>
      </c>
      <c r="P1126">
        <v>37</v>
      </c>
      <c r="S1126"/>
      <c r="T1126"/>
    </row>
    <row r="1127" spans="1:20" x14ac:dyDescent="0.25">
      <c r="A1127" s="86" t="s">
        <v>2467</v>
      </c>
      <c r="B1127" t="s">
        <v>160</v>
      </c>
      <c r="F1127">
        <v>164</v>
      </c>
      <c r="K1127">
        <v>164</v>
      </c>
      <c r="N1127" s="72" t="s">
        <v>505</v>
      </c>
      <c r="O1127" t="s">
        <v>24</v>
      </c>
      <c r="P1127">
        <v>44</v>
      </c>
      <c r="S1127"/>
      <c r="T1127"/>
    </row>
    <row r="1128" spans="1:20" x14ac:dyDescent="0.25">
      <c r="A1128" s="86" t="s">
        <v>1838</v>
      </c>
      <c r="B1128" t="s">
        <v>161</v>
      </c>
      <c r="K1128">
        <v>0</v>
      </c>
      <c r="N1128" s="72" t="s">
        <v>155</v>
      </c>
      <c r="O1128" t="s">
        <v>24</v>
      </c>
      <c r="P1128">
        <v>50</v>
      </c>
      <c r="Q1128" s="131">
        <v>24542</v>
      </c>
      <c r="S1128"/>
      <c r="T1128"/>
    </row>
    <row r="1129" spans="1:20" x14ac:dyDescent="0.25">
      <c r="A1129" s="86" t="s">
        <v>292</v>
      </c>
      <c r="B1129" t="s">
        <v>161</v>
      </c>
      <c r="K1129">
        <v>0</v>
      </c>
      <c r="N1129" s="72" t="s">
        <v>12</v>
      </c>
      <c r="O1129" t="s">
        <v>24</v>
      </c>
      <c r="P1129">
        <v>50</v>
      </c>
      <c r="S1129"/>
      <c r="T1129"/>
    </row>
    <row r="1130" spans="1:20" x14ac:dyDescent="0.25">
      <c r="A1130" s="86" t="s">
        <v>372</v>
      </c>
      <c r="B1130" t="s">
        <v>160</v>
      </c>
      <c r="C1130">
        <v>72</v>
      </c>
      <c r="E1130">
        <v>91</v>
      </c>
      <c r="K1130">
        <v>163</v>
      </c>
      <c r="N1130" s="72" t="s">
        <v>12</v>
      </c>
      <c r="O1130" s="48" t="s">
        <v>24</v>
      </c>
      <c r="P1130">
        <v>44</v>
      </c>
      <c r="Q1130" s="131">
        <v>27145</v>
      </c>
      <c r="S1130"/>
      <c r="T1130"/>
    </row>
    <row r="1131" spans="1:20" x14ac:dyDescent="0.25">
      <c r="A1131" s="86" t="s">
        <v>1472</v>
      </c>
      <c r="B1131" t="s">
        <v>67</v>
      </c>
      <c r="K1131">
        <v>0</v>
      </c>
      <c r="N1131" s="72" t="s">
        <v>12</v>
      </c>
      <c r="O1131" t="s">
        <v>24</v>
      </c>
      <c r="P1131">
        <v>27</v>
      </c>
      <c r="Q1131" s="131">
        <v>32369</v>
      </c>
      <c r="S1131"/>
      <c r="T1131"/>
    </row>
    <row r="1132" spans="1:20" x14ac:dyDescent="0.25">
      <c r="A1132" s="86" t="s">
        <v>1070</v>
      </c>
      <c r="B1132" t="s">
        <v>161</v>
      </c>
      <c r="C1132">
        <v>79</v>
      </c>
      <c r="E1132">
        <v>96</v>
      </c>
      <c r="K1132">
        <v>175</v>
      </c>
      <c r="N1132" s="72" t="s">
        <v>12</v>
      </c>
      <c r="O1132" t="s">
        <v>24</v>
      </c>
      <c r="P1132">
        <v>53</v>
      </c>
      <c r="Q1132" s="131">
        <v>23700</v>
      </c>
      <c r="S1132"/>
      <c r="T1132"/>
    </row>
    <row r="1133" spans="1:20" x14ac:dyDescent="0.25">
      <c r="A1133" s="86" t="s">
        <v>1784</v>
      </c>
      <c r="B1133" t="s">
        <v>160</v>
      </c>
      <c r="C1133">
        <v>114</v>
      </c>
      <c r="E1133">
        <v>144</v>
      </c>
      <c r="F1133">
        <v>130</v>
      </c>
      <c r="K1133">
        <v>388</v>
      </c>
      <c r="N1133" s="72" t="s">
        <v>12</v>
      </c>
      <c r="O1133" t="s">
        <v>24</v>
      </c>
      <c r="P1133">
        <v>45</v>
      </c>
      <c r="Q1133" s="131">
        <v>26569</v>
      </c>
      <c r="S1133"/>
      <c r="T1133"/>
    </row>
    <row r="1134" spans="1:20" x14ac:dyDescent="0.25">
      <c r="A1134" s="86" t="s">
        <v>1342</v>
      </c>
      <c r="B1134" t="s">
        <v>157</v>
      </c>
      <c r="K1134">
        <v>0</v>
      </c>
      <c r="N1134" s="72" t="s">
        <v>63</v>
      </c>
      <c r="O1134" t="s">
        <v>23</v>
      </c>
      <c r="P1134">
        <v>35</v>
      </c>
      <c r="Q1134" s="131">
        <v>29904</v>
      </c>
      <c r="S1134"/>
      <c r="T1134"/>
    </row>
    <row r="1135" spans="1:20" x14ac:dyDescent="0.25">
      <c r="A1135" s="86" t="s">
        <v>1443</v>
      </c>
      <c r="B1135" t="s">
        <v>160</v>
      </c>
      <c r="K1135">
        <v>0</v>
      </c>
      <c r="N1135" s="72" t="s">
        <v>505</v>
      </c>
      <c r="O1135" t="s">
        <v>24</v>
      </c>
      <c r="P1135">
        <v>42</v>
      </c>
      <c r="Q1135" s="131">
        <v>26897</v>
      </c>
      <c r="S1135"/>
      <c r="T1135"/>
    </row>
    <row r="1136" spans="1:20" x14ac:dyDescent="0.25">
      <c r="A1136" s="86" t="s">
        <v>1552</v>
      </c>
      <c r="B1136" t="s">
        <v>161</v>
      </c>
      <c r="K1136">
        <v>0</v>
      </c>
      <c r="N1136" s="72" t="s">
        <v>2008</v>
      </c>
      <c r="O1136" t="s">
        <v>24</v>
      </c>
      <c r="S1136"/>
      <c r="T1136"/>
    </row>
    <row r="1137" spans="1:20" x14ac:dyDescent="0.25">
      <c r="A1137" s="86" t="s">
        <v>2405</v>
      </c>
      <c r="B1137" t="s">
        <v>160</v>
      </c>
      <c r="E1137">
        <v>203</v>
      </c>
      <c r="K1137">
        <v>203</v>
      </c>
      <c r="N1137" s="72" t="s">
        <v>63</v>
      </c>
      <c r="O1137" t="s">
        <v>24</v>
      </c>
      <c r="P1137">
        <v>47</v>
      </c>
      <c r="Q1137" s="131">
        <v>25807</v>
      </c>
      <c r="S1137"/>
      <c r="T1137"/>
    </row>
    <row r="1138" spans="1:20" x14ac:dyDescent="0.25">
      <c r="A1138" s="86" t="s">
        <v>773</v>
      </c>
      <c r="B1138" t="s">
        <v>160</v>
      </c>
      <c r="K1138">
        <v>0</v>
      </c>
      <c r="N1138" s="72" t="s">
        <v>819</v>
      </c>
      <c r="O1138" t="s">
        <v>24</v>
      </c>
      <c r="P1138">
        <v>49</v>
      </c>
      <c r="S1138"/>
      <c r="T1138"/>
    </row>
    <row r="1139" spans="1:20" x14ac:dyDescent="0.25">
      <c r="A1139" s="86" t="s">
        <v>1347</v>
      </c>
      <c r="B1139" t="s">
        <v>158</v>
      </c>
      <c r="C1139">
        <v>96</v>
      </c>
      <c r="K1139">
        <v>96</v>
      </c>
      <c r="N1139" s="72" t="s">
        <v>38</v>
      </c>
      <c r="O1139" t="s">
        <v>23</v>
      </c>
      <c r="P1139">
        <v>46</v>
      </c>
      <c r="Q1139" s="131">
        <v>26039</v>
      </c>
      <c r="S1139"/>
      <c r="T1139"/>
    </row>
    <row r="1140" spans="1:20" x14ac:dyDescent="0.25">
      <c r="A1140" s="86" t="s">
        <v>1129</v>
      </c>
      <c r="B1140" t="s">
        <v>159</v>
      </c>
      <c r="K1140">
        <v>0</v>
      </c>
      <c r="N1140" s="72" t="s">
        <v>155</v>
      </c>
      <c r="O1140" t="s">
        <v>23</v>
      </c>
      <c r="P1140">
        <v>58</v>
      </c>
      <c r="S1140"/>
      <c r="T1140"/>
    </row>
    <row r="1141" spans="1:20" x14ac:dyDescent="0.25">
      <c r="A1141" s="86" t="s">
        <v>495</v>
      </c>
      <c r="B1141" t="s">
        <v>157</v>
      </c>
      <c r="K1141">
        <v>0</v>
      </c>
      <c r="N1141" s="72" t="s">
        <v>43</v>
      </c>
      <c r="O1141" t="s">
        <v>23</v>
      </c>
      <c r="P1141">
        <v>41</v>
      </c>
      <c r="Q1141" s="131">
        <v>27982</v>
      </c>
      <c r="S1141"/>
      <c r="T1141"/>
    </row>
    <row r="1142" spans="1:20" x14ac:dyDescent="0.25">
      <c r="A1142" s="86" t="s">
        <v>811</v>
      </c>
      <c r="B1142" t="s">
        <v>159</v>
      </c>
      <c r="K1142">
        <v>0</v>
      </c>
      <c r="N1142" s="72" t="s">
        <v>155</v>
      </c>
      <c r="O1142" t="s">
        <v>23</v>
      </c>
      <c r="P1142">
        <v>56</v>
      </c>
      <c r="S1142"/>
      <c r="T1142"/>
    </row>
    <row r="1143" spans="1:20" x14ac:dyDescent="0.25">
      <c r="A1143" s="86" t="s">
        <v>1624</v>
      </c>
      <c r="B1143" t="s">
        <v>159</v>
      </c>
      <c r="E1143">
        <v>168</v>
      </c>
      <c r="K1143">
        <v>168</v>
      </c>
      <c r="N1143" s="72" t="s">
        <v>38</v>
      </c>
      <c r="O1143" t="s">
        <v>23</v>
      </c>
      <c r="P1143">
        <v>61</v>
      </c>
      <c r="Q1143" s="131">
        <v>20708</v>
      </c>
      <c r="S1143"/>
      <c r="T1143"/>
    </row>
    <row r="1144" spans="1:20" x14ac:dyDescent="0.25">
      <c r="A1144" s="86" t="s">
        <v>995</v>
      </c>
      <c r="B1144" t="s">
        <v>157</v>
      </c>
      <c r="K1144">
        <v>0</v>
      </c>
      <c r="N1144" s="72" t="s">
        <v>1324</v>
      </c>
      <c r="O1144" t="s">
        <v>23</v>
      </c>
      <c r="P1144">
        <v>41</v>
      </c>
      <c r="S1144"/>
      <c r="T1144"/>
    </row>
    <row r="1145" spans="1:20" x14ac:dyDescent="0.25">
      <c r="A1145" s="86" t="s">
        <v>840</v>
      </c>
      <c r="B1145" t="s">
        <v>156</v>
      </c>
      <c r="K1145">
        <v>0</v>
      </c>
      <c r="N1145" s="72" t="s">
        <v>12</v>
      </c>
      <c r="O1145" t="s">
        <v>23</v>
      </c>
      <c r="P1145">
        <v>30</v>
      </c>
      <c r="S1145"/>
      <c r="T1145"/>
    </row>
    <row r="1146" spans="1:20" x14ac:dyDescent="0.25">
      <c r="A1146" s="86" t="s">
        <v>1330</v>
      </c>
      <c r="B1146" t="s">
        <v>158</v>
      </c>
      <c r="K1146">
        <v>0</v>
      </c>
      <c r="N1146" s="72" t="s">
        <v>505</v>
      </c>
      <c r="O1146" t="s">
        <v>23</v>
      </c>
      <c r="P1146">
        <v>49</v>
      </c>
      <c r="S1146"/>
      <c r="T1146"/>
    </row>
    <row r="1147" spans="1:20" x14ac:dyDescent="0.25">
      <c r="A1147" s="86" t="s">
        <v>1093</v>
      </c>
      <c r="B1147" t="s">
        <v>157</v>
      </c>
      <c r="K1147">
        <v>0</v>
      </c>
      <c r="N1147" s="72" t="s">
        <v>155</v>
      </c>
      <c r="O1147" t="s">
        <v>23</v>
      </c>
      <c r="P1147">
        <v>36</v>
      </c>
      <c r="S1147"/>
      <c r="T1147"/>
    </row>
    <row r="1148" spans="1:20" x14ac:dyDescent="0.25">
      <c r="A1148" s="86" t="s">
        <v>955</v>
      </c>
      <c r="B1148" t="s">
        <v>161</v>
      </c>
      <c r="E1148">
        <v>50</v>
      </c>
      <c r="K1148">
        <v>50</v>
      </c>
      <c r="N1148" s="72" t="s">
        <v>63</v>
      </c>
      <c r="O1148" t="s">
        <v>24</v>
      </c>
      <c r="P1148">
        <v>52</v>
      </c>
      <c r="Q1148" s="131">
        <v>24208</v>
      </c>
      <c r="S1148"/>
      <c r="T1148"/>
    </row>
    <row r="1149" spans="1:20" x14ac:dyDescent="0.25">
      <c r="A1149" s="86" t="s">
        <v>1693</v>
      </c>
      <c r="B1149" t="s">
        <v>159</v>
      </c>
      <c r="K1149">
        <v>0</v>
      </c>
      <c r="N1149" s="72" t="s">
        <v>15</v>
      </c>
      <c r="O1149" t="s">
        <v>23</v>
      </c>
      <c r="P1149">
        <v>56</v>
      </c>
      <c r="Q1149" s="131">
        <v>21936</v>
      </c>
      <c r="S1149"/>
      <c r="T1149"/>
    </row>
    <row r="1150" spans="1:20" x14ac:dyDescent="0.25">
      <c r="A1150" s="86" t="s">
        <v>2277</v>
      </c>
      <c r="B1150" t="s">
        <v>67</v>
      </c>
      <c r="D1150">
        <v>74</v>
      </c>
      <c r="K1150">
        <v>74</v>
      </c>
      <c r="N1150" s="72" t="s">
        <v>155</v>
      </c>
      <c r="O1150" t="s">
        <v>24</v>
      </c>
      <c r="P1150">
        <v>36</v>
      </c>
      <c r="Q1150" s="131">
        <v>29797</v>
      </c>
      <c r="S1150"/>
      <c r="T1150"/>
    </row>
    <row r="1151" spans="1:20" x14ac:dyDescent="0.25">
      <c r="A1151" s="86" t="s">
        <v>2386</v>
      </c>
      <c r="B1151" t="s">
        <v>67</v>
      </c>
      <c r="E1151">
        <v>191</v>
      </c>
      <c r="K1151">
        <v>191</v>
      </c>
      <c r="N1151" s="72" t="s">
        <v>505</v>
      </c>
      <c r="O1151" t="s">
        <v>24</v>
      </c>
      <c r="P1151">
        <v>36</v>
      </c>
      <c r="Q1151" s="131">
        <v>29768</v>
      </c>
      <c r="S1151"/>
      <c r="T1151"/>
    </row>
    <row r="1152" spans="1:20" x14ac:dyDescent="0.25">
      <c r="A1152" s="86" t="s">
        <v>364</v>
      </c>
      <c r="B1152" t="s">
        <v>67</v>
      </c>
      <c r="C1152">
        <v>2</v>
      </c>
      <c r="D1152">
        <v>3</v>
      </c>
      <c r="E1152">
        <v>5</v>
      </c>
      <c r="K1152">
        <v>10</v>
      </c>
      <c r="N1152" s="72" t="s">
        <v>12</v>
      </c>
      <c r="O1152" t="s">
        <v>24</v>
      </c>
      <c r="P1152">
        <v>34</v>
      </c>
      <c r="Q1152" s="131">
        <v>30654</v>
      </c>
      <c r="S1152"/>
      <c r="T1152"/>
    </row>
    <row r="1153" spans="1:20" x14ac:dyDescent="0.25">
      <c r="A1153" s="86" t="s">
        <v>1934</v>
      </c>
      <c r="B1153" t="s">
        <v>161</v>
      </c>
      <c r="K1153">
        <v>0</v>
      </c>
      <c r="N1153" s="72" t="s">
        <v>108</v>
      </c>
      <c r="O1153" t="s">
        <v>852</v>
      </c>
      <c r="P1153">
        <v>51</v>
      </c>
      <c r="Q1153" s="131">
        <v>24224</v>
      </c>
      <c r="S1153"/>
      <c r="T1153"/>
    </row>
    <row r="1154" spans="1:20" x14ac:dyDescent="0.25">
      <c r="A1154" s="86" t="s">
        <v>1453</v>
      </c>
      <c r="B1154" t="s">
        <v>67</v>
      </c>
      <c r="K1154">
        <v>0</v>
      </c>
      <c r="N1154" s="72" t="s">
        <v>505</v>
      </c>
      <c r="O1154" t="s">
        <v>24</v>
      </c>
      <c r="P1154">
        <v>39</v>
      </c>
      <c r="Q1154" s="131">
        <v>27983</v>
      </c>
      <c r="S1154"/>
      <c r="T1154"/>
    </row>
    <row r="1155" spans="1:20" x14ac:dyDescent="0.25">
      <c r="A1155" s="86" t="s">
        <v>1369</v>
      </c>
      <c r="B1155" t="s">
        <v>67</v>
      </c>
      <c r="K1155">
        <v>0</v>
      </c>
      <c r="N1155" s="72" t="s">
        <v>38</v>
      </c>
      <c r="O1155" t="s">
        <v>24</v>
      </c>
      <c r="P1155">
        <v>35</v>
      </c>
      <c r="Q1155" s="131">
        <v>29895</v>
      </c>
      <c r="S1155"/>
      <c r="T1155"/>
    </row>
    <row r="1156" spans="1:20" x14ac:dyDescent="0.25">
      <c r="A1156" s="86" t="s">
        <v>326</v>
      </c>
      <c r="B1156" t="s">
        <v>160</v>
      </c>
      <c r="K1156">
        <v>0</v>
      </c>
      <c r="N1156" s="72" t="s">
        <v>14</v>
      </c>
      <c r="O1156" t="s">
        <v>24</v>
      </c>
      <c r="P1156">
        <v>47</v>
      </c>
      <c r="Q1156" s="131">
        <v>25668</v>
      </c>
      <c r="S1156"/>
      <c r="T1156"/>
    </row>
    <row r="1157" spans="1:20" x14ac:dyDescent="0.25">
      <c r="A1157" s="86" t="s">
        <v>215</v>
      </c>
      <c r="B1157" t="s">
        <v>161</v>
      </c>
      <c r="K1157">
        <v>0</v>
      </c>
      <c r="N1157" s="72" t="s">
        <v>38</v>
      </c>
      <c r="O1157" t="s">
        <v>24</v>
      </c>
      <c r="P1157">
        <v>56</v>
      </c>
      <c r="Q1157" s="131">
        <v>21985</v>
      </c>
      <c r="S1157"/>
      <c r="T1157"/>
    </row>
    <row r="1158" spans="1:20" x14ac:dyDescent="0.25">
      <c r="A1158" s="86" t="s">
        <v>1837</v>
      </c>
      <c r="B1158" t="s">
        <v>161</v>
      </c>
      <c r="K1158">
        <v>0</v>
      </c>
      <c r="N1158" s="72" t="s">
        <v>43</v>
      </c>
      <c r="O1158" t="s">
        <v>24</v>
      </c>
      <c r="P1158">
        <v>52</v>
      </c>
      <c r="Q1158" s="131">
        <v>23692</v>
      </c>
      <c r="S1158"/>
      <c r="T1158"/>
    </row>
    <row r="1159" spans="1:20" x14ac:dyDescent="0.25">
      <c r="A1159" s="86" t="s">
        <v>2310</v>
      </c>
      <c r="B1159" t="s">
        <v>161</v>
      </c>
      <c r="D1159">
        <v>77</v>
      </c>
      <c r="K1159">
        <v>77</v>
      </c>
      <c r="N1159" s="72" t="s">
        <v>1805</v>
      </c>
      <c r="O1159" t="s">
        <v>24</v>
      </c>
      <c r="P1159">
        <v>56</v>
      </c>
      <c r="Q1159" s="131">
        <v>22609</v>
      </c>
      <c r="S1159"/>
      <c r="T1159"/>
    </row>
    <row r="1160" spans="1:20" x14ac:dyDescent="0.25">
      <c r="A1160" s="86" t="s">
        <v>2335</v>
      </c>
      <c r="B1160" t="s">
        <v>161</v>
      </c>
      <c r="E1160">
        <v>105</v>
      </c>
      <c r="K1160">
        <v>105</v>
      </c>
      <c r="N1160" s="72" t="s">
        <v>1805</v>
      </c>
      <c r="O1160" t="s">
        <v>24</v>
      </c>
      <c r="P1160">
        <v>56</v>
      </c>
      <c r="Q1160" s="131">
        <v>22609</v>
      </c>
      <c r="S1160"/>
      <c r="T1160"/>
    </row>
    <row r="1161" spans="1:20" x14ac:dyDescent="0.25">
      <c r="A1161" s="86" t="s">
        <v>1831</v>
      </c>
      <c r="B1161" t="s">
        <v>67</v>
      </c>
      <c r="K1161">
        <v>0</v>
      </c>
      <c r="N1161" s="72" t="s">
        <v>650</v>
      </c>
      <c r="O1161" t="s">
        <v>24</v>
      </c>
      <c r="P1161">
        <v>39</v>
      </c>
      <c r="Q1161" s="131">
        <v>28450</v>
      </c>
      <c r="S1161"/>
      <c r="T1161"/>
    </row>
    <row r="1162" spans="1:20" x14ac:dyDescent="0.25">
      <c r="A1162" s="86" t="s">
        <v>1643</v>
      </c>
      <c r="B1162" t="s">
        <v>160</v>
      </c>
      <c r="K1162">
        <v>0</v>
      </c>
      <c r="N1162" s="72" t="s">
        <v>43</v>
      </c>
      <c r="O1162" t="s">
        <v>24</v>
      </c>
      <c r="P1162">
        <v>45</v>
      </c>
      <c r="Q1162" s="131">
        <v>25956</v>
      </c>
      <c r="S1162"/>
      <c r="T1162"/>
    </row>
    <row r="1163" spans="1:20" x14ac:dyDescent="0.25">
      <c r="A1163" s="86" t="s">
        <v>442</v>
      </c>
      <c r="B1163" t="s">
        <v>160</v>
      </c>
      <c r="K1163">
        <v>0</v>
      </c>
      <c r="N1163" s="72" t="s">
        <v>657</v>
      </c>
      <c r="O1163" t="s">
        <v>24</v>
      </c>
      <c r="P1163">
        <v>40</v>
      </c>
      <c r="S1163"/>
      <c r="T1163"/>
    </row>
    <row r="1164" spans="1:20" x14ac:dyDescent="0.25">
      <c r="A1164" s="86" t="s">
        <v>674</v>
      </c>
      <c r="B1164" t="s">
        <v>67</v>
      </c>
      <c r="K1164">
        <v>0</v>
      </c>
      <c r="N1164" s="72" t="s">
        <v>661</v>
      </c>
      <c r="O1164" t="s">
        <v>24</v>
      </c>
      <c r="P1164">
        <v>30</v>
      </c>
      <c r="S1164"/>
      <c r="T1164"/>
    </row>
    <row r="1165" spans="1:20" x14ac:dyDescent="0.25">
      <c r="A1165" s="86" t="s">
        <v>2320</v>
      </c>
      <c r="B1165" t="s">
        <v>67</v>
      </c>
      <c r="E1165">
        <v>24</v>
      </c>
      <c r="F1165">
        <v>25</v>
      </c>
      <c r="K1165">
        <v>49</v>
      </c>
      <c r="N1165" s="72" t="s">
        <v>63</v>
      </c>
      <c r="O1165" t="s">
        <v>24</v>
      </c>
      <c r="P1165">
        <v>33</v>
      </c>
      <c r="Q1165" s="131">
        <v>31157</v>
      </c>
      <c r="S1165"/>
      <c r="T1165"/>
    </row>
    <row r="1166" spans="1:20" x14ac:dyDescent="0.25">
      <c r="A1166" s="86" t="s">
        <v>1785</v>
      </c>
      <c r="B1166" t="s">
        <v>67</v>
      </c>
      <c r="C1166">
        <v>30</v>
      </c>
      <c r="D1166">
        <v>28</v>
      </c>
      <c r="E1166">
        <v>30</v>
      </c>
      <c r="F1166">
        <v>40</v>
      </c>
      <c r="K1166">
        <v>128</v>
      </c>
      <c r="N1166" s="72" t="s">
        <v>12</v>
      </c>
      <c r="O1166" t="s">
        <v>24</v>
      </c>
      <c r="P1166">
        <v>27</v>
      </c>
      <c r="Q1166" s="131">
        <v>33306</v>
      </c>
      <c r="S1166"/>
      <c r="T1166"/>
    </row>
    <row r="1167" spans="1:20" x14ac:dyDescent="0.25">
      <c r="A1167" s="86" t="s">
        <v>2290</v>
      </c>
      <c r="B1167" t="s">
        <v>161</v>
      </c>
      <c r="D1167">
        <v>137</v>
      </c>
      <c r="K1167">
        <v>137</v>
      </c>
      <c r="N1167" s="72" t="s">
        <v>505</v>
      </c>
      <c r="O1167" t="s">
        <v>24</v>
      </c>
      <c r="P1167">
        <v>50</v>
      </c>
      <c r="Q1167" s="131">
        <v>24998</v>
      </c>
      <c r="S1167"/>
      <c r="T1167"/>
    </row>
    <row r="1168" spans="1:20" x14ac:dyDescent="0.25">
      <c r="A1168" s="86" t="s">
        <v>1715</v>
      </c>
      <c r="B1168" t="s">
        <v>161</v>
      </c>
      <c r="K1168">
        <v>0</v>
      </c>
      <c r="N1168" s="72" t="s">
        <v>505</v>
      </c>
      <c r="O1168" t="s">
        <v>24</v>
      </c>
      <c r="P1168">
        <v>53</v>
      </c>
      <c r="Q1168" s="131">
        <v>23128</v>
      </c>
      <c r="S1168"/>
      <c r="T1168"/>
    </row>
    <row r="1169" spans="1:20" x14ac:dyDescent="0.25">
      <c r="A1169" s="86" t="s">
        <v>2336</v>
      </c>
      <c r="B1169" t="s">
        <v>161</v>
      </c>
      <c r="E1169">
        <v>110</v>
      </c>
      <c r="K1169">
        <v>110</v>
      </c>
      <c r="N1169" s="72" t="s">
        <v>505</v>
      </c>
      <c r="O1169" t="s">
        <v>24</v>
      </c>
      <c r="P1169">
        <v>51</v>
      </c>
      <c r="Q1169" s="131">
        <v>24317</v>
      </c>
      <c r="S1169"/>
      <c r="T1169"/>
    </row>
    <row r="1170" spans="1:20" x14ac:dyDescent="0.25">
      <c r="A1170" s="86" t="s">
        <v>2378</v>
      </c>
      <c r="B1170" t="s">
        <v>161</v>
      </c>
      <c r="E1170">
        <v>186</v>
      </c>
      <c r="K1170">
        <v>186</v>
      </c>
      <c r="N1170" s="72" t="s">
        <v>2411</v>
      </c>
      <c r="O1170" t="s">
        <v>24</v>
      </c>
      <c r="P1170">
        <v>51</v>
      </c>
      <c r="Q1170" s="131">
        <v>24597</v>
      </c>
      <c r="S1170"/>
      <c r="T1170"/>
    </row>
    <row r="1171" spans="1:20" x14ac:dyDescent="0.25">
      <c r="A1171" s="86" t="s">
        <v>663</v>
      </c>
      <c r="B1171" t="s">
        <v>67</v>
      </c>
      <c r="K1171">
        <v>0</v>
      </c>
      <c r="N1171" s="72" t="s">
        <v>653</v>
      </c>
      <c r="O1171" t="s">
        <v>24</v>
      </c>
      <c r="P1171">
        <v>30</v>
      </c>
      <c r="S1171"/>
      <c r="T1171"/>
    </row>
    <row r="1172" spans="1:20" x14ac:dyDescent="0.25">
      <c r="A1172" s="86" t="s">
        <v>1485</v>
      </c>
      <c r="B1172" t="s">
        <v>67</v>
      </c>
      <c r="K1172">
        <v>0</v>
      </c>
      <c r="N1172" s="72" t="s">
        <v>63</v>
      </c>
      <c r="O1172" t="s">
        <v>24</v>
      </c>
      <c r="P1172">
        <v>38</v>
      </c>
      <c r="Q1172" s="131">
        <v>28763</v>
      </c>
      <c r="S1172"/>
      <c r="T1172"/>
    </row>
    <row r="1173" spans="1:20" x14ac:dyDescent="0.25">
      <c r="A1173" s="86" t="s">
        <v>1621</v>
      </c>
      <c r="B1173" t="s">
        <v>160</v>
      </c>
      <c r="K1173">
        <v>0</v>
      </c>
      <c r="N1173" s="72" t="s">
        <v>10</v>
      </c>
      <c r="O1173" t="s">
        <v>24</v>
      </c>
      <c r="P1173">
        <v>49</v>
      </c>
      <c r="S1173"/>
      <c r="T1173"/>
    </row>
    <row r="1174" spans="1:20" x14ac:dyDescent="0.25">
      <c r="A1174" s="86" t="s">
        <v>2229</v>
      </c>
      <c r="B1174" t="s">
        <v>67</v>
      </c>
      <c r="C1174">
        <v>120</v>
      </c>
      <c r="K1174">
        <v>120</v>
      </c>
      <c r="N1174" s="72" t="s">
        <v>12</v>
      </c>
      <c r="O1174" t="s">
        <v>24</v>
      </c>
      <c r="S1174"/>
      <c r="T1174"/>
    </row>
    <row r="1175" spans="1:20" x14ac:dyDescent="0.25">
      <c r="A1175" s="86" t="s">
        <v>178</v>
      </c>
      <c r="B1175" t="s">
        <v>67</v>
      </c>
      <c r="K1175">
        <v>0</v>
      </c>
      <c r="N1175" s="72" t="s">
        <v>12</v>
      </c>
      <c r="O1175" t="s">
        <v>24</v>
      </c>
      <c r="P1175">
        <v>27</v>
      </c>
      <c r="Q1175" s="131">
        <v>32722</v>
      </c>
      <c r="S1175"/>
      <c r="T1175"/>
    </row>
    <row r="1176" spans="1:20" x14ac:dyDescent="0.25">
      <c r="A1176" s="86" t="s">
        <v>679</v>
      </c>
      <c r="B1176" t="s">
        <v>157</v>
      </c>
      <c r="K1176">
        <v>0</v>
      </c>
      <c r="N1176" s="72" t="s">
        <v>653</v>
      </c>
      <c r="O1176" t="s">
        <v>23</v>
      </c>
      <c r="P1176">
        <v>35</v>
      </c>
      <c r="S1176"/>
      <c r="T1176"/>
    </row>
    <row r="1177" spans="1:20" x14ac:dyDescent="0.25">
      <c r="A1177" s="86" t="s">
        <v>1719</v>
      </c>
      <c r="B1177" t="s">
        <v>160</v>
      </c>
      <c r="K1177">
        <v>0</v>
      </c>
      <c r="N1177" s="72" t="s">
        <v>38</v>
      </c>
      <c r="O1177" t="s">
        <v>24</v>
      </c>
      <c r="P1177">
        <v>48</v>
      </c>
      <c r="Q1177" s="131">
        <v>24883</v>
      </c>
      <c r="S1177"/>
      <c r="T1177"/>
    </row>
    <row r="1178" spans="1:20" x14ac:dyDescent="0.25">
      <c r="A1178" s="86" t="s">
        <v>1180</v>
      </c>
      <c r="B1178" t="s">
        <v>160</v>
      </c>
      <c r="D1178">
        <v>11</v>
      </c>
      <c r="K1178">
        <v>11</v>
      </c>
      <c r="N1178" s="72" t="s">
        <v>817</v>
      </c>
      <c r="O1178" t="s">
        <v>24</v>
      </c>
      <c r="P1178">
        <v>45</v>
      </c>
      <c r="Q1178" s="131">
        <v>26578</v>
      </c>
      <c r="S1178"/>
      <c r="T1178"/>
    </row>
    <row r="1179" spans="1:20" x14ac:dyDescent="0.25">
      <c r="A1179" s="86" t="s">
        <v>846</v>
      </c>
      <c r="B1179" t="s">
        <v>162</v>
      </c>
      <c r="K1179">
        <v>0</v>
      </c>
      <c r="N1179" s="72" t="s">
        <v>847</v>
      </c>
      <c r="O1179" t="s">
        <v>24</v>
      </c>
      <c r="P1179">
        <v>63</v>
      </c>
      <c r="Q1179" s="131">
        <v>19053</v>
      </c>
      <c r="S1179"/>
      <c r="T1179"/>
    </row>
    <row r="1180" spans="1:20" x14ac:dyDescent="0.25">
      <c r="A1180" s="86" t="s">
        <v>1464</v>
      </c>
      <c r="B1180" t="s">
        <v>161</v>
      </c>
      <c r="E1180">
        <v>190</v>
      </c>
      <c r="K1180">
        <v>190</v>
      </c>
      <c r="N1180" s="72" t="s">
        <v>2412</v>
      </c>
      <c r="O1180" t="s">
        <v>24</v>
      </c>
      <c r="P1180">
        <v>55</v>
      </c>
      <c r="Q1180" s="131">
        <v>23057</v>
      </c>
      <c r="S1180"/>
      <c r="T1180"/>
    </row>
    <row r="1181" spans="1:20" x14ac:dyDescent="0.25">
      <c r="A1181" s="86" t="s">
        <v>1963</v>
      </c>
      <c r="B1181" t="s">
        <v>67</v>
      </c>
      <c r="K1181">
        <v>0</v>
      </c>
      <c r="N1181" s="72" t="s">
        <v>14</v>
      </c>
      <c r="O1181" t="s">
        <v>24</v>
      </c>
      <c r="S1181"/>
      <c r="T1181"/>
    </row>
    <row r="1182" spans="1:20" x14ac:dyDescent="0.25">
      <c r="A1182" s="86" t="s">
        <v>2217</v>
      </c>
      <c r="B1182" t="s">
        <v>160</v>
      </c>
      <c r="C1182">
        <v>106</v>
      </c>
      <c r="D1182">
        <v>102</v>
      </c>
      <c r="E1182">
        <v>133</v>
      </c>
      <c r="F1182">
        <v>114</v>
      </c>
      <c r="K1182">
        <v>455</v>
      </c>
      <c r="N1182" s="72" t="s">
        <v>1805</v>
      </c>
      <c r="O1182" t="s">
        <v>24</v>
      </c>
      <c r="P1182">
        <v>41</v>
      </c>
      <c r="Q1182" s="131">
        <v>28084</v>
      </c>
      <c r="S1182"/>
      <c r="T1182"/>
    </row>
    <row r="1183" spans="1:20" x14ac:dyDescent="0.25">
      <c r="A1183" s="86" t="s">
        <v>1050</v>
      </c>
      <c r="B1183" t="s">
        <v>160</v>
      </c>
      <c r="E1183">
        <v>67</v>
      </c>
      <c r="K1183">
        <v>67</v>
      </c>
      <c r="N1183" s="72" t="s">
        <v>154</v>
      </c>
      <c r="O1183" t="s">
        <v>24</v>
      </c>
      <c r="P1183">
        <v>49</v>
      </c>
      <c r="Q1183" s="131">
        <v>25162</v>
      </c>
      <c r="S1183"/>
      <c r="T1183"/>
    </row>
    <row r="1184" spans="1:20" x14ac:dyDescent="0.25">
      <c r="A1184" s="86" t="s">
        <v>1471</v>
      </c>
      <c r="B1184" t="s">
        <v>160</v>
      </c>
      <c r="K1184">
        <v>0</v>
      </c>
      <c r="N1184" s="72" t="s">
        <v>1923</v>
      </c>
      <c r="O1184" t="s">
        <v>24</v>
      </c>
      <c r="P1184">
        <v>46</v>
      </c>
      <c r="Q1184" s="131">
        <v>25918</v>
      </c>
      <c r="S1184"/>
      <c r="T1184"/>
    </row>
    <row r="1185" spans="1:20" x14ac:dyDescent="0.25">
      <c r="A1185" s="86" t="s">
        <v>1105</v>
      </c>
      <c r="B1185" t="s">
        <v>162</v>
      </c>
      <c r="E1185">
        <v>170</v>
      </c>
      <c r="F1185">
        <v>133</v>
      </c>
      <c r="K1185">
        <v>303</v>
      </c>
      <c r="N1185" s="72" t="s">
        <v>43</v>
      </c>
      <c r="O1185" t="s">
        <v>24</v>
      </c>
      <c r="P1185">
        <v>68</v>
      </c>
      <c r="Q1185" s="131">
        <v>18325</v>
      </c>
      <c r="S1185"/>
      <c r="T1185"/>
    </row>
    <row r="1186" spans="1:20" x14ac:dyDescent="0.25">
      <c r="A1186" s="86" t="s">
        <v>1569</v>
      </c>
      <c r="B1186" t="s">
        <v>162</v>
      </c>
      <c r="K1186">
        <v>0</v>
      </c>
      <c r="N1186" s="72" t="s">
        <v>932</v>
      </c>
      <c r="O1186" t="s">
        <v>24</v>
      </c>
      <c r="S1186"/>
      <c r="T1186"/>
    </row>
    <row r="1187" spans="1:20" x14ac:dyDescent="0.25">
      <c r="A1187" s="86" t="s">
        <v>353</v>
      </c>
      <c r="B1187" t="s">
        <v>162</v>
      </c>
      <c r="C1187">
        <v>112</v>
      </c>
      <c r="D1187">
        <v>44</v>
      </c>
      <c r="E1187">
        <v>57</v>
      </c>
      <c r="F1187">
        <v>56</v>
      </c>
      <c r="K1187">
        <v>269</v>
      </c>
      <c r="N1187" s="72" t="s">
        <v>43</v>
      </c>
      <c r="O1187" t="s">
        <v>24</v>
      </c>
      <c r="P1187">
        <v>61</v>
      </c>
      <c r="Q1187" s="131">
        <v>20941</v>
      </c>
      <c r="S1187"/>
      <c r="T1187"/>
    </row>
    <row r="1188" spans="1:20" x14ac:dyDescent="0.25">
      <c r="A1188" s="86" t="s">
        <v>1806</v>
      </c>
      <c r="B1188" t="s">
        <v>67</v>
      </c>
      <c r="K1188">
        <v>0</v>
      </c>
      <c r="N1188" s="72" t="s">
        <v>38</v>
      </c>
      <c r="O1188" t="s">
        <v>24</v>
      </c>
      <c r="P1188">
        <v>39</v>
      </c>
      <c r="Q1188" s="131">
        <v>28580</v>
      </c>
      <c r="S1188"/>
      <c r="T1188"/>
    </row>
    <row r="1189" spans="1:20" x14ac:dyDescent="0.25">
      <c r="A1189" s="86" t="s">
        <v>887</v>
      </c>
      <c r="B1189" t="s">
        <v>160</v>
      </c>
      <c r="K1189">
        <v>0</v>
      </c>
      <c r="N1189" s="72" t="s">
        <v>63</v>
      </c>
      <c r="O1189" t="s">
        <v>24</v>
      </c>
      <c r="P1189">
        <v>43</v>
      </c>
      <c r="S1189"/>
      <c r="T1189"/>
    </row>
    <row r="1190" spans="1:20" x14ac:dyDescent="0.25">
      <c r="A1190" s="86" t="s">
        <v>1905</v>
      </c>
      <c r="B1190" t="s">
        <v>67</v>
      </c>
      <c r="F1190">
        <v>37</v>
      </c>
      <c r="K1190">
        <v>37</v>
      </c>
      <c r="N1190" s="72" t="s">
        <v>14</v>
      </c>
      <c r="O1190" t="s">
        <v>24</v>
      </c>
      <c r="P1190">
        <v>38</v>
      </c>
      <c r="Q1190" s="131">
        <v>29066</v>
      </c>
      <c r="S1190"/>
      <c r="T1190"/>
    </row>
    <row r="1191" spans="1:20" x14ac:dyDescent="0.25">
      <c r="A1191" s="86" t="s">
        <v>2285</v>
      </c>
      <c r="B1191" t="s">
        <v>67</v>
      </c>
      <c r="D1191">
        <v>84</v>
      </c>
      <c r="K1191">
        <v>84</v>
      </c>
      <c r="N1191" s="72" t="s">
        <v>63</v>
      </c>
      <c r="O1191" t="s">
        <v>24</v>
      </c>
      <c r="P1191">
        <v>29</v>
      </c>
      <c r="Q1191" s="131">
        <v>32368</v>
      </c>
      <c r="S1191"/>
      <c r="T1191"/>
    </row>
    <row r="1192" spans="1:20" x14ac:dyDescent="0.25">
      <c r="A1192" s="86" t="s">
        <v>1364</v>
      </c>
      <c r="B1192" t="s">
        <v>157</v>
      </c>
      <c r="K1192">
        <v>0</v>
      </c>
      <c r="N1192" s="72" t="s">
        <v>63</v>
      </c>
      <c r="O1192" t="s">
        <v>23</v>
      </c>
      <c r="P1192">
        <v>41</v>
      </c>
      <c r="Q1192" s="131">
        <v>27474</v>
      </c>
      <c r="S1192"/>
      <c r="T1192"/>
    </row>
    <row r="1193" spans="1:20" x14ac:dyDescent="0.25">
      <c r="A1193" s="86" t="s">
        <v>1584</v>
      </c>
      <c r="B1193" t="s">
        <v>158</v>
      </c>
      <c r="K1193">
        <v>0</v>
      </c>
      <c r="N1193" s="72" t="s">
        <v>1618</v>
      </c>
      <c r="O1193" t="s">
        <v>23</v>
      </c>
      <c r="S1193"/>
      <c r="T1193"/>
    </row>
    <row r="1194" spans="1:20" x14ac:dyDescent="0.25">
      <c r="A1194" s="86" t="s">
        <v>2025</v>
      </c>
      <c r="B1194" t="s">
        <v>157</v>
      </c>
      <c r="D1194">
        <v>110</v>
      </c>
      <c r="K1194">
        <v>110</v>
      </c>
      <c r="N1194" s="72" t="s">
        <v>1805</v>
      </c>
      <c r="O1194" t="s">
        <v>23</v>
      </c>
      <c r="P1194">
        <v>38</v>
      </c>
      <c r="Q1194" s="131">
        <v>29103</v>
      </c>
      <c r="S1194"/>
      <c r="T1194"/>
    </row>
    <row r="1195" spans="1:20" x14ac:dyDescent="0.25">
      <c r="A1195" s="86" t="s">
        <v>1972</v>
      </c>
      <c r="B1195" t="s">
        <v>156</v>
      </c>
      <c r="K1195">
        <v>0</v>
      </c>
      <c r="N1195" s="72" t="s">
        <v>653</v>
      </c>
      <c r="O1195" t="s">
        <v>23</v>
      </c>
      <c r="S1195"/>
      <c r="T1195"/>
    </row>
    <row r="1196" spans="1:20" x14ac:dyDescent="0.25">
      <c r="A1196" s="86" t="s">
        <v>2474</v>
      </c>
      <c r="B1196" t="s">
        <v>160</v>
      </c>
      <c r="F1196">
        <v>44</v>
      </c>
      <c r="K1196">
        <v>44</v>
      </c>
      <c r="N1196" s="72" t="s">
        <v>505</v>
      </c>
      <c r="O1196" t="s">
        <v>24</v>
      </c>
      <c r="P1196">
        <v>45</v>
      </c>
      <c r="S1196"/>
      <c r="T1196"/>
    </row>
    <row r="1197" spans="1:20" x14ac:dyDescent="0.25">
      <c r="A1197" s="86" t="s">
        <v>1868</v>
      </c>
      <c r="B1197" t="s">
        <v>67</v>
      </c>
      <c r="K1197">
        <v>0</v>
      </c>
      <c r="N1197" s="72" t="s">
        <v>932</v>
      </c>
      <c r="O1197" t="s">
        <v>24</v>
      </c>
      <c r="P1197">
        <v>29</v>
      </c>
      <c r="Q1197" s="131">
        <v>32013</v>
      </c>
      <c r="S1197"/>
      <c r="T1197"/>
    </row>
    <row r="1198" spans="1:20" x14ac:dyDescent="0.25">
      <c r="A1198" s="86" t="s">
        <v>436</v>
      </c>
      <c r="B1198" t="s">
        <v>159</v>
      </c>
      <c r="F1198">
        <v>18</v>
      </c>
      <c r="K1198">
        <v>18</v>
      </c>
      <c r="N1198" s="72" t="s">
        <v>14</v>
      </c>
      <c r="O1198" t="s">
        <v>23</v>
      </c>
      <c r="P1198">
        <v>55</v>
      </c>
      <c r="Q1198" s="131">
        <v>23058</v>
      </c>
      <c r="S1198"/>
      <c r="T1198"/>
    </row>
    <row r="1199" spans="1:20" x14ac:dyDescent="0.25">
      <c r="A1199" s="86" t="s">
        <v>1444</v>
      </c>
      <c r="B1199" t="s">
        <v>158</v>
      </c>
      <c r="K1199">
        <v>0</v>
      </c>
      <c r="N1199" s="72" t="s">
        <v>505</v>
      </c>
      <c r="O1199" t="s">
        <v>23</v>
      </c>
      <c r="P1199">
        <v>50</v>
      </c>
      <c r="Q1199" s="131">
        <v>24251</v>
      </c>
      <c r="S1199"/>
      <c r="T1199"/>
    </row>
    <row r="1200" spans="1:20" x14ac:dyDescent="0.25">
      <c r="A1200" s="86" t="s">
        <v>1760</v>
      </c>
      <c r="B1200" t="s">
        <v>159</v>
      </c>
      <c r="K1200">
        <v>0</v>
      </c>
      <c r="N1200" s="72" t="s">
        <v>12</v>
      </c>
      <c r="O1200" t="s">
        <v>23</v>
      </c>
      <c r="P1200">
        <v>55</v>
      </c>
      <c r="Q1200" s="131">
        <v>22672</v>
      </c>
      <c r="S1200"/>
      <c r="T1200"/>
    </row>
    <row r="1201" spans="1:20" x14ac:dyDescent="0.25">
      <c r="A1201" s="86" t="s">
        <v>1398</v>
      </c>
      <c r="B1201" t="s">
        <v>159</v>
      </c>
      <c r="K1201">
        <v>0</v>
      </c>
      <c r="N1201" s="72" t="s">
        <v>12</v>
      </c>
      <c r="O1201" t="s">
        <v>23</v>
      </c>
      <c r="P1201">
        <v>63</v>
      </c>
      <c r="Q1201" s="131">
        <v>19879</v>
      </c>
      <c r="S1201"/>
      <c r="T1201"/>
    </row>
    <row r="1202" spans="1:20" x14ac:dyDescent="0.25">
      <c r="A1202" s="86" t="s">
        <v>954</v>
      </c>
      <c r="B1202" t="s">
        <v>158</v>
      </c>
      <c r="K1202">
        <v>0</v>
      </c>
      <c r="N1202" s="72" t="s">
        <v>155</v>
      </c>
      <c r="O1202" t="s">
        <v>23</v>
      </c>
      <c r="P1202">
        <v>49</v>
      </c>
      <c r="S1202"/>
      <c r="T1202"/>
    </row>
    <row r="1203" spans="1:20" x14ac:dyDescent="0.25">
      <c r="A1203" s="86" t="s">
        <v>1561</v>
      </c>
      <c r="B1203" t="s">
        <v>67</v>
      </c>
      <c r="K1203">
        <v>0</v>
      </c>
      <c r="N1203" s="72" t="s">
        <v>657</v>
      </c>
      <c r="O1203" t="s">
        <v>24</v>
      </c>
      <c r="S1203"/>
      <c r="T1203"/>
    </row>
    <row r="1204" spans="1:20" x14ac:dyDescent="0.25">
      <c r="A1204" s="86" t="s">
        <v>2479</v>
      </c>
      <c r="B1204" t="s">
        <v>160</v>
      </c>
      <c r="F1204">
        <v>5</v>
      </c>
      <c r="K1204">
        <v>5</v>
      </c>
      <c r="N1204" s="72" t="s">
        <v>14</v>
      </c>
      <c r="O1204" s="48" t="s">
        <v>24</v>
      </c>
      <c r="P1204">
        <v>40</v>
      </c>
      <c r="S1204"/>
      <c r="T1204"/>
    </row>
    <row r="1205" spans="1:20" x14ac:dyDescent="0.25">
      <c r="A1205" s="86" t="s">
        <v>1011</v>
      </c>
      <c r="B1205" t="s">
        <v>67</v>
      </c>
      <c r="K1205">
        <v>0</v>
      </c>
      <c r="N1205" s="72" t="s">
        <v>14</v>
      </c>
      <c r="O1205" t="s">
        <v>24</v>
      </c>
      <c r="P1205">
        <v>21</v>
      </c>
      <c r="S1205"/>
      <c r="T1205"/>
    </row>
    <row r="1206" spans="1:20" x14ac:dyDescent="0.25">
      <c r="A1206" s="86" t="s">
        <v>1475</v>
      </c>
      <c r="B1206" t="s">
        <v>160</v>
      </c>
      <c r="E1206">
        <v>93</v>
      </c>
      <c r="K1206">
        <v>93</v>
      </c>
      <c r="N1206" s="72" t="s">
        <v>505</v>
      </c>
      <c r="O1206" t="s">
        <v>24</v>
      </c>
      <c r="P1206">
        <v>40</v>
      </c>
      <c r="Q1206" s="131">
        <v>28462</v>
      </c>
      <c r="S1206"/>
      <c r="T1206"/>
    </row>
    <row r="1207" spans="1:20" x14ac:dyDescent="0.25">
      <c r="A1207" s="86" t="s">
        <v>1541</v>
      </c>
      <c r="B1207" t="s">
        <v>67</v>
      </c>
      <c r="K1207">
        <v>0</v>
      </c>
      <c r="N1207" s="72" t="s">
        <v>653</v>
      </c>
      <c r="O1207" t="s">
        <v>24</v>
      </c>
      <c r="S1207"/>
      <c r="T1207"/>
    </row>
    <row r="1208" spans="1:20" x14ac:dyDescent="0.25">
      <c r="A1208" s="86" t="s">
        <v>2441</v>
      </c>
      <c r="B1208" t="s">
        <v>67</v>
      </c>
      <c r="F1208">
        <v>136</v>
      </c>
      <c r="K1208">
        <v>136</v>
      </c>
      <c r="N1208" s="72" t="s">
        <v>155</v>
      </c>
      <c r="O1208" t="s">
        <v>24</v>
      </c>
      <c r="P1208">
        <v>35</v>
      </c>
      <c r="Q1208" s="131">
        <v>30375</v>
      </c>
      <c r="S1208"/>
      <c r="T1208"/>
    </row>
    <row r="1209" spans="1:20" x14ac:dyDescent="0.25">
      <c r="A1209" s="86" t="s">
        <v>1128</v>
      </c>
      <c r="B1209" t="s">
        <v>160</v>
      </c>
      <c r="K1209">
        <v>0</v>
      </c>
      <c r="N1209" s="72" t="s">
        <v>817</v>
      </c>
      <c r="O1209" t="s">
        <v>24</v>
      </c>
      <c r="P1209">
        <v>49</v>
      </c>
      <c r="Q1209" s="131">
        <v>24512</v>
      </c>
      <c r="S1209"/>
      <c r="T1209"/>
    </row>
    <row r="1210" spans="1:20" x14ac:dyDescent="0.25">
      <c r="A1210" s="86" t="s">
        <v>1021</v>
      </c>
      <c r="B1210" t="s">
        <v>161</v>
      </c>
      <c r="K1210">
        <v>0</v>
      </c>
      <c r="N1210" s="72" t="s">
        <v>657</v>
      </c>
      <c r="O1210" t="s">
        <v>24</v>
      </c>
      <c r="P1210">
        <v>50</v>
      </c>
      <c r="S1210"/>
      <c r="T1210"/>
    </row>
    <row r="1211" spans="1:20" x14ac:dyDescent="0.25">
      <c r="A1211" s="86" t="s">
        <v>970</v>
      </c>
      <c r="B1211" t="s">
        <v>67</v>
      </c>
      <c r="K1211">
        <v>0</v>
      </c>
      <c r="N1211" s="72" t="s">
        <v>38</v>
      </c>
      <c r="O1211" t="s">
        <v>24</v>
      </c>
      <c r="P1211">
        <v>34</v>
      </c>
      <c r="S1211"/>
      <c r="T1211"/>
    </row>
    <row r="1212" spans="1:20" x14ac:dyDescent="0.25">
      <c r="A1212" s="86" t="s">
        <v>713</v>
      </c>
      <c r="B1212" t="s">
        <v>67</v>
      </c>
      <c r="K1212">
        <v>0</v>
      </c>
      <c r="N1212" s="72" t="s">
        <v>659</v>
      </c>
      <c r="O1212" t="s">
        <v>24</v>
      </c>
      <c r="P1212">
        <v>30</v>
      </c>
      <c r="S1212"/>
      <c r="T1212"/>
    </row>
    <row r="1213" spans="1:20" x14ac:dyDescent="0.25">
      <c r="A1213" s="86" t="s">
        <v>1908</v>
      </c>
      <c r="B1213" t="s">
        <v>67</v>
      </c>
      <c r="K1213">
        <v>0</v>
      </c>
      <c r="N1213" s="72" t="s">
        <v>12</v>
      </c>
      <c r="O1213" t="s">
        <v>24</v>
      </c>
      <c r="P1213">
        <v>32</v>
      </c>
      <c r="Q1213" s="131">
        <v>31245</v>
      </c>
      <c r="S1213"/>
      <c r="T1213"/>
    </row>
    <row r="1214" spans="1:20" x14ac:dyDescent="0.25">
      <c r="A1214" s="86" t="s">
        <v>181</v>
      </c>
      <c r="B1214" t="s">
        <v>158</v>
      </c>
      <c r="F1214">
        <v>33</v>
      </c>
      <c r="K1214">
        <v>33</v>
      </c>
      <c r="N1214" s="72" t="s">
        <v>12</v>
      </c>
      <c r="O1214" t="s">
        <v>23</v>
      </c>
      <c r="P1214">
        <v>46</v>
      </c>
      <c r="Q1214" s="131">
        <v>26412</v>
      </c>
      <c r="S1214"/>
      <c r="T1214"/>
    </row>
    <row r="1215" spans="1:20" x14ac:dyDescent="0.25">
      <c r="A1215" s="86" t="s">
        <v>555</v>
      </c>
      <c r="B1215" t="s">
        <v>161</v>
      </c>
      <c r="K1215">
        <v>0</v>
      </c>
      <c r="N1215" s="72" t="s">
        <v>580</v>
      </c>
      <c r="O1215" s="48" t="s">
        <v>24</v>
      </c>
      <c r="P1215">
        <v>59</v>
      </c>
      <c r="S1215"/>
      <c r="T1215"/>
    </row>
    <row r="1216" spans="1:20" x14ac:dyDescent="0.25">
      <c r="A1216" s="86" t="s">
        <v>198</v>
      </c>
      <c r="B1216" t="s">
        <v>158</v>
      </c>
      <c r="C1216">
        <v>97</v>
      </c>
      <c r="E1216">
        <v>171</v>
      </c>
      <c r="K1216">
        <v>268</v>
      </c>
      <c r="N1216" s="72" t="s">
        <v>12</v>
      </c>
      <c r="O1216" t="s">
        <v>23</v>
      </c>
      <c r="P1216">
        <v>47</v>
      </c>
      <c r="Q1216" s="131">
        <v>25892</v>
      </c>
      <c r="S1216"/>
      <c r="T1216"/>
    </row>
    <row r="1217" spans="1:20" x14ac:dyDescent="0.25">
      <c r="A1217" s="86" t="s">
        <v>1366</v>
      </c>
      <c r="B1217" t="s">
        <v>158</v>
      </c>
      <c r="C1217">
        <v>89</v>
      </c>
      <c r="D1217">
        <v>76</v>
      </c>
      <c r="E1217">
        <v>132</v>
      </c>
      <c r="F1217">
        <v>79</v>
      </c>
      <c r="K1217">
        <v>376</v>
      </c>
      <c r="N1217" s="72" t="s">
        <v>38</v>
      </c>
      <c r="O1217" t="s">
        <v>23</v>
      </c>
      <c r="P1217">
        <v>45</v>
      </c>
      <c r="Q1217" s="131">
        <v>26794</v>
      </c>
      <c r="S1217"/>
      <c r="T1217"/>
    </row>
    <row r="1218" spans="1:20" x14ac:dyDescent="0.25">
      <c r="A1218" s="86" t="s">
        <v>1181</v>
      </c>
      <c r="B1218" t="s">
        <v>157</v>
      </c>
      <c r="K1218">
        <v>0</v>
      </c>
      <c r="N1218" s="72" t="s">
        <v>38</v>
      </c>
      <c r="O1218" t="s">
        <v>23</v>
      </c>
      <c r="P1218">
        <v>36</v>
      </c>
      <c r="Q1218" s="131">
        <v>29645</v>
      </c>
      <c r="S1218"/>
      <c r="T1218"/>
    </row>
    <row r="1219" spans="1:20" x14ac:dyDescent="0.25">
      <c r="A1219" s="86" t="s">
        <v>310</v>
      </c>
      <c r="B1219" t="s">
        <v>158</v>
      </c>
      <c r="K1219">
        <v>0</v>
      </c>
      <c r="N1219" s="72" t="s">
        <v>108</v>
      </c>
      <c r="O1219" t="s">
        <v>23</v>
      </c>
      <c r="P1219">
        <v>47</v>
      </c>
      <c r="S1219"/>
    </row>
    <row r="1220" spans="1:20" x14ac:dyDescent="0.25">
      <c r="A1220" s="86" t="s">
        <v>2156</v>
      </c>
      <c r="B1220" t="s">
        <v>157</v>
      </c>
      <c r="K1220">
        <v>0</v>
      </c>
      <c r="N1220" s="72" t="s">
        <v>43</v>
      </c>
      <c r="O1220" t="s">
        <v>23</v>
      </c>
      <c r="P1220">
        <v>38</v>
      </c>
      <c r="S1220"/>
    </row>
    <row r="1221" spans="1:20" x14ac:dyDescent="0.25">
      <c r="A1221" s="86" t="s">
        <v>723</v>
      </c>
      <c r="B1221" t="s">
        <v>157</v>
      </c>
      <c r="K1221">
        <v>0</v>
      </c>
      <c r="N1221" s="72" t="s">
        <v>1609</v>
      </c>
      <c r="O1221" t="s">
        <v>23</v>
      </c>
      <c r="P1221">
        <v>35</v>
      </c>
      <c r="S1221"/>
    </row>
    <row r="1222" spans="1:20" x14ac:dyDescent="0.25">
      <c r="A1222" s="86" t="s">
        <v>1061</v>
      </c>
      <c r="B1222" t="s">
        <v>157</v>
      </c>
      <c r="K1222">
        <v>0</v>
      </c>
      <c r="N1222" s="72" t="s">
        <v>108</v>
      </c>
      <c r="O1222" t="s">
        <v>23</v>
      </c>
      <c r="P1222">
        <v>38</v>
      </c>
      <c r="S1222"/>
    </row>
    <row r="1223" spans="1:20" x14ac:dyDescent="0.25">
      <c r="A1223" s="86" t="s">
        <v>728</v>
      </c>
      <c r="B1223" t="s">
        <v>162</v>
      </c>
      <c r="K1223">
        <v>0</v>
      </c>
      <c r="N1223" s="72" t="s">
        <v>118</v>
      </c>
      <c r="O1223" t="s">
        <v>24</v>
      </c>
      <c r="P1223">
        <v>60</v>
      </c>
      <c r="S1223"/>
    </row>
    <row r="1224" spans="1:20" x14ac:dyDescent="0.25">
      <c r="A1224" s="86" t="s">
        <v>2460</v>
      </c>
      <c r="B1224" t="s">
        <v>67</v>
      </c>
      <c r="F1224">
        <v>156</v>
      </c>
      <c r="K1224">
        <v>156</v>
      </c>
      <c r="N1224" s="72" t="s">
        <v>155</v>
      </c>
      <c r="O1224" t="s">
        <v>24</v>
      </c>
      <c r="P1224">
        <v>34</v>
      </c>
      <c r="Q1224" s="131">
        <v>30772</v>
      </c>
      <c r="S1224"/>
    </row>
    <row r="1225" spans="1:20" x14ac:dyDescent="0.25">
      <c r="A1225" s="86" t="s">
        <v>294</v>
      </c>
      <c r="B1225" t="s">
        <v>1817</v>
      </c>
      <c r="K1225">
        <v>0</v>
      </c>
      <c r="N1225" s="72" t="s">
        <v>43</v>
      </c>
      <c r="O1225" s="48" t="s">
        <v>24</v>
      </c>
      <c r="P1225">
        <v>74</v>
      </c>
      <c r="Q1225" s="131">
        <v>15658</v>
      </c>
      <c r="S1225"/>
    </row>
    <row r="1226" spans="1:20" x14ac:dyDescent="0.25">
      <c r="A1226" s="86" t="s">
        <v>1373</v>
      </c>
      <c r="B1226" t="s">
        <v>161</v>
      </c>
      <c r="C1226">
        <v>61</v>
      </c>
      <c r="D1226">
        <v>47</v>
      </c>
      <c r="E1226">
        <v>75</v>
      </c>
      <c r="F1226">
        <v>60</v>
      </c>
      <c r="K1226">
        <v>243</v>
      </c>
      <c r="N1226" s="72" t="s">
        <v>12</v>
      </c>
      <c r="O1226" t="s">
        <v>24</v>
      </c>
      <c r="P1226">
        <v>52</v>
      </c>
      <c r="Q1226" s="131">
        <v>24216</v>
      </c>
      <c r="S1226"/>
    </row>
    <row r="1227" spans="1:20" x14ac:dyDescent="0.25">
      <c r="A1227" s="86" t="s">
        <v>341</v>
      </c>
      <c r="B1227" t="s">
        <v>67</v>
      </c>
      <c r="K1227">
        <v>0</v>
      </c>
      <c r="N1227" s="72" t="s">
        <v>51</v>
      </c>
      <c r="O1227" t="s">
        <v>24</v>
      </c>
      <c r="P1227">
        <v>25</v>
      </c>
      <c r="S1227"/>
    </row>
    <row r="1228" spans="1:20" x14ac:dyDescent="0.25">
      <c r="A1228" s="86" t="s">
        <v>1200</v>
      </c>
      <c r="B1228" t="s">
        <v>161</v>
      </c>
      <c r="K1228">
        <v>0</v>
      </c>
      <c r="N1228" s="72" t="s">
        <v>108</v>
      </c>
      <c r="O1228" t="s">
        <v>24</v>
      </c>
      <c r="P1228">
        <v>57</v>
      </c>
      <c r="S1228"/>
    </row>
    <row r="1229" spans="1:20" x14ac:dyDescent="0.25">
      <c r="A1229" s="86" t="s">
        <v>1549</v>
      </c>
      <c r="B1229" t="s">
        <v>67</v>
      </c>
      <c r="K1229">
        <v>0</v>
      </c>
      <c r="N1229" s="72" t="s">
        <v>1612</v>
      </c>
      <c r="O1229" t="s">
        <v>24</v>
      </c>
      <c r="S1229"/>
    </row>
    <row r="1230" spans="1:20" x14ac:dyDescent="0.25">
      <c r="A1230" s="86" t="s">
        <v>1017</v>
      </c>
      <c r="B1230" t="s">
        <v>162</v>
      </c>
      <c r="F1230">
        <v>135</v>
      </c>
      <c r="K1230">
        <v>135</v>
      </c>
      <c r="N1230" s="72" t="s">
        <v>43</v>
      </c>
      <c r="O1230" t="s">
        <v>24</v>
      </c>
      <c r="P1230">
        <v>66</v>
      </c>
      <c r="Q1230" s="131">
        <v>19055</v>
      </c>
      <c r="S1230"/>
    </row>
    <row r="1231" spans="1:20" x14ac:dyDescent="0.25">
      <c r="A1231" s="86" t="s">
        <v>405</v>
      </c>
      <c r="B1231" t="s">
        <v>67</v>
      </c>
      <c r="K1231">
        <v>0</v>
      </c>
      <c r="N1231" s="72" t="s">
        <v>108</v>
      </c>
      <c r="O1231" t="s">
        <v>24</v>
      </c>
      <c r="P1231">
        <v>30</v>
      </c>
      <c r="S1231"/>
    </row>
    <row r="1232" spans="1:20" x14ac:dyDescent="0.25">
      <c r="A1232" s="86" t="s">
        <v>490</v>
      </c>
      <c r="B1232" t="s">
        <v>161</v>
      </c>
      <c r="K1232">
        <v>0</v>
      </c>
      <c r="N1232" s="72" t="s">
        <v>155</v>
      </c>
      <c r="O1232" t="s">
        <v>24</v>
      </c>
      <c r="P1232">
        <v>53</v>
      </c>
      <c r="S1232"/>
    </row>
    <row r="1233" spans="1:19" x14ac:dyDescent="0.25">
      <c r="A1233" s="86" t="s">
        <v>1897</v>
      </c>
      <c r="B1233" t="s">
        <v>160</v>
      </c>
      <c r="E1233">
        <v>153</v>
      </c>
      <c r="K1233">
        <v>153</v>
      </c>
      <c r="N1233" s="72" t="s">
        <v>1400</v>
      </c>
      <c r="O1233" t="s">
        <v>24</v>
      </c>
      <c r="P1233">
        <v>46</v>
      </c>
      <c r="Q1233" s="131">
        <v>26310</v>
      </c>
      <c r="S1233"/>
    </row>
    <row r="1234" spans="1:19" x14ac:dyDescent="0.25">
      <c r="A1234" s="86" t="s">
        <v>867</v>
      </c>
      <c r="B1234" t="s">
        <v>67</v>
      </c>
      <c r="D1234">
        <v>111</v>
      </c>
      <c r="K1234">
        <v>111</v>
      </c>
      <c r="N1234" s="72" t="s">
        <v>155</v>
      </c>
      <c r="O1234" t="s">
        <v>24</v>
      </c>
      <c r="P1234">
        <v>27</v>
      </c>
      <c r="Q1234" s="131">
        <v>33088</v>
      </c>
      <c r="S1234"/>
    </row>
    <row r="1235" spans="1:19" x14ac:dyDescent="0.25">
      <c r="A1235" s="86" t="s">
        <v>874</v>
      </c>
      <c r="B1235" t="s">
        <v>67</v>
      </c>
      <c r="K1235">
        <v>0</v>
      </c>
      <c r="N1235" s="72" t="s">
        <v>63</v>
      </c>
      <c r="O1235" t="s">
        <v>24</v>
      </c>
      <c r="P1235">
        <v>32</v>
      </c>
      <c r="S1235"/>
    </row>
    <row r="1236" spans="1:19" x14ac:dyDescent="0.25">
      <c r="A1236" s="86" t="s">
        <v>1839</v>
      </c>
      <c r="B1236" t="s">
        <v>161</v>
      </c>
      <c r="K1236">
        <v>0</v>
      </c>
      <c r="N1236" s="72" t="s">
        <v>38</v>
      </c>
      <c r="O1236" t="s">
        <v>24</v>
      </c>
      <c r="P1236">
        <v>55</v>
      </c>
      <c r="Q1236" s="131">
        <v>22684</v>
      </c>
      <c r="S1236"/>
    </row>
    <row r="1237" spans="1:19" x14ac:dyDescent="0.25">
      <c r="A1237" s="86" t="s">
        <v>2163</v>
      </c>
      <c r="B1237" t="s">
        <v>67</v>
      </c>
      <c r="K1237">
        <v>0</v>
      </c>
      <c r="N1237" s="72" t="s">
        <v>505</v>
      </c>
      <c r="O1237" t="s">
        <v>24</v>
      </c>
      <c r="P1237">
        <v>22</v>
      </c>
      <c r="S1237"/>
    </row>
    <row r="1238" spans="1:19" x14ac:dyDescent="0.25">
      <c r="A1238" s="86" t="s">
        <v>1578</v>
      </c>
      <c r="B1238" t="s">
        <v>161</v>
      </c>
      <c r="K1238">
        <v>0</v>
      </c>
      <c r="N1238" s="72" t="s">
        <v>14</v>
      </c>
      <c r="O1238" t="s">
        <v>24</v>
      </c>
      <c r="P1238">
        <v>53</v>
      </c>
      <c r="Q1238" s="131">
        <v>23459</v>
      </c>
      <c r="S1238"/>
    </row>
    <row r="1239" spans="1:19" x14ac:dyDescent="0.25">
      <c r="A1239" s="86" t="s">
        <v>2160</v>
      </c>
      <c r="B1239" t="s">
        <v>161</v>
      </c>
      <c r="K1239">
        <v>0</v>
      </c>
      <c r="N1239" s="72" t="s">
        <v>505</v>
      </c>
      <c r="O1239" t="s">
        <v>24</v>
      </c>
      <c r="P1239">
        <v>54</v>
      </c>
      <c r="S1239"/>
    </row>
    <row r="1240" spans="1:19" x14ac:dyDescent="0.25">
      <c r="A1240" s="86" t="s">
        <v>2396</v>
      </c>
      <c r="B1240" t="s">
        <v>67</v>
      </c>
      <c r="E1240">
        <v>197</v>
      </c>
      <c r="K1240">
        <v>197</v>
      </c>
      <c r="N1240" s="72" t="s">
        <v>505</v>
      </c>
      <c r="O1240" s="48" t="s">
        <v>24</v>
      </c>
      <c r="P1240">
        <v>36</v>
      </c>
      <c r="Q1240" s="131">
        <v>29875</v>
      </c>
      <c r="S1240"/>
    </row>
    <row r="1241" spans="1:19" x14ac:dyDescent="0.25">
      <c r="A1241" s="86" t="s">
        <v>942</v>
      </c>
      <c r="B1241" t="s">
        <v>161</v>
      </c>
      <c r="K1241">
        <v>0</v>
      </c>
      <c r="N1241" s="72" t="s">
        <v>657</v>
      </c>
      <c r="O1241" t="s">
        <v>24</v>
      </c>
      <c r="P1241">
        <v>55</v>
      </c>
      <c r="S1241"/>
    </row>
    <row r="1242" spans="1:19" x14ac:dyDescent="0.25">
      <c r="A1242" s="86" t="s">
        <v>553</v>
      </c>
      <c r="B1242" t="s">
        <v>161</v>
      </c>
      <c r="F1242">
        <v>67</v>
      </c>
      <c r="K1242">
        <v>67</v>
      </c>
      <c r="N1242" s="72" t="s">
        <v>12</v>
      </c>
      <c r="O1242" s="48" t="s">
        <v>24</v>
      </c>
      <c r="P1242">
        <v>57</v>
      </c>
      <c r="Q1242" s="131" t="s">
        <v>1525</v>
      </c>
      <c r="S1242"/>
    </row>
    <row r="1243" spans="1:19" x14ac:dyDescent="0.25">
      <c r="A1243" s="86" t="s">
        <v>1950</v>
      </c>
      <c r="B1243" t="s">
        <v>161</v>
      </c>
      <c r="K1243">
        <v>0</v>
      </c>
      <c r="N1243" s="72" t="s">
        <v>117</v>
      </c>
      <c r="O1243" t="s">
        <v>24</v>
      </c>
      <c r="S1243"/>
    </row>
    <row r="1244" spans="1:19" x14ac:dyDescent="0.25">
      <c r="A1244" s="86" t="s">
        <v>2279</v>
      </c>
      <c r="B1244" t="s">
        <v>158</v>
      </c>
      <c r="D1244">
        <v>59</v>
      </c>
      <c r="E1244">
        <v>97</v>
      </c>
      <c r="K1244">
        <v>156</v>
      </c>
      <c r="N1244" s="72" t="s">
        <v>38</v>
      </c>
      <c r="O1244" t="s">
        <v>23</v>
      </c>
      <c r="P1244">
        <v>50</v>
      </c>
      <c r="Q1244" s="131">
        <v>24936</v>
      </c>
      <c r="S1244"/>
    </row>
    <row r="1245" spans="1:19" x14ac:dyDescent="0.25">
      <c r="A1245" s="86" t="s">
        <v>2241</v>
      </c>
      <c r="B1245" t="s">
        <v>157</v>
      </c>
      <c r="C1245">
        <v>87</v>
      </c>
      <c r="E1245">
        <v>134</v>
      </c>
      <c r="K1245">
        <v>221</v>
      </c>
      <c r="N1245" s="72" t="s">
        <v>154</v>
      </c>
      <c r="O1245" t="s">
        <v>23</v>
      </c>
      <c r="P1245">
        <v>42</v>
      </c>
      <c r="Q1245" s="131">
        <v>27814</v>
      </c>
      <c r="S1245"/>
    </row>
    <row r="1246" spans="1:19" x14ac:dyDescent="0.25">
      <c r="A1246" s="86" t="s">
        <v>945</v>
      </c>
      <c r="B1246" t="s">
        <v>158</v>
      </c>
      <c r="K1246">
        <v>0</v>
      </c>
      <c r="N1246" s="72" t="s">
        <v>14</v>
      </c>
      <c r="O1246" t="s">
        <v>23</v>
      </c>
      <c r="P1246">
        <v>39</v>
      </c>
      <c r="S1246"/>
    </row>
    <row r="1247" spans="1:19" x14ac:dyDescent="0.25">
      <c r="A1247" s="86" t="s">
        <v>1140</v>
      </c>
      <c r="B1247" t="s">
        <v>158</v>
      </c>
      <c r="K1247">
        <v>0</v>
      </c>
      <c r="N1247" s="72" t="s">
        <v>38</v>
      </c>
      <c r="O1247" t="s">
        <v>23</v>
      </c>
      <c r="P1247">
        <v>49</v>
      </c>
      <c r="S1247"/>
    </row>
    <row r="1248" spans="1:19" x14ac:dyDescent="0.25">
      <c r="A1248" s="86" t="s">
        <v>1177</v>
      </c>
      <c r="B1248" t="s">
        <v>157</v>
      </c>
      <c r="K1248">
        <v>0</v>
      </c>
      <c r="N1248" s="72" t="s">
        <v>505</v>
      </c>
      <c r="O1248" t="s">
        <v>23</v>
      </c>
      <c r="P1248">
        <v>39</v>
      </c>
      <c r="S1248"/>
    </row>
    <row r="1249" spans="1:19" x14ac:dyDescent="0.25">
      <c r="A1249" s="86" t="s">
        <v>1370</v>
      </c>
      <c r="B1249" t="s">
        <v>161</v>
      </c>
      <c r="C1249">
        <v>84</v>
      </c>
      <c r="D1249">
        <v>78</v>
      </c>
      <c r="E1249">
        <v>106</v>
      </c>
      <c r="K1249">
        <v>268</v>
      </c>
      <c r="N1249" s="72" t="s">
        <v>155</v>
      </c>
      <c r="O1249" t="s">
        <v>24</v>
      </c>
      <c r="P1249">
        <v>51</v>
      </c>
      <c r="Q1249" s="131">
        <v>24288</v>
      </c>
      <c r="S1249"/>
    </row>
    <row r="1250" spans="1:19" x14ac:dyDescent="0.25">
      <c r="A1250" s="86" t="s">
        <v>1983</v>
      </c>
      <c r="B1250" t="s">
        <v>162</v>
      </c>
      <c r="K1250">
        <v>0</v>
      </c>
      <c r="N1250" s="72" t="s">
        <v>657</v>
      </c>
      <c r="O1250" t="s">
        <v>24</v>
      </c>
      <c r="S1250"/>
    </row>
    <row r="1251" spans="1:19" x14ac:dyDescent="0.25">
      <c r="A1251" s="86" t="s">
        <v>789</v>
      </c>
      <c r="B1251" t="s">
        <v>162</v>
      </c>
      <c r="K1251">
        <v>0</v>
      </c>
      <c r="N1251" s="72" t="s">
        <v>505</v>
      </c>
      <c r="O1251" t="s">
        <v>24</v>
      </c>
      <c r="P1251">
        <v>69</v>
      </c>
      <c r="Q1251" s="131" t="s">
        <v>2070</v>
      </c>
      <c r="S1251"/>
    </row>
    <row r="1252" spans="1:19" x14ac:dyDescent="0.25">
      <c r="A1252" s="86" t="s">
        <v>1075</v>
      </c>
      <c r="B1252" t="s">
        <v>157</v>
      </c>
      <c r="K1252">
        <v>0</v>
      </c>
      <c r="N1252" s="72" t="s">
        <v>63</v>
      </c>
      <c r="O1252" t="s">
        <v>23</v>
      </c>
      <c r="P1252">
        <v>40</v>
      </c>
      <c r="S1252"/>
    </row>
    <row r="1253" spans="1:19" x14ac:dyDescent="0.25">
      <c r="A1253" s="86" t="s">
        <v>1004</v>
      </c>
      <c r="B1253" t="s">
        <v>160</v>
      </c>
      <c r="K1253">
        <v>0</v>
      </c>
      <c r="N1253" s="72" t="s">
        <v>657</v>
      </c>
      <c r="O1253" t="s">
        <v>24</v>
      </c>
      <c r="P1253">
        <v>48</v>
      </c>
      <c r="S1253"/>
    </row>
    <row r="1254" spans="1:19" x14ac:dyDescent="0.25">
      <c r="A1254" s="86" t="s">
        <v>667</v>
      </c>
      <c r="B1254" t="s">
        <v>67</v>
      </c>
      <c r="K1254">
        <v>0</v>
      </c>
      <c r="N1254" s="72" t="s">
        <v>653</v>
      </c>
      <c r="O1254" t="s">
        <v>24</v>
      </c>
      <c r="P1254">
        <v>30</v>
      </c>
      <c r="S1254"/>
    </row>
    <row r="1255" spans="1:19" x14ac:dyDescent="0.25">
      <c r="A1255" s="86" t="s">
        <v>1003</v>
      </c>
      <c r="B1255" t="s">
        <v>159</v>
      </c>
      <c r="K1255">
        <v>0</v>
      </c>
      <c r="N1255" s="72" t="s">
        <v>657</v>
      </c>
      <c r="O1255" t="s">
        <v>23</v>
      </c>
      <c r="P1255">
        <v>55</v>
      </c>
      <c r="S1255"/>
    </row>
    <row r="1256" spans="1:19" x14ac:dyDescent="0.25">
      <c r="A1256" s="86" t="s">
        <v>998</v>
      </c>
      <c r="B1256" t="s">
        <v>157</v>
      </c>
      <c r="K1256">
        <v>0</v>
      </c>
      <c r="N1256" s="72" t="s">
        <v>1324</v>
      </c>
      <c r="O1256" t="s">
        <v>23</v>
      </c>
      <c r="P1256">
        <v>44</v>
      </c>
      <c r="S1256"/>
    </row>
    <row r="1257" spans="1:19" x14ac:dyDescent="0.25">
      <c r="A1257" s="86" t="s">
        <v>1667</v>
      </c>
      <c r="B1257" t="s">
        <v>156</v>
      </c>
      <c r="K1257">
        <v>0</v>
      </c>
      <c r="N1257" s="72" t="s">
        <v>10</v>
      </c>
      <c r="O1257" t="s">
        <v>23</v>
      </c>
      <c r="P1257">
        <v>15</v>
      </c>
      <c r="S1257"/>
    </row>
    <row r="1258" spans="1:19" x14ac:dyDescent="0.25">
      <c r="A1258" s="86" t="s">
        <v>1636</v>
      </c>
      <c r="B1258" t="s">
        <v>67</v>
      </c>
      <c r="K1258">
        <v>0</v>
      </c>
      <c r="N1258" s="72" t="s">
        <v>505</v>
      </c>
      <c r="O1258" t="s">
        <v>24</v>
      </c>
      <c r="P1258">
        <v>34</v>
      </c>
      <c r="Q1258" s="131">
        <v>29878</v>
      </c>
      <c r="S1258"/>
    </row>
    <row r="1259" spans="1:19" x14ac:dyDescent="0.25">
      <c r="A1259" s="86" t="s">
        <v>479</v>
      </c>
      <c r="B1259" t="s">
        <v>157</v>
      </c>
      <c r="K1259">
        <v>0</v>
      </c>
      <c r="N1259" s="72" t="s">
        <v>63</v>
      </c>
      <c r="O1259" t="s">
        <v>23</v>
      </c>
      <c r="P1259">
        <v>38</v>
      </c>
      <c r="Q1259" s="131">
        <v>29072</v>
      </c>
      <c r="S1259"/>
    </row>
    <row r="1260" spans="1:19" x14ac:dyDescent="0.25">
      <c r="A1260" s="86" t="s">
        <v>837</v>
      </c>
      <c r="B1260" t="s">
        <v>156</v>
      </c>
      <c r="K1260">
        <v>0</v>
      </c>
      <c r="N1260" s="72" t="s">
        <v>63</v>
      </c>
      <c r="O1260" t="s">
        <v>23</v>
      </c>
      <c r="P1260">
        <v>30</v>
      </c>
      <c r="S1260"/>
    </row>
    <row r="1261" spans="1:19" x14ac:dyDescent="0.25">
      <c r="A1261" s="86" t="s">
        <v>2394</v>
      </c>
      <c r="B1261" t="s">
        <v>156</v>
      </c>
      <c r="E1261">
        <v>162</v>
      </c>
      <c r="K1261">
        <v>162</v>
      </c>
      <c r="N1261" s="72" t="s">
        <v>505</v>
      </c>
      <c r="O1261" t="s">
        <v>23</v>
      </c>
      <c r="P1261">
        <v>24</v>
      </c>
      <c r="Q1261" s="131">
        <v>34193</v>
      </c>
      <c r="S1261"/>
    </row>
    <row r="1262" spans="1:19" x14ac:dyDescent="0.25">
      <c r="A1262" s="86" t="s">
        <v>1078</v>
      </c>
      <c r="B1262" t="s">
        <v>158</v>
      </c>
      <c r="E1262">
        <v>183</v>
      </c>
      <c r="K1262">
        <v>183</v>
      </c>
      <c r="N1262" s="72" t="s">
        <v>12</v>
      </c>
      <c r="O1262" t="s">
        <v>23</v>
      </c>
      <c r="P1262">
        <v>46</v>
      </c>
      <c r="Q1262" s="131">
        <v>26185</v>
      </c>
      <c r="S1262"/>
    </row>
    <row r="1263" spans="1:19" x14ac:dyDescent="0.25">
      <c r="A1263" s="86" t="s">
        <v>1862</v>
      </c>
      <c r="B1263" t="s">
        <v>156</v>
      </c>
      <c r="K1263">
        <v>0</v>
      </c>
      <c r="N1263" s="72" t="s">
        <v>505</v>
      </c>
      <c r="O1263" s="48" t="s">
        <v>23</v>
      </c>
      <c r="P1263">
        <v>27</v>
      </c>
      <c r="Q1263" s="131">
        <v>32856</v>
      </c>
      <c r="S1263"/>
    </row>
    <row r="1264" spans="1:19" x14ac:dyDescent="0.25">
      <c r="A1264" s="86" t="s">
        <v>579</v>
      </c>
      <c r="B1264" t="s">
        <v>67</v>
      </c>
      <c r="K1264">
        <v>0</v>
      </c>
      <c r="N1264" s="72" t="s">
        <v>12</v>
      </c>
      <c r="O1264" s="48" t="s">
        <v>852</v>
      </c>
      <c r="P1264">
        <v>34</v>
      </c>
      <c r="S1264"/>
    </row>
    <row r="1265" spans="1:19" x14ac:dyDescent="0.25">
      <c r="A1265" s="86" t="s">
        <v>2395</v>
      </c>
      <c r="B1265" t="s">
        <v>158</v>
      </c>
      <c r="E1265">
        <v>166</v>
      </c>
      <c r="F1265">
        <v>92</v>
      </c>
      <c r="K1265">
        <v>258</v>
      </c>
      <c r="N1265" s="72" t="s">
        <v>155</v>
      </c>
      <c r="O1265" t="s">
        <v>23</v>
      </c>
      <c r="P1265">
        <v>50</v>
      </c>
      <c r="Q1265" s="131">
        <v>24789</v>
      </c>
      <c r="S1265"/>
    </row>
    <row r="1266" spans="1:19" x14ac:dyDescent="0.25">
      <c r="A1266" s="86" t="s">
        <v>2446</v>
      </c>
      <c r="B1266" t="s">
        <v>67</v>
      </c>
      <c r="F1266">
        <v>123</v>
      </c>
      <c r="K1266">
        <v>123</v>
      </c>
      <c r="N1266" s="72" t="s">
        <v>505</v>
      </c>
      <c r="O1266" t="s">
        <v>24</v>
      </c>
      <c r="P1266">
        <v>37</v>
      </c>
      <c r="Q1266" s="131">
        <v>29586</v>
      </c>
      <c r="S1266"/>
    </row>
    <row r="1267" spans="1:19" x14ac:dyDescent="0.25">
      <c r="A1267" s="86" t="s">
        <v>1072</v>
      </c>
      <c r="B1267" t="s">
        <v>67</v>
      </c>
      <c r="K1267">
        <v>0</v>
      </c>
      <c r="N1267" s="72" t="s">
        <v>12</v>
      </c>
      <c r="O1267" t="s">
        <v>24</v>
      </c>
      <c r="P1267">
        <v>33</v>
      </c>
      <c r="S1267"/>
    </row>
    <row r="1268" spans="1:19" x14ac:dyDescent="0.25">
      <c r="A1268" s="86" t="s">
        <v>223</v>
      </c>
      <c r="B1268" t="s">
        <v>158</v>
      </c>
      <c r="K1268">
        <v>0</v>
      </c>
      <c r="N1268" s="72" t="s">
        <v>38</v>
      </c>
      <c r="O1268" t="s">
        <v>23</v>
      </c>
      <c r="P1268">
        <v>51</v>
      </c>
      <c r="S1268"/>
    </row>
    <row r="1269" spans="1:19" x14ac:dyDescent="0.25">
      <c r="A1269" s="86" t="s">
        <v>1664</v>
      </c>
      <c r="B1269" t="s">
        <v>161</v>
      </c>
      <c r="K1269">
        <v>0</v>
      </c>
      <c r="N1269" s="72" t="s">
        <v>10</v>
      </c>
      <c r="O1269" t="s">
        <v>24</v>
      </c>
      <c r="P1269">
        <v>55</v>
      </c>
      <c r="S1269"/>
    </row>
    <row r="1270" spans="1:19" x14ac:dyDescent="0.25">
      <c r="A1270" s="86" t="s">
        <v>1595</v>
      </c>
      <c r="B1270" t="s">
        <v>156</v>
      </c>
      <c r="K1270">
        <v>0</v>
      </c>
      <c r="N1270" s="72" t="s">
        <v>1618</v>
      </c>
      <c r="O1270" t="s">
        <v>23</v>
      </c>
      <c r="S1270"/>
    </row>
    <row r="1271" spans="1:19" x14ac:dyDescent="0.25">
      <c r="A1271" s="86" t="s">
        <v>1034</v>
      </c>
      <c r="B1271" t="s">
        <v>157</v>
      </c>
      <c r="K1271">
        <v>0</v>
      </c>
      <c r="N1271" s="72" t="s">
        <v>154</v>
      </c>
      <c r="O1271" t="s">
        <v>23</v>
      </c>
      <c r="P1271">
        <v>42</v>
      </c>
      <c r="S1271"/>
    </row>
    <row r="1272" spans="1:19" x14ac:dyDescent="0.25">
      <c r="A1272" s="86" t="s">
        <v>1709</v>
      </c>
      <c r="B1272" t="s">
        <v>158</v>
      </c>
      <c r="K1272">
        <v>0</v>
      </c>
      <c r="N1272" s="72" t="s">
        <v>653</v>
      </c>
      <c r="O1272" t="s">
        <v>23</v>
      </c>
      <c r="P1272">
        <v>48</v>
      </c>
      <c r="Q1272" s="131">
        <v>24939</v>
      </c>
      <c r="S1272"/>
    </row>
    <row r="1273" spans="1:19" x14ac:dyDescent="0.25">
      <c r="A1273" s="86" t="s">
        <v>1058</v>
      </c>
      <c r="B1273" t="s">
        <v>156</v>
      </c>
      <c r="K1273">
        <v>0</v>
      </c>
      <c r="N1273" s="72" t="s">
        <v>154</v>
      </c>
      <c r="O1273" t="s">
        <v>23</v>
      </c>
      <c r="P1273">
        <v>32</v>
      </c>
      <c r="S1273"/>
    </row>
    <row r="1274" spans="1:19" x14ac:dyDescent="0.25">
      <c r="A1274" s="86" t="s">
        <v>1767</v>
      </c>
      <c r="B1274" t="s">
        <v>156</v>
      </c>
      <c r="D1274">
        <v>12</v>
      </c>
      <c r="E1274">
        <v>14</v>
      </c>
      <c r="K1274">
        <v>26</v>
      </c>
      <c r="N1274" s="72" t="s">
        <v>63</v>
      </c>
      <c r="O1274" t="s">
        <v>23</v>
      </c>
      <c r="P1274">
        <v>32</v>
      </c>
      <c r="Q1274" s="131">
        <v>31220</v>
      </c>
      <c r="S1274"/>
    </row>
    <row r="1275" spans="1:19" x14ac:dyDescent="0.25">
      <c r="A1275" s="86" t="s">
        <v>1479</v>
      </c>
      <c r="B1275" t="s">
        <v>156</v>
      </c>
      <c r="K1275">
        <v>0</v>
      </c>
      <c r="N1275" s="72" t="s">
        <v>505</v>
      </c>
      <c r="O1275" t="s">
        <v>23</v>
      </c>
      <c r="P1275">
        <v>29</v>
      </c>
      <c r="Q1275" s="131">
        <v>31911</v>
      </c>
      <c r="S1275"/>
    </row>
    <row r="1276" spans="1:19" x14ac:dyDescent="0.25">
      <c r="A1276" s="86" t="s">
        <v>1497</v>
      </c>
      <c r="B1276" t="s">
        <v>156</v>
      </c>
      <c r="E1276">
        <v>36</v>
      </c>
      <c r="K1276">
        <v>36</v>
      </c>
      <c r="N1276" s="72" t="s">
        <v>505</v>
      </c>
      <c r="O1276" t="s">
        <v>23</v>
      </c>
      <c r="P1276">
        <v>26</v>
      </c>
      <c r="Q1276" s="131">
        <v>33691</v>
      </c>
      <c r="S1276"/>
    </row>
    <row r="1277" spans="1:19" x14ac:dyDescent="0.25">
      <c r="A1277" s="86" t="s">
        <v>2377</v>
      </c>
      <c r="B1277" t="s">
        <v>157</v>
      </c>
      <c r="E1277">
        <v>128</v>
      </c>
      <c r="K1277">
        <v>128</v>
      </c>
      <c r="N1277" s="72" t="s">
        <v>12</v>
      </c>
      <c r="O1277" t="s">
        <v>23</v>
      </c>
      <c r="P1277">
        <v>40</v>
      </c>
      <c r="Q1277" s="131">
        <v>28306</v>
      </c>
      <c r="S1277"/>
    </row>
    <row r="1278" spans="1:19" x14ac:dyDescent="0.25">
      <c r="A1278" s="86" t="s">
        <v>794</v>
      </c>
      <c r="B1278" t="s">
        <v>156</v>
      </c>
      <c r="C1278">
        <v>49</v>
      </c>
      <c r="D1278">
        <v>33</v>
      </c>
      <c r="E1278">
        <v>55</v>
      </c>
      <c r="K1278">
        <v>137</v>
      </c>
      <c r="N1278" s="72" t="s">
        <v>108</v>
      </c>
      <c r="O1278" t="s">
        <v>23</v>
      </c>
      <c r="P1278">
        <v>26</v>
      </c>
      <c r="Q1278" s="131">
        <v>33585</v>
      </c>
      <c r="S1278"/>
    </row>
    <row r="1279" spans="1:19" x14ac:dyDescent="0.25">
      <c r="A1279" s="86" t="s">
        <v>979</v>
      </c>
      <c r="B1279" t="s">
        <v>157</v>
      </c>
      <c r="K1279">
        <v>0</v>
      </c>
      <c r="N1279" s="72" t="s">
        <v>108</v>
      </c>
      <c r="O1279" t="s">
        <v>23</v>
      </c>
      <c r="P1279">
        <v>36</v>
      </c>
      <c r="S1279"/>
    </row>
    <row r="1280" spans="1:19" x14ac:dyDescent="0.25">
      <c r="A1280" s="86" t="s">
        <v>1135</v>
      </c>
      <c r="B1280" t="s">
        <v>156</v>
      </c>
      <c r="K1280">
        <v>0</v>
      </c>
      <c r="N1280" s="72" t="s">
        <v>38</v>
      </c>
      <c r="O1280" t="s">
        <v>23</v>
      </c>
      <c r="P1280">
        <v>28</v>
      </c>
      <c r="S1280"/>
    </row>
    <row r="1281" spans="1:19" x14ac:dyDescent="0.25">
      <c r="A1281" s="86" t="s">
        <v>329</v>
      </c>
      <c r="B1281" t="s">
        <v>157</v>
      </c>
      <c r="K1281">
        <v>0</v>
      </c>
      <c r="N1281" s="72" t="s">
        <v>128</v>
      </c>
      <c r="O1281" t="s">
        <v>23</v>
      </c>
      <c r="P1281">
        <v>35</v>
      </c>
      <c r="S1281"/>
    </row>
    <row r="1282" spans="1:19" x14ac:dyDescent="0.25">
      <c r="A1282" s="86" t="s">
        <v>515</v>
      </c>
      <c r="B1282" t="s">
        <v>157</v>
      </c>
      <c r="K1282">
        <v>0</v>
      </c>
      <c r="N1282" s="72" t="s">
        <v>12</v>
      </c>
      <c r="O1282" t="s">
        <v>23</v>
      </c>
      <c r="P1282">
        <v>37</v>
      </c>
      <c r="Q1282" s="131">
        <v>28989</v>
      </c>
      <c r="S1282"/>
    </row>
    <row r="1283" spans="1:19" x14ac:dyDescent="0.25">
      <c r="A1283" s="86" t="s">
        <v>380</v>
      </c>
      <c r="B1283" t="s">
        <v>157</v>
      </c>
      <c r="C1283">
        <v>43</v>
      </c>
      <c r="D1283">
        <v>44</v>
      </c>
      <c r="E1283">
        <v>91</v>
      </c>
      <c r="F1283">
        <v>43</v>
      </c>
      <c r="K1283">
        <v>221</v>
      </c>
      <c r="N1283" s="72" t="s">
        <v>43</v>
      </c>
      <c r="O1283" t="s">
        <v>23</v>
      </c>
      <c r="P1283">
        <v>43</v>
      </c>
      <c r="Q1283" s="131">
        <v>27388</v>
      </c>
      <c r="S1283"/>
    </row>
    <row r="1284" spans="1:19" x14ac:dyDescent="0.25">
      <c r="A1284" s="86" t="s">
        <v>1772</v>
      </c>
      <c r="B1284" t="s">
        <v>156</v>
      </c>
      <c r="C1284">
        <v>70</v>
      </c>
      <c r="D1284">
        <v>82</v>
      </c>
      <c r="E1284">
        <v>110</v>
      </c>
      <c r="F1284">
        <v>86</v>
      </c>
      <c r="K1284">
        <v>348</v>
      </c>
      <c r="N1284" s="72" t="s">
        <v>108</v>
      </c>
      <c r="O1284" t="s">
        <v>23</v>
      </c>
      <c r="P1284">
        <v>34</v>
      </c>
      <c r="Q1284" s="131">
        <v>30556</v>
      </c>
      <c r="S1284"/>
    </row>
    <row r="1285" spans="1:19" x14ac:dyDescent="0.25">
      <c r="A1285" s="86" t="s">
        <v>433</v>
      </c>
      <c r="B1285" t="s">
        <v>156</v>
      </c>
      <c r="K1285">
        <v>0</v>
      </c>
      <c r="N1285" s="72" t="s">
        <v>12</v>
      </c>
      <c r="O1285" t="s">
        <v>23</v>
      </c>
      <c r="P1285">
        <v>28</v>
      </c>
      <c r="Q1285" s="131">
        <v>32112</v>
      </c>
      <c r="S1285"/>
    </row>
    <row r="1286" spans="1:19" x14ac:dyDescent="0.25">
      <c r="A1286" s="86" t="s">
        <v>956</v>
      </c>
      <c r="B1286" t="s">
        <v>157</v>
      </c>
      <c r="K1286">
        <v>0</v>
      </c>
      <c r="N1286" s="72" t="s">
        <v>63</v>
      </c>
      <c r="O1286" t="s">
        <v>23</v>
      </c>
      <c r="P1286">
        <v>41</v>
      </c>
      <c r="S1286"/>
    </row>
    <row r="1287" spans="1:19" x14ac:dyDescent="0.25">
      <c r="A1287" s="86" t="s">
        <v>2195</v>
      </c>
      <c r="B1287" t="s">
        <v>67</v>
      </c>
      <c r="C1287">
        <v>16</v>
      </c>
      <c r="F1287">
        <v>32</v>
      </c>
      <c r="K1287">
        <v>48</v>
      </c>
      <c r="N1287" s="72" t="s">
        <v>12</v>
      </c>
      <c r="O1287" t="s">
        <v>24</v>
      </c>
      <c r="P1287">
        <v>27</v>
      </c>
      <c r="S1287"/>
    </row>
    <row r="1288" spans="1:19" x14ac:dyDescent="0.25">
      <c r="A1288" s="86" t="s">
        <v>836</v>
      </c>
      <c r="B1288" t="s">
        <v>67</v>
      </c>
      <c r="K1288">
        <v>0</v>
      </c>
      <c r="N1288" s="72" t="s">
        <v>43</v>
      </c>
      <c r="O1288" t="s">
        <v>24</v>
      </c>
      <c r="P1288">
        <v>20</v>
      </c>
      <c r="Q1288" s="131">
        <v>35229</v>
      </c>
      <c r="S1288"/>
    </row>
    <row r="1289" spans="1:19" x14ac:dyDescent="0.25">
      <c r="A1289" s="86" t="s">
        <v>1786</v>
      </c>
      <c r="B1289" t="s">
        <v>67</v>
      </c>
      <c r="K1289">
        <v>0</v>
      </c>
      <c r="N1289" s="72" t="s">
        <v>12</v>
      </c>
      <c r="O1289" t="s">
        <v>24</v>
      </c>
      <c r="P1289">
        <v>31</v>
      </c>
      <c r="Q1289" s="131">
        <v>31399</v>
      </c>
      <c r="S1289"/>
    </row>
    <row r="1290" spans="1:19" x14ac:dyDescent="0.25">
      <c r="A1290" s="86" t="s">
        <v>795</v>
      </c>
      <c r="B1290" t="s">
        <v>156</v>
      </c>
      <c r="K1290">
        <v>0</v>
      </c>
      <c r="N1290" s="72" t="s">
        <v>1633</v>
      </c>
      <c r="O1290" t="s">
        <v>23</v>
      </c>
      <c r="P1290">
        <v>29</v>
      </c>
      <c r="Q1290" s="131">
        <v>31815</v>
      </c>
      <c r="S1290"/>
    </row>
    <row r="1291" spans="1:19" x14ac:dyDescent="0.25">
      <c r="A1291" s="86" t="s">
        <v>2058</v>
      </c>
      <c r="B1291" t="s">
        <v>67</v>
      </c>
      <c r="K1291">
        <v>0</v>
      </c>
      <c r="N1291" s="72" t="s">
        <v>2059</v>
      </c>
      <c r="O1291" t="s">
        <v>24</v>
      </c>
      <c r="P1291">
        <v>37</v>
      </c>
      <c r="Q1291" s="131">
        <v>29302</v>
      </c>
      <c r="S1291"/>
    </row>
    <row r="1292" spans="1:19" x14ac:dyDescent="0.25">
      <c r="A1292" s="86" t="s">
        <v>242</v>
      </c>
      <c r="B1292" t="s">
        <v>160</v>
      </c>
      <c r="E1292">
        <v>176</v>
      </c>
      <c r="K1292">
        <v>176</v>
      </c>
      <c r="N1292" s="72" t="s">
        <v>63</v>
      </c>
      <c r="O1292" t="s">
        <v>24</v>
      </c>
      <c r="P1292">
        <v>42</v>
      </c>
      <c r="Q1292" s="131">
        <v>27894</v>
      </c>
      <c r="S1292"/>
    </row>
    <row r="1293" spans="1:19" x14ac:dyDescent="0.25">
      <c r="A1293" s="86" t="s">
        <v>1038</v>
      </c>
      <c r="B1293" t="s">
        <v>67</v>
      </c>
      <c r="K1293">
        <v>0</v>
      </c>
      <c r="N1293" s="72" t="s">
        <v>154</v>
      </c>
      <c r="O1293" t="s">
        <v>24</v>
      </c>
      <c r="P1293">
        <v>32</v>
      </c>
      <c r="S1293"/>
    </row>
    <row r="1294" spans="1:19" x14ac:dyDescent="0.25">
      <c r="A1294" s="86" t="s">
        <v>686</v>
      </c>
      <c r="B1294" t="s">
        <v>67</v>
      </c>
      <c r="K1294">
        <v>0</v>
      </c>
      <c r="N1294" s="72" t="s">
        <v>653</v>
      </c>
      <c r="O1294" t="s">
        <v>24</v>
      </c>
      <c r="P1294">
        <v>30</v>
      </c>
      <c r="S1294"/>
    </row>
    <row r="1295" spans="1:19" x14ac:dyDescent="0.25">
      <c r="A1295" s="86" t="s">
        <v>187</v>
      </c>
      <c r="B1295" t="s">
        <v>161</v>
      </c>
      <c r="C1295">
        <v>20</v>
      </c>
      <c r="K1295">
        <v>20</v>
      </c>
      <c r="N1295" s="72" t="s">
        <v>108</v>
      </c>
      <c r="O1295" t="s">
        <v>24</v>
      </c>
      <c r="P1295">
        <v>55</v>
      </c>
      <c r="Q1295" s="131">
        <v>23028</v>
      </c>
      <c r="S1295"/>
    </row>
    <row r="1296" spans="1:19" x14ac:dyDescent="0.25">
      <c r="A1296" s="86" t="s">
        <v>1548</v>
      </c>
      <c r="B1296" t="s">
        <v>160</v>
      </c>
      <c r="K1296">
        <v>0</v>
      </c>
      <c r="N1296" s="72" t="s">
        <v>1618</v>
      </c>
      <c r="O1296" t="s">
        <v>24</v>
      </c>
      <c r="S1296"/>
    </row>
    <row r="1297" spans="1:19" x14ac:dyDescent="0.25">
      <c r="A1297" s="86" t="s">
        <v>1352</v>
      </c>
      <c r="B1297" t="s">
        <v>160</v>
      </c>
      <c r="C1297">
        <v>51</v>
      </c>
      <c r="E1297">
        <v>48</v>
      </c>
      <c r="F1297">
        <v>41</v>
      </c>
      <c r="K1297">
        <v>140</v>
      </c>
      <c r="N1297" s="72" t="s">
        <v>12</v>
      </c>
      <c r="O1297" t="s">
        <v>24</v>
      </c>
      <c r="P1297">
        <v>41</v>
      </c>
      <c r="Q1297" s="131">
        <v>28000</v>
      </c>
      <c r="S1297"/>
    </row>
    <row r="1298" spans="1:19" x14ac:dyDescent="0.25">
      <c r="A1298" s="86" t="s">
        <v>593</v>
      </c>
      <c r="B1298" t="s">
        <v>67</v>
      </c>
      <c r="K1298">
        <v>0</v>
      </c>
      <c r="N1298" s="72" t="s">
        <v>14</v>
      </c>
      <c r="O1298" s="48" t="s">
        <v>24</v>
      </c>
      <c r="P1298">
        <v>35</v>
      </c>
      <c r="S1298"/>
    </row>
    <row r="1299" spans="1:19" x14ac:dyDescent="0.25">
      <c r="A1299" s="86" t="s">
        <v>233</v>
      </c>
      <c r="B1299" t="s">
        <v>161</v>
      </c>
      <c r="D1299">
        <v>104</v>
      </c>
      <c r="F1299">
        <v>119</v>
      </c>
      <c r="K1299">
        <v>223</v>
      </c>
      <c r="N1299" s="72" t="s">
        <v>38</v>
      </c>
      <c r="O1299" t="s">
        <v>24</v>
      </c>
      <c r="P1299">
        <v>58</v>
      </c>
      <c r="Q1299" s="131">
        <v>21911</v>
      </c>
      <c r="S1299"/>
    </row>
    <row r="1300" spans="1:19" x14ac:dyDescent="0.25">
      <c r="A1300" s="86" t="s">
        <v>692</v>
      </c>
      <c r="B1300" t="s">
        <v>161</v>
      </c>
      <c r="K1300">
        <v>0</v>
      </c>
      <c r="N1300" s="72" t="s">
        <v>14</v>
      </c>
      <c r="O1300" t="s">
        <v>24</v>
      </c>
      <c r="P1300">
        <v>40</v>
      </c>
      <c r="S1300"/>
    </row>
    <row r="1301" spans="1:19" x14ac:dyDescent="0.25">
      <c r="A1301" s="86" t="s">
        <v>772</v>
      </c>
      <c r="B1301" s="48" t="s">
        <v>67</v>
      </c>
      <c r="K1301">
        <v>0</v>
      </c>
      <c r="N1301" s="72" t="s">
        <v>817</v>
      </c>
      <c r="O1301" t="s">
        <v>24</v>
      </c>
      <c r="P1301">
        <v>32</v>
      </c>
      <c r="S1301"/>
    </row>
    <row r="1302" spans="1:19" x14ac:dyDescent="0.25">
      <c r="A1302" s="86" t="s">
        <v>1543</v>
      </c>
      <c r="B1302" t="s">
        <v>67</v>
      </c>
      <c r="K1302">
        <v>0</v>
      </c>
      <c r="N1302" s="72" t="s">
        <v>14</v>
      </c>
      <c r="O1302" t="s">
        <v>24</v>
      </c>
      <c r="P1302">
        <v>31</v>
      </c>
      <c r="Q1302" s="131">
        <v>31100</v>
      </c>
      <c r="S1302"/>
    </row>
    <row r="1303" spans="1:19" x14ac:dyDescent="0.25">
      <c r="A1303" s="86" t="s">
        <v>477</v>
      </c>
      <c r="B1303" t="s">
        <v>157</v>
      </c>
      <c r="K1303">
        <v>0</v>
      </c>
      <c r="N1303" s="72" t="s">
        <v>108</v>
      </c>
      <c r="O1303" t="s">
        <v>23</v>
      </c>
      <c r="P1303">
        <v>42</v>
      </c>
      <c r="Q1303" s="131">
        <v>27313</v>
      </c>
      <c r="S1303"/>
    </row>
    <row r="1304" spans="1:19" x14ac:dyDescent="0.25">
      <c r="A1304" s="86" t="s">
        <v>682</v>
      </c>
      <c r="B1304" t="s">
        <v>156</v>
      </c>
      <c r="K1304">
        <v>0</v>
      </c>
      <c r="N1304" s="72" t="s">
        <v>653</v>
      </c>
      <c r="O1304" t="s">
        <v>23</v>
      </c>
      <c r="P1304">
        <v>30</v>
      </c>
      <c r="S1304"/>
    </row>
    <row r="1305" spans="1:19" x14ac:dyDescent="0.25">
      <c r="A1305" s="86" t="s">
        <v>2294</v>
      </c>
      <c r="B1305" t="s">
        <v>160</v>
      </c>
      <c r="D1305">
        <v>130</v>
      </c>
      <c r="K1305">
        <v>130</v>
      </c>
      <c r="N1305" s="72" t="s">
        <v>63</v>
      </c>
      <c r="O1305" t="s">
        <v>24</v>
      </c>
      <c r="P1305">
        <v>45</v>
      </c>
      <c r="Q1305" s="131">
        <v>26718</v>
      </c>
      <c r="S1305"/>
    </row>
    <row r="1306" spans="1:19" x14ac:dyDescent="0.25">
      <c r="A1306" s="86" t="s">
        <v>1331</v>
      </c>
      <c r="B1306" t="s">
        <v>160</v>
      </c>
      <c r="K1306">
        <v>0</v>
      </c>
      <c r="N1306" s="72" t="s">
        <v>46</v>
      </c>
      <c r="O1306" t="s">
        <v>24</v>
      </c>
      <c r="P1306">
        <v>41</v>
      </c>
      <c r="S1306"/>
    </row>
    <row r="1307" spans="1:19" x14ac:dyDescent="0.25">
      <c r="A1307" s="86" t="s">
        <v>2104</v>
      </c>
      <c r="B1307" t="s">
        <v>67</v>
      </c>
      <c r="K1307">
        <v>0</v>
      </c>
      <c r="N1307" s="72" t="s">
        <v>505</v>
      </c>
      <c r="O1307" t="s">
        <v>24</v>
      </c>
      <c r="P1307">
        <v>29</v>
      </c>
      <c r="Q1307" s="131" t="s">
        <v>2105</v>
      </c>
      <c r="S1307"/>
    </row>
    <row r="1308" spans="1:19" x14ac:dyDescent="0.25">
      <c r="A1308" s="86" t="s">
        <v>1866</v>
      </c>
      <c r="B1308" t="s">
        <v>160</v>
      </c>
      <c r="K1308">
        <v>0</v>
      </c>
      <c r="N1308" s="72" t="s">
        <v>14</v>
      </c>
      <c r="O1308" t="s">
        <v>24</v>
      </c>
      <c r="P1308">
        <v>48</v>
      </c>
      <c r="Q1308" s="131">
        <v>25163</v>
      </c>
      <c r="S1308"/>
    </row>
    <row r="1309" spans="1:19" x14ac:dyDescent="0.25">
      <c r="A1309" s="86" t="s">
        <v>2204</v>
      </c>
      <c r="B1309" t="s">
        <v>67</v>
      </c>
      <c r="C1309">
        <v>49</v>
      </c>
      <c r="D1309">
        <v>40</v>
      </c>
      <c r="E1309">
        <v>41</v>
      </c>
      <c r="K1309">
        <v>130</v>
      </c>
      <c r="N1309" s="72" t="s">
        <v>12</v>
      </c>
      <c r="O1309" t="s">
        <v>24</v>
      </c>
      <c r="P1309">
        <v>34</v>
      </c>
      <c r="Q1309" s="131">
        <v>30543</v>
      </c>
      <c r="S1309"/>
    </row>
    <row r="1310" spans="1:19" x14ac:dyDescent="0.25">
      <c r="A1310" s="86" t="s">
        <v>1410</v>
      </c>
      <c r="B1310" t="s">
        <v>161</v>
      </c>
      <c r="C1310">
        <v>93</v>
      </c>
      <c r="D1310">
        <v>96</v>
      </c>
      <c r="E1310">
        <v>132</v>
      </c>
      <c r="F1310">
        <v>103</v>
      </c>
      <c r="K1310">
        <v>424</v>
      </c>
      <c r="N1310" s="72" t="s">
        <v>63</v>
      </c>
      <c r="O1310" t="s">
        <v>24</v>
      </c>
      <c r="P1310">
        <v>56</v>
      </c>
      <c r="Q1310" s="131">
        <v>22720</v>
      </c>
      <c r="S1310"/>
    </row>
    <row r="1311" spans="1:19" x14ac:dyDescent="0.25">
      <c r="A1311" s="86" t="s">
        <v>1741</v>
      </c>
      <c r="B1311" t="s">
        <v>160</v>
      </c>
      <c r="K1311">
        <v>0</v>
      </c>
      <c r="N1311" s="72" t="s">
        <v>12</v>
      </c>
      <c r="O1311" t="s">
        <v>24</v>
      </c>
      <c r="P1311">
        <v>43</v>
      </c>
      <c r="Q1311" s="131">
        <v>27017</v>
      </c>
      <c r="S1311"/>
    </row>
    <row r="1312" spans="1:19" x14ac:dyDescent="0.25">
      <c r="A1312" s="86" t="s">
        <v>1469</v>
      </c>
      <c r="B1312" t="s">
        <v>160</v>
      </c>
      <c r="K1312">
        <v>0</v>
      </c>
      <c r="N1312" s="72" t="s">
        <v>1923</v>
      </c>
      <c r="O1312" t="s">
        <v>24</v>
      </c>
      <c r="P1312">
        <v>40</v>
      </c>
      <c r="Q1312" s="131">
        <v>28242</v>
      </c>
      <c r="S1312"/>
    </row>
    <row r="1313" spans="1:19" x14ac:dyDescent="0.25">
      <c r="A1313" s="86" t="s">
        <v>590</v>
      </c>
      <c r="B1313" t="s">
        <v>160</v>
      </c>
      <c r="K1313">
        <v>0</v>
      </c>
      <c r="N1313" s="72" t="s">
        <v>154</v>
      </c>
      <c r="O1313" t="s">
        <v>24</v>
      </c>
      <c r="P1313">
        <v>42</v>
      </c>
      <c r="S1313"/>
    </row>
    <row r="1314" spans="1:19" x14ac:dyDescent="0.25">
      <c r="A1314" s="86" t="s">
        <v>398</v>
      </c>
      <c r="B1314" t="s">
        <v>161</v>
      </c>
      <c r="K1314">
        <v>0</v>
      </c>
      <c r="N1314" s="72" t="s">
        <v>51</v>
      </c>
      <c r="O1314" t="s">
        <v>24</v>
      </c>
      <c r="P1314">
        <v>53</v>
      </c>
      <c r="S1314"/>
    </row>
    <row r="1315" spans="1:19" x14ac:dyDescent="0.25">
      <c r="A1315" s="86" t="s">
        <v>2247</v>
      </c>
      <c r="B1315" t="s">
        <v>67</v>
      </c>
      <c r="C1315">
        <v>152</v>
      </c>
      <c r="E1315">
        <v>189</v>
      </c>
      <c r="K1315">
        <v>341</v>
      </c>
      <c r="N1315" s="72" t="s">
        <v>63</v>
      </c>
      <c r="O1315" t="s">
        <v>24</v>
      </c>
      <c r="P1315">
        <v>35</v>
      </c>
      <c r="Q1315" s="131">
        <v>30229</v>
      </c>
      <c r="S1315"/>
    </row>
    <row r="1316" spans="1:19" x14ac:dyDescent="0.25">
      <c r="A1316" s="86" t="s">
        <v>1053</v>
      </c>
      <c r="B1316" t="s">
        <v>67</v>
      </c>
      <c r="K1316">
        <v>0</v>
      </c>
      <c r="N1316" s="72" t="s">
        <v>63</v>
      </c>
      <c r="O1316" t="s">
        <v>24</v>
      </c>
      <c r="P1316">
        <v>28</v>
      </c>
      <c r="S1316"/>
    </row>
    <row r="1317" spans="1:19" x14ac:dyDescent="0.25">
      <c r="A1317" s="86" t="s">
        <v>438</v>
      </c>
      <c r="B1317" t="s">
        <v>67</v>
      </c>
      <c r="K1317">
        <v>0</v>
      </c>
      <c r="N1317" s="72" t="s">
        <v>38</v>
      </c>
      <c r="O1317" t="s">
        <v>24</v>
      </c>
      <c r="P1317">
        <v>36</v>
      </c>
      <c r="S1317"/>
    </row>
    <row r="1318" spans="1:19" x14ac:dyDescent="0.25">
      <c r="A1318" s="86" t="s">
        <v>1168</v>
      </c>
      <c r="B1318" t="s">
        <v>160</v>
      </c>
      <c r="K1318">
        <v>0</v>
      </c>
      <c r="N1318" s="72" t="s">
        <v>14</v>
      </c>
      <c r="O1318" t="s">
        <v>24</v>
      </c>
      <c r="P1318">
        <v>41</v>
      </c>
      <c r="S1318"/>
    </row>
    <row r="1319" spans="1:19" x14ac:dyDescent="0.25">
      <c r="A1319" s="86" t="s">
        <v>1568</v>
      </c>
      <c r="B1319" t="s">
        <v>161</v>
      </c>
      <c r="K1319">
        <v>0</v>
      </c>
      <c r="N1319" s="72" t="s">
        <v>14</v>
      </c>
      <c r="O1319" t="s">
        <v>24</v>
      </c>
      <c r="S1319"/>
    </row>
    <row r="1320" spans="1:19" x14ac:dyDescent="0.25">
      <c r="A1320" s="86" t="s">
        <v>2302</v>
      </c>
      <c r="B1320" t="s">
        <v>67</v>
      </c>
      <c r="K1320">
        <v>0</v>
      </c>
      <c r="N1320" s="72" t="s">
        <v>1805</v>
      </c>
      <c r="O1320" t="s">
        <v>24</v>
      </c>
      <c r="P1320">
        <v>25</v>
      </c>
      <c r="Q1320" s="131">
        <v>33911</v>
      </c>
      <c r="S1320"/>
    </row>
    <row r="1321" spans="1:19" x14ac:dyDescent="0.25">
      <c r="A1321" s="86" t="s">
        <v>299</v>
      </c>
      <c r="B1321" t="s">
        <v>157</v>
      </c>
      <c r="K1321">
        <v>0</v>
      </c>
      <c r="N1321" s="72" t="s">
        <v>108</v>
      </c>
      <c r="O1321" t="s">
        <v>23</v>
      </c>
      <c r="P1321">
        <v>39</v>
      </c>
      <c r="Q1321" s="131">
        <v>28579</v>
      </c>
      <c r="S1321"/>
    </row>
    <row r="1322" spans="1:19" x14ac:dyDescent="0.25">
      <c r="A1322" s="86" t="s">
        <v>375</v>
      </c>
      <c r="B1322" t="s">
        <v>159</v>
      </c>
      <c r="C1322">
        <v>12</v>
      </c>
      <c r="D1322">
        <v>17</v>
      </c>
      <c r="E1322">
        <v>26</v>
      </c>
      <c r="F1322">
        <v>16</v>
      </c>
      <c r="K1322">
        <v>71</v>
      </c>
      <c r="N1322" s="72" t="s">
        <v>108</v>
      </c>
      <c r="O1322" t="s">
        <v>23</v>
      </c>
      <c r="P1322">
        <v>55</v>
      </c>
      <c r="Q1322" s="131">
        <v>22745</v>
      </c>
      <c r="S1322"/>
    </row>
    <row r="1323" spans="1:19" x14ac:dyDescent="0.25">
      <c r="A1323" s="86" t="s">
        <v>2245</v>
      </c>
      <c r="B1323" t="s">
        <v>158</v>
      </c>
      <c r="C1323">
        <v>92</v>
      </c>
      <c r="D1323">
        <v>89</v>
      </c>
      <c r="E1323">
        <v>190</v>
      </c>
      <c r="K1323">
        <v>371</v>
      </c>
      <c r="N1323" s="72" t="s">
        <v>1805</v>
      </c>
      <c r="O1323" t="s">
        <v>23</v>
      </c>
      <c r="P1323">
        <v>54</v>
      </c>
      <c r="Q1323" s="131">
        <v>23387</v>
      </c>
      <c r="S1323"/>
    </row>
    <row r="1324" spans="1:19" x14ac:dyDescent="0.25">
      <c r="A1324" s="86" t="s">
        <v>1391</v>
      </c>
      <c r="B1324" t="s">
        <v>161</v>
      </c>
      <c r="K1324">
        <v>0</v>
      </c>
      <c r="N1324" s="72" t="s">
        <v>43</v>
      </c>
      <c r="O1324" t="s">
        <v>24</v>
      </c>
      <c r="P1324">
        <v>58</v>
      </c>
      <c r="Q1324" s="131">
        <v>21362</v>
      </c>
      <c r="S1324"/>
    </row>
    <row r="1325" spans="1:19" x14ac:dyDescent="0.25">
      <c r="A1325" s="86" t="s">
        <v>282</v>
      </c>
      <c r="B1325" t="s">
        <v>67</v>
      </c>
      <c r="E1325">
        <v>26</v>
      </c>
      <c r="K1325">
        <v>26</v>
      </c>
      <c r="N1325" s="72" t="s">
        <v>155</v>
      </c>
      <c r="O1325" t="s">
        <v>24</v>
      </c>
      <c r="P1325">
        <v>38</v>
      </c>
      <c r="Q1325" s="131">
        <v>29289</v>
      </c>
      <c r="S1325"/>
    </row>
    <row r="1326" spans="1:19" x14ac:dyDescent="0.25">
      <c r="A1326" s="86" t="s">
        <v>792</v>
      </c>
      <c r="B1326" t="s">
        <v>162</v>
      </c>
      <c r="K1326">
        <v>0</v>
      </c>
      <c r="N1326" s="72" t="s">
        <v>63</v>
      </c>
      <c r="O1326" t="s">
        <v>24</v>
      </c>
      <c r="P1326">
        <v>61</v>
      </c>
      <c r="Q1326" s="131">
        <v>20467</v>
      </c>
      <c r="S1326"/>
    </row>
    <row r="1327" spans="1:19" x14ac:dyDescent="0.25">
      <c r="A1327" s="86" t="s">
        <v>2226</v>
      </c>
      <c r="B1327" t="s">
        <v>160</v>
      </c>
      <c r="C1327">
        <v>117</v>
      </c>
      <c r="K1327">
        <v>117</v>
      </c>
      <c r="N1327" s="72" t="s">
        <v>155</v>
      </c>
      <c r="O1327" t="s">
        <v>24</v>
      </c>
      <c r="S1327"/>
    </row>
    <row r="1328" spans="1:19" x14ac:dyDescent="0.25">
      <c r="A1328" s="86" t="s">
        <v>1967</v>
      </c>
      <c r="B1328" t="s">
        <v>160</v>
      </c>
      <c r="K1328">
        <v>0</v>
      </c>
      <c r="N1328" s="72" t="s">
        <v>2009</v>
      </c>
      <c r="O1328" t="s">
        <v>24</v>
      </c>
      <c r="S1328"/>
    </row>
    <row r="1329" spans="1:19" x14ac:dyDescent="0.25">
      <c r="A1329" s="86" t="s">
        <v>1761</v>
      </c>
      <c r="B1329" t="s">
        <v>158</v>
      </c>
      <c r="C1329">
        <v>91</v>
      </c>
      <c r="D1329">
        <v>88</v>
      </c>
      <c r="E1329">
        <v>148</v>
      </c>
      <c r="F1329">
        <v>82</v>
      </c>
      <c r="K1329">
        <v>409</v>
      </c>
      <c r="N1329" s="72" t="s">
        <v>43</v>
      </c>
      <c r="O1329" t="s">
        <v>23</v>
      </c>
      <c r="P1329">
        <v>49</v>
      </c>
      <c r="Q1329" s="131">
        <v>25348</v>
      </c>
      <c r="S1329"/>
    </row>
    <row r="1330" spans="1:19" x14ac:dyDescent="0.25">
      <c r="A1330" s="86" t="s">
        <v>1051</v>
      </c>
      <c r="B1330" t="s">
        <v>156</v>
      </c>
      <c r="K1330">
        <v>0</v>
      </c>
      <c r="N1330" s="72" t="s">
        <v>1067</v>
      </c>
      <c r="O1330" t="s">
        <v>23</v>
      </c>
      <c r="P1330">
        <v>28</v>
      </c>
      <c r="S1330"/>
    </row>
    <row r="1331" spans="1:19" x14ac:dyDescent="0.25">
      <c r="A1331" s="86" t="s">
        <v>708</v>
      </c>
      <c r="B1331" t="s">
        <v>157</v>
      </c>
      <c r="K1331">
        <v>0</v>
      </c>
      <c r="N1331" s="72" t="s">
        <v>14</v>
      </c>
      <c r="O1331" t="s">
        <v>23</v>
      </c>
      <c r="P1331">
        <v>44</v>
      </c>
      <c r="S1331"/>
    </row>
    <row r="1332" spans="1:19" x14ac:dyDescent="0.25">
      <c r="A1332" s="86" t="s">
        <v>1468</v>
      </c>
      <c r="B1332" t="s">
        <v>160</v>
      </c>
      <c r="C1332">
        <v>101</v>
      </c>
      <c r="D1332">
        <v>106</v>
      </c>
      <c r="E1332">
        <v>131</v>
      </c>
      <c r="F1332">
        <v>138</v>
      </c>
      <c r="K1332">
        <v>476</v>
      </c>
      <c r="N1332" s="72" t="s">
        <v>155</v>
      </c>
      <c r="O1332" t="s">
        <v>24</v>
      </c>
      <c r="P1332">
        <v>45</v>
      </c>
      <c r="Q1332" s="131">
        <v>26521</v>
      </c>
      <c r="S1332"/>
    </row>
    <row r="1333" spans="1:19" x14ac:dyDescent="0.25">
      <c r="A1333" s="86" t="s">
        <v>478</v>
      </c>
      <c r="B1333" s="48" t="s">
        <v>156</v>
      </c>
      <c r="K1333">
        <v>0</v>
      </c>
      <c r="N1333" s="72" t="s">
        <v>12</v>
      </c>
      <c r="O1333" t="s">
        <v>23</v>
      </c>
      <c r="P1333">
        <v>34</v>
      </c>
      <c r="Q1333" s="131">
        <v>29609</v>
      </c>
      <c r="S1333"/>
    </row>
    <row r="1334" spans="1:19" x14ac:dyDescent="0.25">
      <c r="A1334" s="86" t="s">
        <v>396</v>
      </c>
      <c r="B1334" t="s">
        <v>67</v>
      </c>
      <c r="K1334">
        <v>0</v>
      </c>
      <c r="N1334" s="72" t="s">
        <v>63</v>
      </c>
      <c r="O1334" t="s">
        <v>24</v>
      </c>
      <c r="P1334">
        <v>33</v>
      </c>
      <c r="Q1334" s="131">
        <v>30249</v>
      </c>
      <c r="S1334"/>
    </row>
    <row r="1335" spans="1:19" x14ac:dyDescent="0.25">
      <c r="A1335" s="86" t="s">
        <v>1554</v>
      </c>
      <c r="B1335" t="s">
        <v>156</v>
      </c>
      <c r="K1335">
        <v>0</v>
      </c>
      <c r="N1335" s="72" t="s">
        <v>63</v>
      </c>
      <c r="O1335" t="s">
        <v>23</v>
      </c>
      <c r="P1335">
        <v>29</v>
      </c>
      <c r="Q1335" s="131">
        <v>32040</v>
      </c>
      <c r="S1335"/>
    </row>
    <row r="1336" spans="1:19" x14ac:dyDescent="0.25">
      <c r="A1336" s="86" t="s">
        <v>727</v>
      </c>
      <c r="B1336" t="s">
        <v>160</v>
      </c>
      <c r="K1336">
        <v>0</v>
      </c>
      <c r="N1336" s="72" t="s">
        <v>656</v>
      </c>
      <c r="O1336" t="s">
        <v>24</v>
      </c>
      <c r="P1336">
        <v>42</v>
      </c>
      <c r="S1336"/>
    </row>
    <row r="1337" spans="1:19" x14ac:dyDescent="0.25">
      <c r="A1337" s="86" t="s">
        <v>634</v>
      </c>
      <c r="B1337" t="s">
        <v>67</v>
      </c>
      <c r="K1337">
        <v>0</v>
      </c>
      <c r="N1337" s="72" t="s">
        <v>154</v>
      </c>
      <c r="O1337" t="s">
        <v>24</v>
      </c>
      <c r="P1337">
        <v>18</v>
      </c>
      <c r="S1337"/>
    </row>
    <row r="1338" spans="1:19" x14ac:dyDescent="0.25">
      <c r="A1338" s="86" t="s">
        <v>1028</v>
      </c>
      <c r="B1338" s="48" t="s">
        <v>160</v>
      </c>
      <c r="K1338">
        <v>0</v>
      </c>
      <c r="N1338" s="72" t="s">
        <v>657</v>
      </c>
      <c r="O1338" t="s">
        <v>24</v>
      </c>
      <c r="P1338">
        <v>40</v>
      </c>
      <c r="S1338"/>
    </row>
    <row r="1339" spans="1:19" x14ac:dyDescent="0.25">
      <c r="A1339" s="86" t="s">
        <v>2352</v>
      </c>
      <c r="B1339" t="s">
        <v>160</v>
      </c>
      <c r="E1339">
        <v>147</v>
      </c>
      <c r="K1339">
        <v>147</v>
      </c>
      <c r="N1339" s="72" t="s">
        <v>14</v>
      </c>
      <c r="O1339" t="s">
        <v>24</v>
      </c>
      <c r="P1339">
        <v>44</v>
      </c>
      <c r="Q1339" s="131">
        <v>27033</v>
      </c>
      <c r="S1339"/>
    </row>
    <row r="1340" spans="1:19" x14ac:dyDescent="0.25">
      <c r="A1340" s="86" t="s">
        <v>2334</v>
      </c>
      <c r="B1340" t="s">
        <v>67</v>
      </c>
      <c r="E1340">
        <v>85</v>
      </c>
      <c r="K1340">
        <v>85</v>
      </c>
      <c r="N1340" s="72" t="s">
        <v>505</v>
      </c>
      <c r="O1340" t="s">
        <v>24</v>
      </c>
      <c r="P1340">
        <v>31</v>
      </c>
      <c r="Q1340" s="131">
        <v>31812</v>
      </c>
      <c r="S1340"/>
    </row>
    <row r="1341" spans="1:19" x14ac:dyDescent="0.25">
      <c r="A1341" s="86" t="s">
        <v>1711</v>
      </c>
      <c r="B1341" t="s">
        <v>157</v>
      </c>
      <c r="K1341">
        <v>0</v>
      </c>
      <c r="N1341" s="72" t="s">
        <v>1736</v>
      </c>
      <c r="O1341" t="s">
        <v>23</v>
      </c>
      <c r="P1341">
        <v>36</v>
      </c>
      <c r="Q1341" s="131">
        <v>29311</v>
      </c>
      <c r="S1341"/>
    </row>
    <row r="1342" spans="1:19" x14ac:dyDescent="0.25">
      <c r="A1342" s="86" t="s">
        <v>554</v>
      </c>
      <c r="B1342" t="s">
        <v>156</v>
      </c>
      <c r="K1342">
        <v>0</v>
      </c>
      <c r="N1342" s="72" t="s">
        <v>154</v>
      </c>
      <c r="O1342" s="48" t="s">
        <v>851</v>
      </c>
      <c r="P1342">
        <v>28</v>
      </c>
      <c r="S1342"/>
    </row>
    <row r="1343" spans="1:19" x14ac:dyDescent="0.25">
      <c r="A1343" s="86" t="s">
        <v>1600</v>
      </c>
      <c r="B1343" t="s">
        <v>156</v>
      </c>
      <c r="K1343">
        <v>0</v>
      </c>
      <c r="N1343" s="72" t="s">
        <v>43</v>
      </c>
      <c r="O1343" t="s">
        <v>23</v>
      </c>
      <c r="S1343"/>
    </row>
    <row r="1344" spans="1:19" x14ac:dyDescent="0.25">
      <c r="A1344" s="86" t="s">
        <v>1898</v>
      </c>
      <c r="B1344" t="s">
        <v>67</v>
      </c>
      <c r="K1344">
        <v>0</v>
      </c>
      <c r="N1344" s="72" t="s">
        <v>63</v>
      </c>
      <c r="O1344" t="s">
        <v>24</v>
      </c>
      <c r="P1344">
        <v>29</v>
      </c>
      <c r="Q1344" s="131">
        <v>32018</v>
      </c>
      <c r="S1344"/>
    </row>
    <row r="1345" spans="1:19" x14ac:dyDescent="0.25">
      <c r="A1345" s="86" t="s">
        <v>1744</v>
      </c>
      <c r="B1345" t="s">
        <v>158</v>
      </c>
      <c r="K1345">
        <v>0</v>
      </c>
      <c r="N1345" s="72" t="s">
        <v>12</v>
      </c>
      <c r="O1345" t="s">
        <v>23</v>
      </c>
      <c r="P1345">
        <v>47</v>
      </c>
      <c r="Q1345" s="131">
        <v>25529</v>
      </c>
      <c r="S1345"/>
    </row>
    <row r="1346" spans="1:19" x14ac:dyDescent="0.25">
      <c r="A1346" s="86" t="s">
        <v>637</v>
      </c>
      <c r="B1346" t="s">
        <v>157</v>
      </c>
      <c r="K1346">
        <v>0</v>
      </c>
      <c r="N1346" s="72" t="s">
        <v>63</v>
      </c>
      <c r="O1346" t="s">
        <v>23</v>
      </c>
      <c r="P1346">
        <v>40</v>
      </c>
      <c r="S1346"/>
    </row>
    <row r="1347" spans="1:19" x14ac:dyDescent="0.25">
      <c r="A1347" s="86" t="s">
        <v>838</v>
      </c>
      <c r="B1347" t="s">
        <v>157</v>
      </c>
      <c r="K1347">
        <v>0</v>
      </c>
      <c r="N1347" s="72" t="s">
        <v>63</v>
      </c>
      <c r="O1347" t="s">
        <v>23</v>
      </c>
      <c r="P1347">
        <v>35</v>
      </c>
      <c r="S1347"/>
    </row>
    <row r="1348" spans="1:19" x14ac:dyDescent="0.25">
      <c r="A1348" s="86" t="s">
        <v>1869</v>
      </c>
      <c r="B1348" t="s">
        <v>67</v>
      </c>
      <c r="K1348">
        <v>0</v>
      </c>
      <c r="N1348" s="72" t="s">
        <v>154</v>
      </c>
      <c r="O1348" t="s">
        <v>24</v>
      </c>
      <c r="P1348">
        <v>32</v>
      </c>
      <c r="Q1348" s="131">
        <v>31086</v>
      </c>
      <c r="S1348"/>
    </row>
    <row r="1349" spans="1:19" x14ac:dyDescent="0.25">
      <c r="A1349" s="86" t="s">
        <v>1376</v>
      </c>
      <c r="B1349" t="s">
        <v>158</v>
      </c>
      <c r="K1349">
        <v>0</v>
      </c>
      <c r="N1349" s="72" t="s">
        <v>38</v>
      </c>
      <c r="O1349" t="s">
        <v>23</v>
      </c>
      <c r="P1349">
        <v>46</v>
      </c>
      <c r="Q1349" s="131">
        <v>25581</v>
      </c>
      <c r="S1349"/>
    </row>
    <row r="1350" spans="1:19" x14ac:dyDescent="0.25">
      <c r="A1350" s="86" t="s">
        <v>192</v>
      </c>
      <c r="B1350" t="s">
        <v>1818</v>
      </c>
      <c r="C1350">
        <v>99</v>
      </c>
      <c r="D1350">
        <v>99</v>
      </c>
      <c r="E1350">
        <v>165</v>
      </c>
      <c r="K1350">
        <v>363</v>
      </c>
      <c r="N1350" s="72" t="s">
        <v>505</v>
      </c>
      <c r="O1350" t="s">
        <v>23</v>
      </c>
      <c r="P1350">
        <v>81</v>
      </c>
      <c r="Q1350" s="131">
        <v>13338</v>
      </c>
      <c r="S1350"/>
    </row>
    <row r="1351" spans="1:19" x14ac:dyDescent="0.25">
      <c r="A1351" s="86" t="s">
        <v>992</v>
      </c>
      <c r="B1351" t="s">
        <v>156</v>
      </c>
      <c r="K1351">
        <v>0</v>
      </c>
      <c r="N1351" s="72" t="s">
        <v>14</v>
      </c>
      <c r="O1351" t="s">
        <v>23</v>
      </c>
      <c r="P1351">
        <v>33</v>
      </c>
      <c r="S1351"/>
    </row>
    <row r="1352" spans="1:19" x14ac:dyDescent="0.25">
      <c r="A1352" s="86" t="s">
        <v>2379</v>
      </c>
      <c r="B1352" t="s">
        <v>156</v>
      </c>
      <c r="E1352">
        <v>129</v>
      </c>
      <c r="K1352">
        <v>129</v>
      </c>
      <c r="N1352" s="72" t="s">
        <v>1805</v>
      </c>
      <c r="O1352" t="s">
        <v>23</v>
      </c>
      <c r="P1352">
        <v>30</v>
      </c>
      <c r="Q1352" s="131">
        <v>32023</v>
      </c>
      <c r="S1352"/>
    </row>
    <row r="1353" spans="1:19" x14ac:dyDescent="0.25">
      <c r="A1353" s="86" t="s">
        <v>333</v>
      </c>
      <c r="B1353" t="s">
        <v>160</v>
      </c>
      <c r="K1353">
        <v>0</v>
      </c>
      <c r="N1353" s="72" t="s">
        <v>10</v>
      </c>
      <c r="O1353" t="s">
        <v>24</v>
      </c>
      <c r="P1353">
        <v>42</v>
      </c>
      <c r="S1353"/>
    </row>
    <row r="1354" spans="1:19" x14ac:dyDescent="0.25">
      <c r="A1354" s="86" t="s">
        <v>630</v>
      </c>
      <c r="B1354" t="s">
        <v>161</v>
      </c>
      <c r="K1354">
        <v>0</v>
      </c>
      <c r="N1354" s="72" t="s">
        <v>108</v>
      </c>
      <c r="O1354" t="s">
        <v>24</v>
      </c>
      <c r="P1354">
        <v>54</v>
      </c>
      <c r="Q1354" s="131" t="s">
        <v>2060</v>
      </c>
      <c r="S1354"/>
    </row>
    <row r="1355" spans="1:19" x14ac:dyDescent="0.25">
      <c r="A1355" s="86" t="s">
        <v>1001</v>
      </c>
      <c r="B1355" t="s">
        <v>158</v>
      </c>
      <c r="K1355">
        <v>0</v>
      </c>
      <c r="N1355" s="72" t="s">
        <v>657</v>
      </c>
      <c r="O1355" t="s">
        <v>23</v>
      </c>
      <c r="P1355">
        <v>50</v>
      </c>
      <c r="S1355"/>
    </row>
    <row r="1356" spans="1:19" x14ac:dyDescent="0.25">
      <c r="A1356" s="86" t="s">
        <v>1178</v>
      </c>
      <c r="B1356" t="s">
        <v>158</v>
      </c>
      <c r="K1356">
        <v>0</v>
      </c>
      <c r="N1356" s="72" t="s">
        <v>12</v>
      </c>
      <c r="O1356" t="s">
        <v>23</v>
      </c>
      <c r="P1356">
        <v>47</v>
      </c>
      <c r="Q1356" s="131">
        <v>25529</v>
      </c>
      <c r="S1356"/>
    </row>
    <row r="1357" spans="1:19" x14ac:dyDescent="0.25">
      <c r="A1357" s="86" t="s">
        <v>175</v>
      </c>
      <c r="B1357" t="s">
        <v>67</v>
      </c>
      <c r="K1357">
        <v>0</v>
      </c>
      <c r="N1357" s="72" t="s">
        <v>12</v>
      </c>
      <c r="O1357" t="s">
        <v>24</v>
      </c>
      <c r="P1357">
        <v>32</v>
      </c>
      <c r="Q1357" s="131">
        <v>31167</v>
      </c>
      <c r="S1357"/>
    </row>
    <row r="1358" spans="1:19" x14ac:dyDescent="0.25">
      <c r="A1358" s="86" t="s">
        <v>960</v>
      </c>
      <c r="B1358" t="s">
        <v>161</v>
      </c>
      <c r="K1358">
        <v>0</v>
      </c>
      <c r="N1358" s="72" t="s">
        <v>12</v>
      </c>
      <c r="O1358" t="s">
        <v>24</v>
      </c>
      <c r="P1358">
        <v>54</v>
      </c>
      <c r="S1358"/>
    </row>
    <row r="1359" spans="1:19" x14ac:dyDescent="0.25">
      <c r="A1359" s="86" t="s">
        <v>2354</v>
      </c>
      <c r="B1359" t="s">
        <v>161</v>
      </c>
      <c r="E1359">
        <v>149</v>
      </c>
      <c r="K1359">
        <v>149</v>
      </c>
      <c r="N1359" s="72" t="s">
        <v>505</v>
      </c>
      <c r="O1359" t="s">
        <v>24</v>
      </c>
      <c r="P1359">
        <v>54</v>
      </c>
      <c r="Q1359" s="131">
        <v>23547</v>
      </c>
      <c r="S1359"/>
    </row>
    <row r="1360" spans="1:19" x14ac:dyDescent="0.25">
      <c r="A1360" s="86" t="s">
        <v>248</v>
      </c>
      <c r="B1360" t="s">
        <v>67</v>
      </c>
      <c r="K1360">
        <v>0</v>
      </c>
      <c r="N1360" s="72" t="s">
        <v>63</v>
      </c>
      <c r="O1360" t="s">
        <v>24</v>
      </c>
      <c r="P1360">
        <v>39</v>
      </c>
      <c r="Q1360" s="131">
        <v>28637</v>
      </c>
      <c r="S1360"/>
    </row>
    <row r="1361" spans="1:19" x14ac:dyDescent="0.25">
      <c r="A1361" s="86" t="s">
        <v>1049</v>
      </c>
      <c r="B1361" t="s">
        <v>67</v>
      </c>
      <c r="K1361">
        <v>0</v>
      </c>
      <c r="N1361" s="72" t="s">
        <v>154</v>
      </c>
      <c r="O1361" t="s">
        <v>24</v>
      </c>
      <c r="P1361">
        <v>34</v>
      </c>
      <c r="S1361"/>
    </row>
    <row r="1362" spans="1:19" x14ac:dyDescent="0.25">
      <c r="A1362" s="86" t="s">
        <v>311</v>
      </c>
      <c r="B1362" t="s">
        <v>160</v>
      </c>
      <c r="D1362">
        <v>13</v>
      </c>
      <c r="E1362">
        <v>10</v>
      </c>
      <c r="F1362">
        <v>7</v>
      </c>
      <c r="K1362">
        <v>30</v>
      </c>
      <c r="N1362" s="72" t="s">
        <v>154</v>
      </c>
      <c r="O1362" s="48" t="s">
        <v>24</v>
      </c>
      <c r="P1362">
        <v>41</v>
      </c>
      <c r="Q1362" s="131">
        <v>28283</v>
      </c>
      <c r="S1362"/>
    </row>
    <row r="1363" spans="1:19" x14ac:dyDescent="0.25">
      <c r="A1363" s="86" t="s">
        <v>983</v>
      </c>
      <c r="B1363" t="s">
        <v>160</v>
      </c>
      <c r="K1363">
        <v>0</v>
      </c>
      <c r="N1363" s="72" t="s">
        <v>14</v>
      </c>
      <c r="O1363" t="s">
        <v>24</v>
      </c>
      <c r="P1363">
        <v>41</v>
      </c>
      <c r="S1363"/>
    </row>
    <row r="1364" spans="1:19" x14ac:dyDescent="0.25">
      <c r="A1364" s="86" t="s">
        <v>267</v>
      </c>
      <c r="B1364" t="s">
        <v>161</v>
      </c>
      <c r="K1364">
        <v>0</v>
      </c>
      <c r="N1364" s="72" t="s">
        <v>154</v>
      </c>
      <c r="O1364" t="s">
        <v>24</v>
      </c>
      <c r="P1364">
        <v>51</v>
      </c>
      <c r="S1364"/>
    </row>
    <row r="1365" spans="1:19" x14ac:dyDescent="0.25">
      <c r="A1365" s="86" t="s">
        <v>947</v>
      </c>
      <c r="B1365" s="48" t="s">
        <v>160</v>
      </c>
      <c r="K1365">
        <v>0</v>
      </c>
      <c r="N1365" s="72" t="s">
        <v>12</v>
      </c>
      <c r="O1365" t="s">
        <v>24</v>
      </c>
      <c r="P1365">
        <v>45</v>
      </c>
      <c r="S1365"/>
    </row>
    <row r="1366" spans="1:19" x14ac:dyDescent="0.25">
      <c r="A1366" s="86" t="s">
        <v>355</v>
      </c>
      <c r="B1366" t="s">
        <v>160</v>
      </c>
      <c r="K1366">
        <v>0</v>
      </c>
      <c r="N1366" s="72" t="s">
        <v>63</v>
      </c>
      <c r="O1366" t="s">
        <v>24</v>
      </c>
      <c r="P1366">
        <v>48</v>
      </c>
      <c r="Q1366" s="131">
        <v>25325</v>
      </c>
      <c r="S1366"/>
    </row>
    <row r="1367" spans="1:19" x14ac:dyDescent="0.25">
      <c r="A1367" s="86" t="s">
        <v>2300</v>
      </c>
      <c r="B1367" t="s">
        <v>67</v>
      </c>
      <c r="C1367">
        <v>89</v>
      </c>
      <c r="D1367">
        <v>90</v>
      </c>
      <c r="F1367">
        <v>98</v>
      </c>
      <c r="K1367">
        <v>277</v>
      </c>
      <c r="N1367" s="72" t="s">
        <v>1805</v>
      </c>
      <c r="O1367" t="s">
        <v>24</v>
      </c>
      <c r="P1367">
        <v>39</v>
      </c>
      <c r="Q1367" s="131">
        <v>28756</v>
      </c>
      <c r="S1367"/>
    </row>
    <row r="1368" spans="1:19" x14ac:dyDescent="0.25">
      <c r="A1368" s="86" t="s">
        <v>1515</v>
      </c>
      <c r="B1368" t="s">
        <v>67</v>
      </c>
      <c r="K1368">
        <v>0</v>
      </c>
      <c r="N1368" s="72" t="s">
        <v>12</v>
      </c>
      <c r="O1368" t="s">
        <v>24</v>
      </c>
      <c r="P1368">
        <v>34</v>
      </c>
      <c r="Q1368" s="131">
        <v>29861</v>
      </c>
      <c r="S1368"/>
    </row>
    <row r="1369" spans="1:19" x14ac:dyDescent="0.25">
      <c r="A1369" s="86" t="s">
        <v>423</v>
      </c>
      <c r="B1369" t="s">
        <v>160</v>
      </c>
      <c r="K1369">
        <v>0</v>
      </c>
      <c r="N1369" s="72" t="s">
        <v>155</v>
      </c>
      <c r="O1369" t="s">
        <v>24</v>
      </c>
      <c r="P1369">
        <v>48</v>
      </c>
      <c r="S1369"/>
    </row>
    <row r="1370" spans="1:19" x14ac:dyDescent="0.25">
      <c r="A1370" s="86" t="s">
        <v>828</v>
      </c>
      <c r="B1370" s="48" t="s">
        <v>67</v>
      </c>
      <c r="K1370">
        <v>0</v>
      </c>
      <c r="N1370" s="72" t="s">
        <v>505</v>
      </c>
      <c r="O1370" t="s">
        <v>24</v>
      </c>
      <c r="P1370">
        <v>30</v>
      </c>
      <c r="S1370"/>
    </row>
    <row r="1371" spans="1:19" x14ac:dyDescent="0.25">
      <c r="A1371" s="86" t="s">
        <v>2315</v>
      </c>
      <c r="B1371" t="s">
        <v>160</v>
      </c>
      <c r="E1371">
        <v>2</v>
      </c>
      <c r="K1371">
        <v>2</v>
      </c>
      <c r="N1371" s="72" t="s">
        <v>1499</v>
      </c>
      <c r="O1371" t="s">
        <v>24</v>
      </c>
      <c r="P1371">
        <v>44</v>
      </c>
      <c r="Q1371" s="131">
        <v>27102</v>
      </c>
      <c r="S1371"/>
    </row>
    <row r="1372" spans="1:19" x14ac:dyDescent="0.25">
      <c r="A1372" s="86" t="s">
        <v>1672</v>
      </c>
      <c r="B1372" t="s">
        <v>161</v>
      </c>
      <c r="K1372">
        <v>0</v>
      </c>
      <c r="N1372" s="72" t="s">
        <v>10</v>
      </c>
      <c r="O1372" t="s">
        <v>24</v>
      </c>
      <c r="P1372">
        <v>58</v>
      </c>
      <c r="S1372"/>
    </row>
    <row r="1373" spans="1:19" x14ac:dyDescent="0.25">
      <c r="A1373" s="86" t="s">
        <v>395</v>
      </c>
      <c r="B1373" t="s">
        <v>67</v>
      </c>
      <c r="K1373">
        <v>0</v>
      </c>
      <c r="N1373" s="72" t="s">
        <v>155</v>
      </c>
      <c r="O1373" t="s">
        <v>24</v>
      </c>
      <c r="P1373">
        <v>38</v>
      </c>
      <c r="Q1373" s="131">
        <v>28992</v>
      </c>
      <c r="S1373"/>
    </row>
    <row r="1374" spans="1:19" x14ac:dyDescent="0.25">
      <c r="A1374" s="86" t="s">
        <v>761</v>
      </c>
      <c r="B1374" t="s">
        <v>67</v>
      </c>
      <c r="K1374">
        <v>0</v>
      </c>
      <c r="N1374" s="72" t="s">
        <v>814</v>
      </c>
      <c r="O1374" t="s">
        <v>24</v>
      </c>
      <c r="P1374">
        <v>35</v>
      </c>
      <c r="S1374"/>
    </row>
    <row r="1375" spans="1:19" x14ac:dyDescent="0.25">
      <c r="A1375" s="86" t="s">
        <v>918</v>
      </c>
      <c r="B1375" s="48" t="s">
        <v>160</v>
      </c>
      <c r="K1375">
        <v>0</v>
      </c>
      <c r="N1375" s="72" t="s">
        <v>108</v>
      </c>
      <c r="O1375" t="s">
        <v>24</v>
      </c>
      <c r="P1375">
        <v>48</v>
      </c>
      <c r="Q1375" s="131">
        <v>24900</v>
      </c>
      <c r="S1375"/>
    </row>
    <row r="1376" spans="1:19" x14ac:dyDescent="0.25">
      <c r="A1376" s="86" t="s">
        <v>231</v>
      </c>
      <c r="B1376" t="s">
        <v>161</v>
      </c>
      <c r="K1376">
        <v>0</v>
      </c>
      <c r="N1376" s="72" t="s">
        <v>38</v>
      </c>
      <c r="O1376" s="48" t="s">
        <v>24</v>
      </c>
      <c r="P1376">
        <v>51</v>
      </c>
      <c r="S1376"/>
    </row>
    <row r="1377" spans="1:19" x14ac:dyDescent="0.25">
      <c r="A1377" s="86" t="s">
        <v>274</v>
      </c>
      <c r="B1377" t="s">
        <v>160</v>
      </c>
      <c r="K1377">
        <v>0</v>
      </c>
      <c r="N1377" s="72" t="s">
        <v>63</v>
      </c>
      <c r="O1377" t="s">
        <v>24</v>
      </c>
      <c r="P1377">
        <v>41</v>
      </c>
      <c r="Q1377" s="131">
        <v>27673</v>
      </c>
      <c r="S1377"/>
    </row>
    <row r="1378" spans="1:19" x14ac:dyDescent="0.25">
      <c r="A1378" s="86" t="s">
        <v>1706</v>
      </c>
      <c r="B1378" t="s">
        <v>161</v>
      </c>
      <c r="K1378">
        <v>0</v>
      </c>
      <c r="N1378" s="72" t="s">
        <v>47</v>
      </c>
      <c r="O1378" t="s">
        <v>24</v>
      </c>
      <c r="P1378">
        <v>56</v>
      </c>
      <c r="Q1378" s="131" t="s">
        <v>1734</v>
      </c>
      <c r="S1378"/>
    </row>
    <row r="1379" spans="1:19" x14ac:dyDescent="0.25">
      <c r="A1379" s="86" t="s">
        <v>1018</v>
      </c>
      <c r="B1379" t="s">
        <v>162</v>
      </c>
      <c r="K1379">
        <v>0</v>
      </c>
      <c r="N1379" s="72" t="s">
        <v>1618</v>
      </c>
      <c r="O1379" t="s">
        <v>24</v>
      </c>
      <c r="P1379">
        <v>50</v>
      </c>
      <c r="S1379"/>
    </row>
    <row r="1380" spans="1:19" x14ac:dyDescent="0.25">
      <c r="A1380" s="86" t="s">
        <v>2073</v>
      </c>
      <c r="B1380" t="s">
        <v>160</v>
      </c>
      <c r="K1380">
        <v>0</v>
      </c>
      <c r="N1380" s="72" t="s">
        <v>505</v>
      </c>
      <c r="O1380" t="s">
        <v>24</v>
      </c>
      <c r="P1380">
        <v>48</v>
      </c>
      <c r="Q1380" s="131" t="s">
        <v>2074</v>
      </c>
      <c r="S1380"/>
    </row>
    <row r="1381" spans="1:19" x14ac:dyDescent="0.25">
      <c r="A1381" s="86" t="s">
        <v>966</v>
      </c>
      <c r="B1381" t="s">
        <v>67</v>
      </c>
      <c r="K1381">
        <v>0</v>
      </c>
      <c r="N1381" s="72" t="s">
        <v>154</v>
      </c>
      <c r="O1381" t="s">
        <v>24</v>
      </c>
      <c r="P1381">
        <v>32</v>
      </c>
      <c r="S1381"/>
    </row>
    <row r="1382" spans="1:19" x14ac:dyDescent="0.25">
      <c r="A1382" s="86" t="s">
        <v>928</v>
      </c>
      <c r="B1382" t="s">
        <v>67</v>
      </c>
      <c r="C1382">
        <v>56</v>
      </c>
      <c r="D1382">
        <v>41</v>
      </c>
      <c r="E1382">
        <v>61</v>
      </c>
      <c r="F1382">
        <v>47</v>
      </c>
      <c r="K1382">
        <v>205</v>
      </c>
      <c r="N1382" s="72" t="s">
        <v>12</v>
      </c>
      <c r="O1382" t="s">
        <v>24</v>
      </c>
      <c r="P1382">
        <v>34</v>
      </c>
      <c r="Q1382" s="131">
        <v>30830</v>
      </c>
      <c r="S1382"/>
    </row>
    <row r="1383" spans="1:19" x14ac:dyDescent="0.25">
      <c r="A1383" s="86" t="s">
        <v>2068</v>
      </c>
      <c r="B1383" t="s">
        <v>67</v>
      </c>
      <c r="K1383">
        <v>0</v>
      </c>
      <c r="N1383" s="72" t="s">
        <v>54</v>
      </c>
      <c r="O1383" t="s">
        <v>24</v>
      </c>
      <c r="P1383">
        <v>38</v>
      </c>
      <c r="Q1383" s="131" t="s">
        <v>2069</v>
      </c>
      <c r="S1383"/>
    </row>
    <row r="1384" spans="1:19" x14ac:dyDescent="0.25">
      <c r="A1384" s="86" t="s">
        <v>1478</v>
      </c>
      <c r="B1384" t="s">
        <v>67</v>
      </c>
      <c r="K1384">
        <v>0</v>
      </c>
      <c r="N1384" s="72" t="s">
        <v>43</v>
      </c>
      <c r="O1384" t="s">
        <v>24</v>
      </c>
      <c r="P1384">
        <v>38</v>
      </c>
      <c r="Q1384" s="131">
        <v>28385</v>
      </c>
      <c r="S1384"/>
    </row>
    <row r="1385" spans="1:19" x14ac:dyDescent="0.25">
      <c r="A1385" s="86" t="s">
        <v>1971</v>
      </c>
      <c r="B1385" t="s">
        <v>161</v>
      </c>
      <c r="K1385">
        <v>0</v>
      </c>
      <c r="N1385" s="72" t="s">
        <v>657</v>
      </c>
      <c r="O1385" t="s">
        <v>24</v>
      </c>
      <c r="S1385"/>
    </row>
    <row r="1386" spans="1:19" x14ac:dyDescent="0.25">
      <c r="A1386" s="86" t="s">
        <v>868</v>
      </c>
      <c r="B1386" t="s">
        <v>160</v>
      </c>
      <c r="K1386">
        <v>0</v>
      </c>
      <c r="N1386" s="72" t="s">
        <v>155</v>
      </c>
      <c r="O1386" t="s">
        <v>24</v>
      </c>
      <c r="P1386">
        <v>41</v>
      </c>
      <c r="S1386"/>
    </row>
    <row r="1387" spans="1:19" x14ac:dyDescent="0.25">
      <c r="A1387" s="86" t="s">
        <v>556</v>
      </c>
      <c r="B1387" t="s">
        <v>160</v>
      </c>
      <c r="K1387">
        <v>0</v>
      </c>
      <c r="N1387" s="72" t="s">
        <v>155</v>
      </c>
      <c r="O1387" t="s">
        <v>24</v>
      </c>
      <c r="P1387">
        <v>49</v>
      </c>
      <c r="Q1387" s="131">
        <v>24906</v>
      </c>
      <c r="S1387"/>
    </row>
    <row r="1388" spans="1:19" x14ac:dyDescent="0.25">
      <c r="A1388" s="86" t="s">
        <v>596</v>
      </c>
      <c r="B1388" t="s">
        <v>67</v>
      </c>
      <c r="D1388">
        <v>4</v>
      </c>
      <c r="E1388">
        <v>3</v>
      </c>
      <c r="F1388">
        <v>2</v>
      </c>
      <c r="K1388">
        <v>9</v>
      </c>
      <c r="N1388" s="72" t="s">
        <v>12</v>
      </c>
      <c r="O1388" t="s">
        <v>24</v>
      </c>
      <c r="P1388">
        <v>38</v>
      </c>
      <c r="Q1388" s="131">
        <v>29145</v>
      </c>
      <c r="S1388"/>
    </row>
    <row r="1389" spans="1:19" x14ac:dyDescent="0.25">
      <c r="A1389" s="86" t="s">
        <v>738</v>
      </c>
      <c r="B1389" t="s">
        <v>162</v>
      </c>
      <c r="K1389">
        <v>0</v>
      </c>
      <c r="N1389" s="72" t="s">
        <v>14</v>
      </c>
      <c r="O1389" t="s">
        <v>24</v>
      </c>
      <c r="P1389">
        <v>60</v>
      </c>
      <c r="S1389"/>
    </row>
    <row r="1390" spans="1:19" x14ac:dyDescent="0.25">
      <c r="A1390" s="86" t="s">
        <v>621</v>
      </c>
      <c r="B1390" t="s">
        <v>160</v>
      </c>
      <c r="K1390">
        <v>0</v>
      </c>
      <c r="N1390" s="72" t="s">
        <v>14</v>
      </c>
      <c r="O1390" t="s">
        <v>24</v>
      </c>
      <c r="P1390">
        <v>48</v>
      </c>
      <c r="S1390"/>
    </row>
    <row r="1391" spans="1:19" x14ac:dyDescent="0.25">
      <c r="A1391" s="86" t="s">
        <v>1020</v>
      </c>
      <c r="B1391" t="s">
        <v>161</v>
      </c>
      <c r="K1391">
        <v>0</v>
      </c>
      <c r="N1391" s="72" t="s">
        <v>1939</v>
      </c>
      <c r="O1391" t="s">
        <v>852</v>
      </c>
      <c r="P1391">
        <v>56</v>
      </c>
      <c r="Q1391" s="131">
        <v>22199</v>
      </c>
      <c r="S1391"/>
    </row>
    <row r="1392" spans="1:19" x14ac:dyDescent="0.25">
      <c r="A1392" s="86" t="s">
        <v>768</v>
      </c>
      <c r="B1392" t="s">
        <v>160</v>
      </c>
      <c r="D1392">
        <v>132</v>
      </c>
      <c r="F1392">
        <v>20</v>
      </c>
      <c r="K1392">
        <v>152</v>
      </c>
      <c r="N1392" s="72" t="s">
        <v>155</v>
      </c>
      <c r="O1392" t="s">
        <v>24</v>
      </c>
      <c r="P1392">
        <v>40</v>
      </c>
      <c r="Q1392" s="131">
        <v>28389</v>
      </c>
      <c r="S1392"/>
    </row>
    <row r="1393" spans="1:19" x14ac:dyDescent="0.25">
      <c r="A1393" s="86" t="s">
        <v>180</v>
      </c>
      <c r="B1393" t="s">
        <v>160</v>
      </c>
      <c r="C1393">
        <v>60</v>
      </c>
      <c r="D1393">
        <v>50</v>
      </c>
      <c r="E1393">
        <v>53</v>
      </c>
      <c r="F1393">
        <v>82</v>
      </c>
      <c r="K1393">
        <v>245</v>
      </c>
      <c r="N1393" s="72" t="s">
        <v>12</v>
      </c>
      <c r="O1393" t="s">
        <v>24</v>
      </c>
      <c r="P1393">
        <v>49</v>
      </c>
      <c r="Q1393" s="131">
        <v>25069</v>
      </c>
      <c r="S1393"/>
    </row>
    <row r="1394" spans="1:19" x14ac:dyDescent="0.25">
      <c r="A1394" s="86" t="s">
        <v>1789</v>
      </c>
      <c r="B1394" t="s">
        <v>160</v>
      </c>
      <c r="C1394">
        <v>28</v>
      </c>
      <c r="D1394">
        <v>29</v>
      </c>
      <c r="E1394">
        <v>35</v>
      </c>
      <c r="K1394">
        <v>92</v>
      </c>
      <c r="N1394" s="72" t="s">
        <v>505</v>
      </c>
      <c r="O1394" t="s">
        <v>24</v>
      </c>
      <c r="P1394">
        <v>46</v>
      </c>
      <c r="Q1394" s="131">
        <v>26204</v>
      </c>
      <c r="S1394"/>
    </row>
    <row r="1395" spans="1:19" x14ac:dyDescent="0.25">
      <c r="A1395" s="86" t="s">
        <v>549</v>
      </c>
      <c r="B1395" t="s">
        <v>161</v>
      </c>
      <c r="C1395">
        <v>87</v>
      </c>
      <c r="D1395">
        <v>76</v>
      </c>
      <c r="E1395">
        <v>102</v>
      </c>
      <c r="F1395">
        <v>85</v>
      </c>
      <c r="K1395">
        <v>350</v>
      </c>
      <c r="N1395" s="72" t="s">
        <v>14</v>
      </c>
      <c r="O1395" t="s">
        <v>24</v>
      </c>
      <c r="P1395">
        <v>57</v>
      </c>
      <c r="Q1395" s="131">
        <v>22396</v>
      </c>
      <c r="S1395"/>
    </row>
    <row r="1396" spans="1:19" x14ac:dyDescent="0.25">
      <c r="A1396" s="86" t="s">
        <v>1119</v>
      </c>
      <c r="B1396" t="s">
        <v>67</v>
      </c>
      <c r="D1396">
        <v>38</v>
      </c>
      <c r="E1396">
        <v>63</v>
      </c>
      <c r="K1396">
        <v>101</v>
      </c>
      <c r="N1396" s="72" t="s">
        <v>43</v>
      </c>
      <c r="O1396" t="s">
        <v>24</v>
      </c>
      <c r="P1396">
        <v>37</v>
      </c>
      <c r="Q1396" s="131">
        <v>29682</v>
      </c>
      <c r="S1396"/>
    </row>
    <row r="1397" spans="1:19" x14ac:dyDescent="0.25">
      <c r="A1397" s="86" t="s">
        <v>271</v>
      </c>
      <c r="B1397" t="s">
        <v>157</v>
      </c>
      <c r="D1397">
        <v>6</v>
      </c>
      <c r="E1397">
        <v>7</v>
      </c>
      <c r="K1397">
        <v>13</v>
      </c>
      <c r="N1397" s="72" t="s">
        <v>12</v>
      </c>
      <c r="O1397" s="48" t="s">
        <v>23</v>
      </c>
      <c r="P1397">
        <v>44</v>
      </c>
      <c r="Q1397" s="131">
        <v>27067</v>
      </c>
      <c r="S1397"/>
    </row>
    <row r="1398" spans="1:19" x14ac:dyDescent="0.25">
      <c r="A1398" s="86" t="s">
        <v>1875</v>
      </c>
      <c r="B1398" t="s">
        <v>157</v>
      </c>
      <c r="K1398">
        <v>0</v>
      </c>
      <c r="N1398" s="72" t="s">
        <v>14</v>
      </c>
      <c r="O1398" t="s">
        <v>23</v>
      </c>
      <c r="P1398">
        <v>37</v>
      </c>
      <c r="Q1398" s="131">
        <v>29137</v>
      </c>
      <c r="S1398"/>
    </row>
    <row r="1399" spans="1:19" x14ac:dyDescent="0.25">
      <c r="A1399" s="86" t="s">
        <v>2393</v>
      </c>
      <c r="B1399" t="s">
        <v>156</v>
      </c>
      <c r="E1399">
        <v>159</v>
      </c>
      <c r="K1399">
        <v>159</v>
      </c>
      <c r="N1399" s="72" t="s">
        <v>505</v>
      </c>
      <c r="O1399" t="s">
        <v>23</v>
      </c>
      <c r="P1399">
        <v>27</v>
      </c>
      <c r="Q1399" s="131">
        <v>33305</v>
      </c>
      <c r="S1399"/>
    </row>
    <row r="1400" spans="1:19" x14ac:dyDescent="0.25">
      <c r="A1400" s="86" t="s">
        <v>1113</v>
      </c>
      <c r="B1400" t="s">
        <v>158</v>
      </c>
      <c r="K1400">
        <v>0</v>
      </c>
      <c r="N1400" s="72" t="s">
        <v>657</v>
      </c>
      <c r="O1400" t="s">
        <v>23</v>
      </c>
      <c r="P1400">
        <v>51</v>
      </c>
      <c r="S1400"/>
    </row>
    <row r="1401" spans="1:19" x14ac:dyDescent="0.25">
      <c r="A1401" s="86" t="s">
        <v>1403</v>
      </c>
      <c r="B1401" t="s">
        <v>160</v>
      </c>
      <c r="C1401">
        <v>143</v>
      </c>
      <c r="F1401">
        <v>142</v>
      </c>
      <c r="K1401">
        <v>285</v>
      </c>
      <c r="N1401" s="72" t="s">
        <v>63</v>
      </c>
      <c r="O1401" t="s">
        <v>24</v>
      </c>
      <c r="P1401">
        <v>40</v>
      </c>
      <c r="Q1401" s="131">
        <v>28328</v>
      </c>
      <c r="S1401"/>
    </row>
    <row r="1402" spans="1:19" x14ac:dyDescent="0.25">
      <c r="A1402" s="86" t="s">
        <v>2390</v>
      </c>
      <c r="B1402" t="s">
        <v>156</v>
      </c>
      <c r="E1402">
        <v>151</v>
      </c>
      <c r="K1402">
        <v>151</v>
      </c>
      <c r="N1402" s="72" t="s">
        <v>505</v>
      </c>
      <c r="O1402" t="s">
        <v>23</v>
      </c>
      <c r="P1402">
        <v>29</v>
      </c>
      <c r="Q1402" s="131">
        <v>32578</v>
      </c>
      <c r="S1402"/>
    </row>
    <row r="1403" spans="1:19" x14ac:dyDescent="0.25">
      <c r="A1403" s="86" t="s">
        <v>623</v>
      </c>
      <c r="B1403" t="s">
        <v>162</v>
      </c>
      <c r="E1403">
        <v>157</v>
      </c>
      <c r="F1403">
        <v>126</v>
      </c>
      <c r="K1403">
        <v>283</v>
      </c>
      <c r="N1403" s="72" t="s">
        <v>14</v>
      </c>
      <c r="O1403" t="s">
        <v>24</v>
      </c>
      <c r="P1403">
        <v>64</v>
      </c>
      <c r="Q1403" s="131">
        <v>19774</v>
      </c>
      <c r="S1403"/>
    </row>
    <row r="1404" spans="1:19" x14ac:dyDescent="0.25">
      <c r="A1404" s="86" t="s">
        <v>915</v>
      </c>
      <c r="B1404" t="s">
        <v>67</v>
      </c>
      <c r="K1404">
        <v>0</v>
      </c>
      <c r="N1404" s="72" t="s">
        <v>38</v>
      </c>
      <c r="O1404" t="s">
        <v>24</v>
      </c>
      <c r="P1404">
        <v>34</v>
      </c>
      <c r="S1404"/>
    </row>
    <row r="1405" spans="1:19" x14ac:dyDescent="0.25">
      <c r="A1405" s="86" t="s">
        <v>1442</v>
      </c>
      <c r="B1405" t="s">
        <v>67</v>
      </c>
      <c r="K1405">
        <v>0</v>
      </c>
      <c r="N1405" s="72" t="s">
        <v>63</v>
      </c>
      <c r="O1405" t="s">
        <v>24</v>
      </c>
      <c r="P1405">
        <v>27</v>
      </c>
      <c r="Q1405" s="131">
        <v>32445</v>
      </c>
      <c r="S1405"/>
    </row>
    <row r="1406" spans="1:19" x14ac:dyDescent="0.25">
      <c r="A1406" s="86" t="s">
        <v>2126</v>
      </c>
      <c r="B1406" t="s">
        <v>162</v>
      </c>
      <c r="K1406">
        <v>0</v>
      </c>
      <c r="N1406" s="72" t="s">
        <v>505</v>
      </c>
      <c r="O1406" t="s">
        <v>24</v>
      </c>
      <c r="P1406">
        <v>62</v>
      </c>
      <c r="Q1406" s="131">
        <v>20074</v>
      </c>
      <c r="S1406"/>
    </row>
    <row r="1407" spans="1:19" x14ac:dyDescent="0.25">
      <c r="A1407" s="86" t="s">
        <v>227</v>
      </c>
      <c r="B1407" t="s">
        <v>161</v>
      </c>
      <c r="K1407">
        <v>0</v>
      </c>
      <c r="N1407" s="72" t="s">
        <v>505</v>
      </c>
      <c r="O1407" t="s">
        <v>24</v>
      </c>
      <c r="P1407">
        <v>56</v>
      </c>
      <c r="S1407"/>
    </row>
    <row r="1408" spans="1:19" x14ac:dyDescent="0.25">
      <c r="A1408" s="86" t="s">
        <v>1193</v>
      </c>
      <c r="B1408" t="s">
        <v>160</v>
      </c>
      <c r="K1408">
        <v>0</v>
      </c>
      <c r="N1408" s="72" t="s">
        <v>38</v>
      </c>
      <c r="O1408" t="s">
        <v>24</v>
      </c>
      <c r="P1408">
        <v>47</v>
      </c>
      <c r="Q1408" s="131">
        <v>25262</v>
      </c>
      <c r="S1408"/>
    </row>
    <row r="1409" spans="1:19" x14ac:dyDescent="0.25">
      <c r="A1409" s="86" t="s">
        <v>808</v>
      </c>
      <c r="B1409" t="s">
        <v>160</v>
      </c>
      <c r="K1409">
        <v>0</v>
      </c>
      <c r="N1409" s="72" t="s">
        <v>38</v>
      </c>
      <c r="O1409" t="s">
        <v>24</v>
      </c>
      <c r="P1409">
        <v>42</v>
      </c>
      <c r="S1409"/>
    </row>
    <row r="1410" spans="1:19" x14ac:dyDescent="0.25">
      <c r="A1410" s="86" t="s">
        <v>903</v>
      </c>
      <c r="B1410" t="s">
        <v>160</v>
      </c>
      <c r="F1410">
        <v>39</v>
      </c>
      <c r="K1410">
        <v>39</v>
      </c>
      <c r="N1410" s="72" t="s">
        <v>12</v>
      </c>
      <c r="O1410" t="s">
        <v>24</v>
      </c>
      <c r="P1410">
        <v>48</v>
      </c>
      <c r="Q1410" s="131">
        <v>25659</v>
      </c>
      <c r="S1410"/>
    </row>
    <row r="1411" spans="1:19" x14ac:dyDescent="0.25">
      <c r="A1411" s="86" t="s">
        <v>1876</v>
      </c>
      <c r="B1411" t="s">
        <v>67</v>
      </c>
      <c r="K1411">
        <v>0</v>
      </c>
      <c r="N1411" s="72" t="s">
        <v>14</v>
      </c>
      <c r="O1411" t="s">
        <v>24</v>
      </c>
      <c r="P1411">
        <v>27</v>
      </c>
      <c r="Q1411" s="131">
        <v>32919</v>
      </c>
      <c r="S1411"/>
    </row>
    <row r="1412" spans="1:19" x14ac:dyDescent="0.25">
      <c r="A1412" s="86" t="s">
        <v>799</v>
      </c>
      <c r="B1412" t="s">
        <v>162</v>
      </c>
      <c r="K1412">
        <v>0</v>
      </c>
      <c r="N1412" s="72" t="s">
        <v>15</v>
      </c>
      <c r="O1412" t="s">
        <v>24</v>
      </c>
      <c r="P1412">
        <v>65</v>
      </c>
      <c r="S1412"/>
    </row>
    <row r="1413" spans="1:19" x14ac:dyDescent="0.25">
      <c r="A1413" s="86" t="s">
        <v>1088</v>
      </c>
      <c r="B1413" t="s">
        <v>162</v>
      </c>
      <c r="K1413">
        <v>0</v>
      </c>
      <c r="N1413" s="72" t="s">
        <v>55</v>
      </c>
      <c r="O1413" t="s">
        <v>24</v>
      </c>
      <c r="P1413">
        <v>64</v>
      </c>
      <c r="S1413"/>
    </row>
    <row r="1414" spans="1:19" x14ac:dyDescent="0.25">
      <c r="A1414" s="86" t="s">
        <v>2040</v>
      </c>
      <c r="B1414" t="s">
        <v>160</v>
      </c>
      <c r="K1414">
        <v>0</v>
      </c>
      <c r="N1414" s="72" t="s">
        <v>505</v>
      </c>
      <c r="O1414" t="s">
        <v>24</v>
      </c>
      <c r="P1414">
        <v>44</v>
      </c>
      <c r="Q1414" s="131" t="s">
        <v>2041</v>
      </c>
      <c r="S1414"/>
    </row>
    <row r="1415" spans="1:19" x14ac:dyDescent="0.25">
      <c r="A1415" s="86" t="s">
        <v>378</v>
      </c>
      <c r="B1415" t="s">
        <v>162</v>
      </c>
      <c r="K1415">
        <v>0</v>
      </c>
      <c r="N1415" s="72" t="s">
        <v>63</v>
      </c>
      <c r="O1415" t="s">
        <v>24</v>
      </c>
      <c r="P1415">
        <v>63</v>
      </c>
      <c r="Q1415" s="131">
        <v>19691</v>
      </c>
      <c r="S1415"/>
    </row>
    <row r="1416" spans="1:19" x14ac:dyDescent="0.25">
      <c r="A1416" s="86" t="s">
        <v>340</v>
      </c>
      <c r="B1416" t="s">
        <v>160</v>
      </c>
      <c r="D1416">
        <v>65</v>
      </c>
      <c r="E1416">
        <v>90</v>
      </c>
      <c r="K1416">
        <v>155</v>
      </c>
      <c r="N1416" s="72" t="s">
        <v>12</v>
      </c>
      <c r="O1416" t="s">
        <v>24</v>
      </c>
      <c r="P1416">
        <v>44</v>
      </c>
      <c r="Q1416" s="131">
        <v>27164</v>
      </c>
      <c r="S1416"/>
    </row>
    <row r="1417" spans="1:19" x14ac:dyDescent="0.25">
      <c r="A1417" s="86" t="s">
        <v>1372</v>
      </c>
      <c r="B1417" s="48" t="s">
        <v>160</v>
      </c>
      <c r="K1417">
        <v>0</v>
      </c>
      <c r="N1417" s="72" t="s">
        <v>155</v>
      </c>
      <c r="O1417" t="s">
        <v>24</v>
      </c>
      <c r="P1417">
        <v>43</v>
      </c>
      <c r="Q1417" s="131">
        <v>26464</v>
      </c>
      <c r="S1417"/>
    </row>
    <row r="1418" spans="1:19" x14ac:dyDescent="0.25">
      <c r="A1418" s="86" t="s">
        <v>1060</v>
      </c>
      <c r="B1418" t="s">
        <v>161</v>
      </c>
      <c r="K1418">
        <v>0</v>
      </c>
      <c r="N1418" s="72" t="s">
        <v>12</v>
      </c>
      <c r="O1418" t="s">
        <v>24</v>
      </c>
      <c r="P1418">
        <v>51</v>
      </c>
      <c r="Q1418" s="131">
        <v>23891</v>
      </c>
      <c r="S1418"/>
    </row>
    <row r="1419" spans="1:19" x14ac:dyDescent="0.25">
      <c r="A1419" s="86" t="s">
        <v>1039</v>
      </c>
      <c r="B1419" t="s">
        <v>161</v>
      </c>
      <c r="K1419">
        <v>0</v>
      </c>
      <c r="N1419" s="72" t="s">
        <v>154</v>
      </c>
      <c r="O1419" t="s">
        <v>24</v>
      </c>
      <c r="P1419">
        <v>57</v>
      </c>
      <c r="Q1419" s="131">
        <v>21950</v>
      </c>
      <c r="S1419"/>
    </row>
    <row r="1420" spans="1:19" x14ac:dyDescent="0.25">
      <c r="A1420" s="86" t="s">
        <v>237</v>
      </c>
      <c r="B1420" t="s">
        <v>162</v>
      </c>
      <c r="K1420">
        <v>0</v>
      </c>
      <c r="N1420" s="72" t="s">
        <v>108</v>
      </c>
      <c r="O1420" t="s">
        <v>24</v>
      </c>
      <c r="P1420">
        <v>62</v>
      </c>
      <c r="Q1420" s="131">
        <v>19823</v>
      </c>
      <c r="S1420"/>
    </row>
    <row r="1421" spans="1:19" x14ac:dyDescent="0.25">
      <c r="A1421" s="86" t="s">
        <v>414</v>
      </c>
      <c r="B1421" t="s">
        <v>161</v>
      </c>
      <c r="C1421">
        <v>38</v>
      </c>
      <c r="D1421">
        <v>34</v>
      </c>
      <c r="K1421">
        <v>72</v>
      </c>
      <c r="N1421" s="72" t="s">
        <v>155</v>
      </c>
      <c r="O1421" t="s">
        <v>24</v>
      </c>
      <c r="P1421">
        <v>50</v>
      </c>
      <c r="Q1421" s="131">
        <v>24934</v>
      </c>
      <c r="S1421"/>
    </row>
    <row r="1422" spans="1:19" x14ac:dyDescent="0.25">
      <c r="A1422" s="86" t="s">
        <v>453</v>
      </c>
      <c r="B1422" t="s">
        <v>162</v>
      </c>
      <c r="C1422">
        <v>125</v>
      </c>
      <c r="D1422">
        <v>120</v>
      </c>
      <c r="E1422">
        <v>159</v>
      </c>
      <c r="K1422">
        <v>404</v>
      </c>
      <c r="N1422" s="72" t="s">
        <v>108</v>
      </c>
      <c r="O1422" t="s">
        <v>24</v>
      </c>
      <c r="P1422">
        <v>66</v>
      </c>
      <c r="Q1422" s="131">
        <v>19092</v>
      </c>
      <c r="S1422"/>
    </row>
    <row r="1423" spans="1:19" x14ac:dyDescent="0.25">
      <c r="A1423" s="86" t="s">
        <v>1586</v>
      </c>
      <c r="B1423" t="s">
        <v>162</v>
      </c>
      <c r="K1423">
        <v>0</v>
      </c>
      <c r="N1423" s="72" t="s">
        <v>14</v>
      </c>
      <c r="O1423" t="s">
        <v>24</v>
      </c>
      <c r="S1423"/>
    </row>
    <row r="1424" spans="1:19" x14ac:dyDescent="0.25">
      <c r="A1424" s="86" t="s">
        <v>1165</v>
      </c>
      <c r="B1424" t="s">
        <v>67</v>
      </c>
      <c r="K1424">
        <v>0</v>
      </c>
      <c r="N1424" s="72" t="s">
        <v>51</v>
      </c>
      <c r="O1424" t="s">
        <v>24</v>
      </c>
      <c r="P1424">
        <v>34</v>
      </c>
      <c r="S1424"/>
    </row>
    <row r="1425" spans="1:19" x14ac:dyDescent="0.25">
      <c r="A1425" s="86" t="s">
        <v>1412</v>
      </c>
      <c r="B1425" t="s">
        <v>161</v>
      </c>
      <c r="K1425">
        <v>0</v>
      </c>
      <c r="N1425" s="72" t="s">
        <v>63</v>
      </c>
      <c r="O1425" t="s">
        <v>24</v>
      </c>
      <c r="P1425">
        <v>55</v>
      </c>
      <c r="Q1425" s="131">
        <v>22638</v>
      </c>
      <c r="S1425"/>
    </row>
    <row r="1426" spans="1:19" x14ac:dyDescent="0.25">
      <c r="A1426" s="86" t="s">
        <v>1243</v>
      </c>
      <c r="B1426" t="s">
        <v>157</v>
      </c>
      <c r="K1426">
        <v>0</v>
      </c>
      <c r="N1426" s="72" t="s">
        <v>505</v>
      </c>
      <c r="O1426" t="s">
        <v>23</v>
      </c>
      <c r="P1426">
        <v>43</v>
      </c>
      <c r="S1426"/>
    </row>
    <row r="1427" spans="1:19" x14ac:dyDescent="0.25">
      <c r="A1427" s="86" t="s">
        <v>331</v>
      </c>
      <c r="B1427" t="s">
        <v>160</v>
      </c>
      <c r="K1427">
        <v>0</v>
      </c>
      <c r="N1427" s="72" t="s">
        <v>505</v>
      </c>
      <c r="O1427" t="s">
        <v>24</v>
      </c>
      <c r="P1427">
        <v>45</v>
      </c>
      <c r="Q1427" s="131">
        <v>26536</v>
      </c>
      <c r="S1427"/>
    </row>
    <row r="1428" spans="1:19" x14ac:dyDescent="0.25">
      <c r="A1428" s="86" t="s">
        <v>1703</v>
      </c>
      <c r="B1428" t="s">
        <v>67</v>
      </c>
      <c r="K1428">
        <v>0</v>
      </c>
      <c r="N1428" s="72" t="s">
        <v>1325</v>
      </c>
      <c r="O1428" t="s">
        <v>24</v>
      </c>
      <c r="P1428">
        <v>29</v>
      </c>
      <c r="Q1428" s="131">
        <v>31930</v>
      </c>
      <c r="S1428"/>
    </row>
    <row r="1429" spans="1:19" x14ac:dyDescent="0.25">
      <c r="A1429" s="86" t="s">
        <v>544</v>
      </c>
      <c r="B1429" t="s">
        <v>162</v>
      </c>
      <c r="F1429">
        <v>145</v>
      </c>
      <c r="K1429">
        <v>145</v>
      </c>
      <c r="N1429" s="72" t="s">
        <v>54</v>
      </c>
      <c r="O1429" t="s">
        <v>24</v>
      </c>
      <c r="P1429">
        <v>61</v>
      </c>
      <c r="Q1429" s="131">
        <v>20693</v>
      </c>
      <c r="S1429"/>
    </row>
    <row r="1430" spans="1:19" x14ac:dyDescent="0.25">
      <c r="A1430" s="86" t="s">
        <v>1954</v>
      </c>
      <c r="B1430" t="s">
        <v>67</v>
      </c>
      <c r="K1430">
        <v>0</v>
      </c>
      <c r="N1430" s="72" t="s">
        <v>653</v>
      </c>
      <c r="O1430" t="s">
        <v>24</v>
      </c>
      <c r="S1430"/>
    </row>
    <row r="1431" spans="1:19" x14ac:dyDescent="0.25">
      <c r="A1431" s="86" t="s">
        <v>1532</v>
      </c>
      <c r="B1431" t="s">
        <v>160</v>
      </c>
      <c r="K1431">
        <v>0</v>
      </c>
      <c r="N1431" s="72" t="s">
        <v>1501</v>
      </c>
      <c r="O1431" t="s">
        <v>24</v>
      </c>
      <c r="S1431"/>
    </row>
    <row r="1432" spans="1:19" x14ac:dyDescent="0.25">
      <c r="A1432" s="86" t="s">
        <v>1112</v>
      </c>
      <c r="B1432" t="s">
        <v>67</v>
      </c>
      <c r="K1432">
        <v>0</v>
      </c>
      <c r="N1432" s="72" t="s">
        <v>43</v>
      </c>
      <c r="O1432" t="s">
        <v>24</v>
      </c>
      <c r="P1432">
        <v>17</v>
      </c>
      <c r="Q1432" s="131">
        <v>36643</v>
      </c>
      <c r="S1432"/>
    </row>
    <row r="1433" spans="1:19" x14ac:dyDescent="0.25">
      <c r="A1433" s="86" t="s">
        <v>548</v>
      </c>
      <c r="B1433" t="s">
        <v>161</v>
      </c>
      <c r="K1433">
        <v>0</v>
      </c>
      <c r="N1433" s="72" t="s">
        <v>14</v>
      </c>
      <c r="O1433" t="s">
        <v>24</v>
      </c>
      <c r="P1433">
        <v>55</v>
      </c>
      <c r="S1433"/>
    </row>
    <row r="1434" spans="1:19" x14ac:dyDescent="0.25">
      <c r="A1434" s="86" t="s">
        <v>1714</v>
      </c>
      <c r="B1434" t="s">
        <v>161</v>
      </c>
      <c r="K1434">
        <v>0</v>
      </c>
      <c r="N1434" s="72" t="s">
        <v>505</v>
      </c>
      <c r="O1434" t="s">
        <v>24</v>
      </c>
      <c r="P1434">
        <v>57</v>
      </c>
      <c r="Q1434" s="131">
        <v>21856</v>
      </c>
      <c r="S1434"/>
    </row>
    <row r="1435" spans="1:19" x14ac:dyDescent="0.25">
      <c r="A1435" s="86" t="s">
        <v>1579</v>
      </c>
      <c r="B1435" t="s">
        <v>159</v>
      </c>
      <c r="K1435">
        <v>0</v>
      </c>
      <c r="N1435" s="72" t="s">
        <v>653</v>
      </c>
      <c r="O1435" t="s">
        <v>23</v>
      </c>
      <c r="S1435"/>
    </row>
    <row r="1436" spans="1:19" x14ac:dyDescent="0.25">
      <c r="A1436" s="86" t="s">
        <v>1040</v>
      </c>
      <c r="B1436" t="s">
        <v>160</v>
      </c>
      <c r="K1436">
        <v>0</v>
      </c>
      <c r="N1436" s="72" t="s">
        <v>12</v>
      </c>
      <c r="O1436" t="s">
        <v>24</v>
      </c>
      <c r="P1436">
        <v>41</v>
      </c>
      <c r="S1436"/>
    </row>
    <row r="1437" spans="1:19" x14ac:dyDescent="0.25">
      <c r="A1437" s="86" t="s">
        <v>604</v>
      </c>
      <c r="B1437" t="s">
        <v>160</v>
      </c>
      <c r="K1437">
        <v>0</v>
      </c>
      <c r="N1437" s="72" t="s">
        <v>63</v>
      </c>
      <c r="O1437" t="s">
        <v>24</v>
      </c>
      <c r="P1437">
        <v>47</v>
      </c>
      <c r="Q1437" s="131">
        <v>25716</v>
      </c>
      <c r="S1437"/>
    </row>
    <row r="1438" spans="1:19" x14ac:dyDescent="0.25">
      <c r="A1438" s="86" t="s">
        <v>1491</v>
      </c>
      <c r="B1438" t="s">
        <v>157</v>
      </c>
      <c r="K1438">
        <v>0</v>
      </c>
      <c r="N1438" s="72" t="s">
        <v>12</v>
      </c>
      <c r="O1438" t="s">
        <v>23</v>
      </c>
      <c r="P1438">
        <v>37</v>
      </c>
      <c r="Q1438" s="131">
        <v>28709</v>
      </c>
      <c r="S1438"/>
    </row>
    <row r="1439" spans="1:19" x14ac:dyDescent="0.25">
      <c r="A1439" s="86" t="s">
        <v>575</v>
      </c>
      <c r="B1439" t="s">
        <v>158</v>
      </c>
      <c r="E1439">
        <v>11</v>
      </c>
      <c r="F1439">
        <v>8</v>
      </c>
      <c r="K1439">
        <v>19</v>
      </c>
      <c r="N1439" s="72" t="s">
        <v>14</v>
      </c>
      <c r="O1439" s="48" t="s">
        <v>23</v>
      </c>
      <c r="P1439">
        <v>54</v>
      </c>
      <c r="Q1439" s="131">
        <v>23432</v>
      </c>
      <c r="S1439"/>
    </row>
    <row r="1440" spans="1:19" x14ac:dyDescent="0.25">
      <c r="A1440" s="86" t="s">
        <v>869</v>
      </c>
      <c r="B1440" t="s">
        <v>156</v>
      </c>
      <c r="K1440">
        <v>0</v>
      </c>
      <c r="N1440" s="72" t="s">
        <v>155</v>
      </c>
      <c r="O1440" t="s">
        <v>23</v>
      </c>
      <c r="P1440">
        <v>30</v>
      </c>
      <c r="S1440"/>
    </row>
    <row r="1441" spans="1:19" x14ac:dyDescent="0.25">
      <c r="A1441" s="86" t="s">
        <v>1892</v>
      </c>
      <c r="B1441" t="s">
        <v>159</v>
      </c>
      <c r="K1441">
        <v>0</v>
      </c>
      <c r="N1441" s="72" t="s">
        <v>1923</v>
      </c>
      <c r="O1441" t="s">
        <v>23</v>
      </c>
      <c r="P1441">
        <v>56</v>
      </c>
      <c r="Q1441" s="131">
        <v>22207</v>
      </c>
      <c r="S1441"/>
    </row>
    <row r="1442" spans="1:19" x14ac:dyDescent="0.25">
      <c r="A1442" s="86" t="s">
        <v>673</v>
      </c>
      <c r="B1442" t="s">
        <v>160</v>
      </c>
      <c r="E1442">
        <v>136</v>
      </c>
      <c r="K1442">
        <v>136</v>
      </c>
      <c r="N1442" s="72" t="s">
        <v>155</v>
      </c>
      <c r="O1442" t="s">
        <v>24</v>
      </c>
      <c r="P1442">
        <v>42</v>
      </c>
      <c r="Q1442" s="131">
        <v>27758</v>
      </c>
      <c r="S1442"/>
    </row>
    <row r="1443" spans="1:19" x14ac:dyDescent="0.25">
      <c r="A1443" s="86" t="s">
        <v>600</v>
      </c>
      <c r="B1443" t="s">
        <v>161</v>
      </c>
      <c r="K1443">
        <v>0</v>
      </c>
      <c r="N1443" s="72" t="s">
        <v>154</v>
      </c>
      <c r="O1443" t="s">
        <v>24</v>
      </c>
      <c r="P1443">
        <v>50</v>
      </c>
      <c r="S1443"/>
    </row>
    <row r="1444" spans="1:19" x14ac:dyDescent="0.25">
      <c r="A1444" s="86" t="s">
        <v>284</v>
      </c>
      <c r="B1444" t="s">
        <v>158</v>
      </c>
      <c r="K1444">
        <v>0</v>
      </c>
      <c r="N1444" s="72" t="s">
        <v>154</v>
      </c>
      <c r="O1444" t="s">
        <v>23</v>
      </c>
      <c r="P1444">
        <v>51</v>
      </c>
      <c r="S1444"/>
    </row>
    <row r="1445" spans="1:19" x14ac:dyDescent="0.25">
      <c r="A1445" s="86" t="s">
        <v>1385</v>
      </c>
      <c r="B1445" t="s">
        <v>156</v>
      </c>
      <c r="K1445">
        <v>0</v>
      </c>
      <c r="N1445" s="72" t="s">
        <v>12</v>
      </c>
      <c r="O1445" t="s">
        <v>23</v>
      </c>
      <c r="P1445">
        <v>24</v>
      </c>
      <c r="Q1445" s="131">
        <v>33739</v>
      </c>
      <c r="S1445"/>
    </row>
    <row r="1446" spans="1:19" x14ac:dyDescent="0.25">
      <c r="A1446" s="86" t="s">
        <v>919</v>
      </c>
      <c r="B1446" t="s">
        <v>156</v>
      </c>
      <c r="F1446">
        <v>48</v>
      </c>
      <c r="K1446">
        <v>48</v>
      </c>
      <c r="N1446" s="72" t="s">
        <v>108</v>
      </c>
      <c r="O1446" t="s">
        <v>23</v>
      </c>
      <c r="P1446">
        <v>31</v>
      </c>
      <c r="Q1446" s="131">
        <v>31857</v>
      </c>
      <c r="S1446"/>
    </row>
    <row r="1447" spans="1:19" x14ac:dyDescent="0.25">
      <c r="A1447" s="86" t="s">
        <v>465</v>
      </c>
      <c r="B1447" t="s">
        <v>156</v>
      </c>
      <c r="K1447">
        <v>0</v>
      </c>
      <c r="N1447" s="72" t="s">
        <v>505</v>
      </c>
      <c r="O1447" t="s">
        <v>23</v>
      </c>
      <c r="P1447">
        <v>26</v>
      </c>
      <c r="S1447"/>
    </row>
    <row r="1448" spans="1:19" x14ac:dyDescent="0.25">
      <c r="A1448" s="86" t="s">
        <v>1759</v>
      </c>
      <c r="B1448" t="s">
        <v>157</v>
      </c>
      <c r="C1448">
        <v>51</v>
      </c>
      <c r="D1448">
        <v>39</v>
      </c>
      <c r="K1448">
        <v>90</v>
      </c>
      <c r="N1448" s="72" t="s">
        <v>12</v>
      </c>
      <c r="O1448" t="s">
        <v>23</v>
      </c>
      <c r="P1448">
        <v>36</v>
      </c>
      <c r="Q1448" s="131">
        <v>29936</v>
      </c>
      <c r="S1448"/>
    </row>
    <row r="1449" spans="1:19" x14ac:dyDescent="0.25">
      <c r="A1449" s="86" t="s">
        <v>705</v>
      </c>
      <c r="B1449" t="s">
        <v>156</v>
      </c>
      <c r="K1449">
        <v>0</v>
      </c>
      <c r="N1449" s="72" t="s">
        <v>653</v>
      </c>
      <c r="O1449" t="s">
        <v>23</v>
      </c>
      <c r="P1449">
        <v>30</v>
      </c>
      <c r="S1449"/>
    </row>
    <row r="1450" spans="1:19" x14ac:dyDescent="0.25">
      <c r="A1450" s="86" t="s">
        <v>2139</v>
      </c>
      <c r="B1450" t="s">
        <v>156</v>
      </c>
      <c r="K1450">
        <v>0</v>
      </c>
      <c r="N1450" s="72" t="s">
        <v>43</v>
      </c>
      <c r="O1450" t="s">
        <v>23</v>
      </c>
      <c r="P1450">
        <v>32</v>
      </c>
      <c r="Q1450" s="131">
        <v>31028</v>
      </c>
      <c r="S1450"/>
    </row>
    <row r="1451" spans="1:19" x14ac:dyDescent="0.25">
      <c r="A1451" s="86" t="s">
        <v>2338</v>
      </c>
      <c r="B1451" t="s">
        <v>156</v>
      </c>
      <c r="E1451">
        <v>17</v>
      </c>
      <c r="K1451">
        <v>17</v>
      </c>
      <c r="N1451" s="72" t="s">
        <v>63</v>
      </c>
      <c r="O1451" s="48" t="s">
        <v>23</v>
      </c>
      <c r="P1451">
        <v>25</v>
      </c>
      <c r="Q1451" s="131">
        <v>34141</v>
      </c>
      <c r="S1451"/>
    </row>
    <row r="1452" spans="1:19" x14ac:dyDescent="0.25">
      <c r="A1452" s="86" t="s">
        <v>1949</v>
      </c>
      <c r="B1452" t="s">
        <v>156</v>
      </c>
      <c r="K1452">
        <v>0</v>
      </c>
      <c r="N1452" s="72" t="s">
        <v>653</v>
      </c>
      <c r="O1452" t="s">
        <v>23</v>
      </c>
      <c r="S1452"/>
    </row>
    <row r="1453" spans="1:19" x14ac:dyDescent="0.25">
      <c r="A1453" s="86" t="s">
        <v>743</v>
      </c>
      <c r="B1453" t="s">
        <v>157</v>
      </c>
      <c r="K1453">
        <v>0</v>
      </c>
      <c r="N1453" s="72" t="s">
        <v>656</v>
      </c>
      <c r="O1453" t="s">
        <v>23</v>
      </c>
      <c r="P1453">
        <v>35</v>
      </c>
      <c r="S1453"/>
    </row>
    <row r="1454" spans="1:19" x14ac:dyDescent="0.25">
      <c r="A1454" s="86" t="s">
        <v>281</v>
      </c>
      <c r="B1454" t="s">
        <v>157</v>
      </c>
      <c r="C1454">
        <v>27</v>
      </c>
      <c r="D1454">
        <v>29</v>
      </c>
      <c r="E1454">
        <v>54</v>
      </c>
      <c r="F1454">
        <v>36</v>
      </c>
      <c r="K1454">
        <v>146</v>
      </c>
      <c r="N1454" s="72" t="s">
        <v>155</v>
      </c>
      <c r="O1454" t="s">
        <v>23</v>
      </c>
      <c r="P1454">
        <v>42</v>
      </c>
      <c r="Q1454" s="131">
        <v>27723</v>
      </c>
      <c r="S1454"/>
    </row>
    <row r="1455" spans="1:19" x14ac:dyDescent="0.25">
      <c r="A1455" s="86" t="s">
        <v>613</v>
      </c>
      <c r="B1455" t="s">
        <v>160</v>
      </c>
      <c r="K1455">
        <v>0</v>
      </c>
      <c r="N1455" s="72" t="s">
        <v>12</v>
      </c>
      <c r="O1455" t="s">
        <v>24</v>
      </c>
      <c r="P1455">
        <v>45</v>
      </c>
      <c r="S1455"/>
    </row>
    <row r="1456" spans="1:19" x14ac:dyDescent="0.25">
      <c r="A1456" s="86" t="s">
        <v>949</v>
      </c>
      <c r="B1456" t="s">
        <v>160</v>
      </c>
      <c r="K1456">
        <v>0</v>
      </c>
      <c r="N1456" s="72" t="s">
        <v>43</v>
      </c>
      <c r="O1456" t="s">
        <v>24</v>
      </c>
      <c r="P1456">
        <v>48</v>
      </c>
      <c r="Q1456" s="131">
        <v>25243</v>
      </c>
      <c r="S1456"/>
    </row>
    <row r="1457" spans="1:19" x14ac:dyDescent="0.25">
      <c r="A1457" s="86" t="s">
        <v>255</v>
      </c>
      <c r="B1457" t="s">
        <v>161</v>
      </c>
      <c r="C1457">
        <v>100</v>
      </c>
      <c r="D1457">
        <v>89</v>
      </c>
      <c r="F1457">
        <v>88</v>
      </c>
      <c r="K1457">
        <v>277</v>
      </c>
      <c r="N1457" s="72" t="s">
        <v>12</v>
      </c>
      <c r="O1457" t="s">
        <v>24</v>
      </c>
      <c r="P1457">
        <v>57</v>
      </c>
      <c r="Q1457" s="131">
        <v>22396</v>
      </c>
      <c r="S1457"/>
    </row>
    <row r="1458" spans="1:19" x14ac:dyDescent="0.25">
      <c r="A1458" s="86" t="s">
        <v>1396</v>
      </c>
      <c r="B1458" t="s">
        <v>157</v>
      </c>
      <c r="K1458">
        <v>0</v>
      </c>
      <c r="N1458" s="72" t="s">
        <v>12</v>
      </c>
      <c r="O1458" t="s">
        <v>23</v>
      </c>
      <c r="P1458">
        <v>42</v>
      </c>
      <c r="Q1458" s="131">
        <v>27009</v>
      </c>
      <c r="S1458"/>
    </row>
    <row r="1459" spans="1:19" x14ac:dyDescent="0.25">
      <c r="A1459" s="86" t="s">
        <v>252</v>
      </c>
      <c r="B1459" t="s">
        <v>157</v>
      </c>
      <c r="K1459">
        <v>0</v>
      </c>
      <c r="N1459" s="72" t="s">
        <v>63</v>
      </c>
      <c r="O1459" t="s">
        <v>23</v>
      </c>
      <c r="P1459">
        <v>39</v>
      </c>
      <c r="S1459"/>
    </row>
    <row r="1460" spans="1:19" x14ac:dyDescent="0.25">
      <c r="A1460" s="86" t="s">
        <v>1512</v>
      </c>
      <c r="B1460" t="s">
        <v>157</v>
      </c>
      <c r="C1460">
        <v>94</v>
      </c>
      <c r="D1460">
        <v>90</v>
      </c>
      <c r="K1460">
        <v>184</v>
      </c>
      <c r="N1460" s="72" t="s">
        <v>63</v>
      </c>
      <c r="O1460" t="s">
        <v>23</v>
      </c>
      <c r="P1460">
        <v>42</v>
      </c>
      <c r="Q1460" s="131">
        <v>27793</v>
      </c>
      <c r="S1460"/>
    </row>
    <row r="1461" spans="1:19" x14ac:dyDescent="0.25">
      <c r="A1461" s="86" t="s">
        <v>2291</v>
      </c>
      <c r="B1461" t="s">
        <v>161</v>
      </c>
      <c r="D1461">
        <v>148</v>
      </c>
      <c r="E1461">
        <v>184</v>
      </c>
      <c r="F1461">
        <v>155</v>
      </c>
      <c r="K1461">
        <v>487</v>
      </c>
      <c r="N1461" s="72" t="s">
        <v>108</v>
      </c>
      <c r="O1461" t="s">
        <v>24</v>
      </c>
      <c r="P1461">
        <v>58</v>
      </c>
      <c r="Q1461" s="131">
        <v>21755</v>
      </c>
      <c r="S1461"/>
    </row>
    <row r="1462" spans="1:19" x14ac:dyDescent="0.25">
      <c r="A1462" s="86" t="s">
        <v>1000</v>
      </c>
      <c r="B1462" t="s">
        <v>161</v>
      </c>
      <c r="K1462">
        <v>0</v>
      </c>
      <c r="N1462" s="72" t="s">
        <v>657</v>
      </c>
      <c r="O1462" t="s">
        <v>24</v>
      </c>
      <c r="P1462">
        <v>54</v>
      </c>
      <c r="S1462"/>
    </row>
    <row r="1463" spans="1:19" x14ac:dyDescent="0.25">
      <c r="A1463" s="86" t="s">
        <v>2468</v>
      </c>
      <c r="B1463" t="s">
        <v>161</v>
      </c>
      <c r="F1463">
        <v>14</v>
      </c>
      <c r="K1463">
        <v>14</v>
      </c>
      <c r="N1463" s="72" t="s">
        <v>505</v>
      </c>
      <c r="O1463" t="s">
        <v>24</v>
      </c>
      <c r="P1463">
        <v>55</v>
      </c>
      <c r="S1463"/>
    </row>
    <row r="1464" spans="1:19" x14ac:dyDescent="0.25">
      <c r="A1464" s="86" t="s">
        <v>1810</v>
      </c>
      <c r="B1464" t="s">
        <v>1817</v>
      </c>
      <c r="E1464">
        <v>201</v>
      </c>
      <c r="F1464">
        <v>168</v>
      </c>
      <c r="K1464">
        <v>369</v>
      </c>
      <c r="N1464" s="72" t="s">
        <v>38</v>
      </c>
      <c r="O1464" t="s">
        <v>24</v>
      </c>
      <c r="P1464">
        <v>75</v>
      </c>
      <c r="Q1464" s="131">
        <v>15750</v>
      </c>
      <c r="S1464"/>
    </row>
    <row r="1465" spans="1:19" x14ac:dyDescent="0.25">
      <c r="A1465" s="86" t="s">
        <v>796</v>
      </c>
      <c r="B1465" t="s">
        <v>157</v>
      </c>
      <c r="K1465">
        <v>0</v>
      </c>
      <c r="N1465" s="72" t="s">
        <v>657</v>
      </c>
      <c r="O1465" t="s">
        <v>23</v>
      </c>
      <c r="P1465">
        <v>35</v>
      </c>
      <c r="S1465"/>
    </row>
    <row r="1466" spans="1:19" x14ac:dyDescent="0.25">
      <c r="A1466" s="86" t="s">
        <v>645</v>
      </c>
      <c r="B1466" t="s">
        <v>157</v>
      </c>
      <c r="K1466">
        <v>0</v>
      </c>
      <c r="N1466" s="72" t="s">
        <v>38</v>
      </c>
      <c r="O1466" t="s">
        <v>23</v>
      </c>
      <c r="P1466">
        <v>35</v>
      </c>
      <c r="S1466"/>
    </row>
    <row r="1467" spans="1:19" x14ac:dyDescent="0.25">
      <c r="A1467" s="86" t="s">
        <v>879</v>
      </c>
      <c r="B1467" t="s">
        <v>156</v>
      </c>
      <c r="K1467">
        <v>0</v>
      </c>
      <c r="N1467" s="72" t="s">
        <v>63</v>
      </c>
      <c r="O1467" t="s">
        <v>23</v>
      </c>
      <c r="P1467">
        <v>24</v>
      </c>
      <c r="Q1467" s="131">
        <v>33769</v>
      </c>
      <c r="S1467"/>
    </row>
    <row r="1468" spans="1:19" x14ac:dyDescent="0.25">
      <c r="A1468" s="86" t="s">
        <v>904</v>
      </c>
      <c r="B1468" t="s">
        <v>156</v>
      </c>
      <c r="K1468">
        <v>0</v>
      </c>
      <c r="N1468" s="72" t="s">
        <v>12</v>
      </c>
      <c r="O1468" t="s">
        <v>23</v>
      </c>
      <c r="P1468">
        <v>30</v>
      </c>
      <c r="Q1468" s="131">
        <v>31436</v>
      </c>
      <c r="S1468"/>
    </row>
    <row r="1469" spans="1:19" x14ac:dyDescent="0.25">
      <c r="A1469" s="86" t="s">
        <v>2297</v>
      </c>
      <c r="B1469" t="s">
        <v>67</v>
      </c>
      <c r="K1469">
        <v>0</v>
      </c>
      <c r="N1469" s="72" t="s">
        <v>14</v>
      </c>
      <c r="O1469" t="s">
        <v>24</v>
      </c>
      <c r="P1469">
        <v>27</v>
      </c>
      <c r="Q1469" s="131">
        <v>33391</v>
      </c>
      <c r="S1469"/>
    </row>
    <row r="1470" spans="1:19" x14ac:dyDescent="0.25">
      <c r="A1470" s="86" t="s">
        <v>1490</v>
      </c>
      <c r="B1470" t="s">
        <v>157</v>
      </c>
      <c r="K1470">
        <v>0</v>
      </c>
      <c r="N1470" s="72" t="s">
        <v>505</v>
      </c>
      <c r="O1470" t="s">
        <v>23</v>
      </c>
      <c r="P1470">
        <v>35</v>
      </c>
      <c r="Q1470" s="131">
        <v>29696</v>
      </c>
      <c r="S1470"/>
    </row>
    <row r="1471" spans="1:19" x14ac:dyDescent="0.25">
      <c r="A1471" s="86" t="s">
        <v>1065</v>
      </c>
      <c r="B1471" t="s">
        <v>160</v>
      </c>
      <c r="K1471">
        <v>0</v>
      </c>
      <c r="N1471" s="72" t="s">
        <v>12</v>
      </c>
      <c r="O1471" t="s">
        <v>24</v>
      </c>
      <c r="P1471">
        <v>44</v>
      </c>
      <c r="Q1471" s="131">
        <v>26630</v>
      </c>
      <c r="S1471"/>
    </row>
    <row r="1472" spans="1:19" x14ac:dyDescent="0.25">
      <c r="A1472" s="86" t="s">
        <v>1881</v>
      </c>
      <c r="B1472" t="s">
        <v>157</v>
      </c>
      <c r="K1472">
        <v>0</v>
      </c>
      <c r="N1472" s="72" t="s">
        <v>1923</v>
      </c>
      <c r="O1472" t="s">
        <v>23</v>
      </c>
      <c r="P1472">
        <v>43</v>
      </c>
      <c r="Q1472" s="131">
        <v>27011</v>
      </c>
      <c r="S1472"/>
    </row>
    <row r="1473" spans="1:19" x14ac:dyDescent="0.25">
      <c r="A1473" s="86" t="s">
        <v>1826</v>
      </c>
      <c r="B1473" t="s">
        <v>67</v>
      </c>
      <c r="K1473">
        <v>0</v>
      </c>
      <c r="N1473" s="72" t="s">
        <v>63</v>
      </c>
      <c r="O1473" t="s">
        <v>24</v>
      </c>
      <c r="P1473">
        <v>39</v>
      </c>
      <c r="Q1473" s="131">
        <v>28520</v>
      </c>
      <c r="S1473"/>
    </row>
    <row r="1474" spans="1:19" x14ac:dyDescent="0.25">
      <c r="A1474" s="86" t="s">
        <v>1783</v>
      </c>
      <c r="B1474" t="s">
        <v>160</v>
      </c>
      <c r="C1474">
        <v>86</v>
      </c>
      <c r="D1474">
        <v>86</v>
      </c>
      <c r="E1474">
        <v>107</v>
      </c>
      <c r="K1474">
        <v>279</v>
      </c>
      <c r="N1474" s="72" t="s">
        <v>108</v>
      </c>
      <c r="O1474" t="s">
        <v>24</v>
      </c>
      <c r="P1474">
        <v>46</v>
      </c>
      <c r="Q1474" s="131">
        <v>26449</v>
      </c>
      <c r="S1474"/>
    </row>
    <row r="1475" spans="1:19" x14ac:dyDescent="0.25">
      <c r="A1475" s="86" t="s">
        <v>888</v>
      </c>
      <c r="B1475" t="s">
        <v>156</v>
      </c>
      <c r="K1475">
        <v>0</v>
      </c>
      <c r="N1475" s="72" t="s">
        <v>63</v>
      </c>
      <c r="O1475" t="s">
        <v>23</v>
      </c>
      <c r="P1475">
        <v>23</v>
      </c>
      <c r="S1475"/>
    </row>
    <row r="1476" spans="1:19" x14ac:dyDescent="0.25">
      <c r="A1476" s="86" t="s">
        <v>740</v>
      </c>
      <c r="B1476" t="s">
        <v>162</v>
      </c>
      <c r="K1476">
        <v>0</v>
      </c>
      <c r="N1476" s="72" t="s">
        <v>14</v>
      </c>
      <c r="O1476" t="s">
        <v>24</v>
      </c>
      <c r="P1476">
        <v>60</v>
      </c>
      <c r="S1476"/>
    </row>
    <row r="1477" spans="1:19" x14ac:dyDescent="0.25">
      <c r="A1477" s="86" t="s">
        <v>482</v>
      </c>
      <c r="B1477" t="s">
        <v>161</v>
      </c>
      <c r="K1477">
        <v>0</v>
      </c>
      <c r="N1477" s="72" t="s">
        <v>43</v>
      </c>
      <c r="O1477" s="48" t="s">
        <v>24</v>
      </c>
      <c r="P1477">
        <v>50</v>
      </c>
      <c r="Q1477" s="131">
        <v>24100</v>
      </c>
      <c r="S1477"/>
    </row>
    <row r="1478" spans="1:19" x14ac:dyDescent="0.25">
      <c r="A1478" s="86" t="s">
        <v>1955</v>
      </c>
      <c r="B1478" t="s">
        <v>160</v>
      </c>
      <c r="K1478">
        <v>0</v>
      </c>
      <c r="N1478" s="72" t="s">
        <v>653</v>
      </c>
      <c r="O1478" t="s">
        <v>24</v>
      </c>
      <c r="S1478"/>
    </row>
    <row r="1479" spans="1:19" x14ac:dyDescent="0.25">
      <c r="A1479" s="86" t="s">
        <v>1625</v>
      </c>
      <c r="B1479" t="s">
        <v>160</v>
      </c>
      <c r="K1479">
        <v>0</v>
      </c>
      <c r="N1479" s="72" t="s">
        <v>63</v>
      </c>
      <c r="O1479" t="s">
        <v>24</v>
      </c>
      <c r="P1479">
        <v>41</v>
      </c>
      <c r="Q1479" s="131">
        <v>27321</v>
      </c>
      <c r="S1479"/>
    </row>
    <row r="1480" spans="1:19" x14ac:dyDescent="0.25">
      <c r="A1480" s="86" t="s">
        <v>1695</v>
      </c>
      <c r="B1480" t="s">
        <v>160</v>
      </c>
      <c r="K1480">
        <v>0</v>
      </c>
      <c r="N1480" s="72" t="s">
        <v>1729</v>
      </c>
      <c r="O1480" t="s">
        <v>24</v>
      </c>
      <c r="P1480">
        <v>44</v>
      </c>
      <c r="Q1480" s="131">
        <v>26365</v>
      </c>
      <c r="S1480"/>
    </row>
    <row r="1481" spans="1:19" x14ac:dyDescent="0.25">
      <c r="A1481" s="86" t="s">
        <v>1694</v>
      </c>
      <c r="B1481" t="s">
        <v>160</v>
      </c>
      <c r="K1481">
        <v>0</v>
      </c>
      <c r="N1481" s="72" t="s">
        <v>155</v>
      </c>
      <c r="O1481" t="s">
        <v>24</v>
      </c>
      <c r="P1481">
        <v>42</v>
      </c>
      <c r="Q1481" s="131">
        <v>27383</v>
      </c>
      <c r="S1481"/>
    </row>
    <row r="1482" spans="1:19" x14ac:dyDescent="0.25">
      <c r="A1482" s="86" t="s">
        <v>582</v>
      </c>
      <c r="B1482" t="s">
        <v>161</v>
      </c>
      <c r="K1482">
        <v>0</v>
      </c>
      <c r="N1482" s="72" t="s">
        <v>38</v>
      </c>
      <c r="O1482" t="s">
        <v>24</v>
      </c>
      <c r="P1482">
        <v>51</v>
      </c>
      <c r="S1482"/>
    </row>
    <row r="1483" spans="1:19" x14ac:dyDescent="0.25">
      <c r="A1483" s="86" t="s">
        <v>1877</v>
      </c>
      <c r="B1483" t="s">
        <v>67</v>
      </c>
      <c r="K1483">
        <v>0</v>
      </c>
      <c r="N1483" s="72" t="s">
        <v>14</v>
      </c>
      <c r="O1483" t="s">
        <v>24</v>
      </c>
      <c r="P1483">
        <v>34</v>
      </c>
      <c r="Q1483" s="131">
        <v>30474</v>
      </c>
      <c r="S1483"/>
    </row>
    <row r="1484" spans="1:19" x14ac:dyDescent="0.25">
      <c r="A1484" s="86" t="s">
        <v>404</v>
      </c>
      <c r="B1484" t="s">
        <v>160</v>
      </c>
      <c r="K1484">
        <v>0</v>
      </c>
      <c r="N1484" s="72" t="s">
        <v>109</v>
      </c>
      <c r="O1484" t="s">
        <v>24</v>
      </c>
      <c r="P1484">
        <v>47</v>
      </c>
      <c r="S1484"/>
    </row>
    <row r="1485" spans="1:19" x14ac:dyDescent="0.25">
      <c r="A1485" s="86" t="s">
        <v>1798</v>
      </c>
      <c r="B1485" t="s">
        <v>160</v>
      </c>
      <c r="K1485">
        <v>0</v>
      </c>
      <c r="N1485" s="72" t="s">
        <v>43</v>
      </c>
      <c r="O1485" t="s">
        <v>24</v>
      </c>
      <c r="P1485">
        <v>47</v>
      </c>
      <c r="Q1485" s="131">
        <v>25686</v>
      </c>
      <c r="S1485"/>
    </row>
    <row r="1486" spans="1:19" x14ac:dyDescent="0.25">
      <c r="A1486" s="86" t="s">
        <v>177</v>
      </c>
      <c r="B1486" t="s">
        <v>160</v>
      </c>
      <c r="E1486">
        <v>104</v>
      </c>
      <c r="K1486">
        <v>104</v>
      </c>
      <c r="N1486" s="72" t="s">
        <v>12</v>
      </c>
      <c r="O1486" t="s">
        <v>24</v>
      </c>
      <c r="P1486">
        <v>45</v>
      </c>
      <c r="Q1486" s="131">
        <v>26671</v>
      </c>
      <c r="S1486"/>
    </row>
    <row r="1487" spans="1:19" x14ac:dyDescent="0.25">
      <c r="A1487" s="86" t="s">
        <v>1097</v>
      </c>
      <c r="B1487" t="s">
        <v>160</v>
      </c>
      <c r="K1487">
        <v>0</v>
      </c>
      <c r="N1487" s="72" t="s">
        <v>155</v>
      </c>
      <c r="O1487" t="s">
        <v>24</v>
      </c>
      <c r="P1487">
        <v>41</v>
      </c>
      <c r="S1487"/>
    </row>
    <row r="1488" spans="1:19" x14ac:dyDescent="0.25">
      <c r="A1488" s="86" t="s">
        <v>1830</v>
      </c>
      <c r="B1488" t="s">
        <v>67</v>
      </c>
      <c r="K1488">
        <v>0</v>
      </c>
      <c r="N1488" s="72" t="s">
        <v>155</v>
      </c>
      <c r="O1488" t="s">
        <v>24</v>
      </c>
      <c r="P1488">
        <v>35</v>
      </c>
      <c r="Q1488" s="131">
        <v>29941</v>
      </c>
      <c r="S1488"/>
    </row>
    <row r="1489" spans="1:19" x14ac:dyDescent="0.25">
      <c r="A1489" s="86" t="s">
        <v>1990</v>
      </c>
      <c r="B1489" t="s">
        <v>162</v>
      </c>
      <c r="K1489">
        <v>0</v>
      </c>
      <c r="N1489" s="72" t="s">
        <v>653</v>
      </c>
      <c r="O1489" t="s">
        <v>24</v>
      </c>
      <c r="S1489"/>
    </row>
    <row r="1490" spans="1:19" x14ac:dyDescent="0.25">
      <c r="A1490" s="86" t="s">
        <v>540</v>
      </c>
      <c r="B1490" t="s">
        <v>160</v>
      </c>
      <c r="K1490">
        <v>0</v>
      </c>
      <c r="N1490" s="72" t="s">
        <v>38</v>
      </c>
      <c r="O1490" t="s">
        <v>24</v>
      </c>
      <c r="P1490">
        <v>40</v>
      </c>
      <c r="S1490"/>
    </row>
    <row r="1491" spans="1:19" x14ac:dyDescent="0.25">
      <c r="A1491" s="86" t="s">
        <v>1962</v>
      </c>
      <c r="B1491" t="s">
        <v>67</v>
      </c>
      <c r="K1491">
        <v>0</v>
      </c>
      <c r="N1491" s="72" t="s">
        <v>657</v>
      </c>
      <c r="O1491" t="s">
        <v>24</v>
      </c>
      <c r="S1491"/>
    </row>
    <row r="1492" spans="1:19" x14ac:dyDescent="0.25">
      <c r="A1492" s="86" t="s">
        <v>1162</v>
      </c>
      <c r="B1492" t="s">
        <v>67</v>
      </c>
      <c r="K1492">
        <v>0</v>
      </c>
      <c r="N1492" s="72" t="s">
        <v>505</v>
      </c>
      <c r="O1492" t="s">
        <v>24</v>
      </c>
      <c r="P1492">
        <v>37</v>
      </c>
      <c r="S1492"/>
    </row>
    <row r="1493" spans="1:19" x14ac:dyDescent="0.25">
      <c r="A1493" s="86" t="s">
        <v>1720</v>
      </c>
      <c r="B1493" t="s">
        <v>67</v>
      </c>
      <c r="C1493">
        <v>17</v>
      </c>
      <c r="E1493">
        <v>29</v>
      </c>
      <c r="K1493">
        <v>46</v>
      </c>
      <c r="N1493" s="72" t="s">
        <v>154</v>
      </c>
      <c r="O1493" t="s">
        <v>24</v>
      </c>
      <c r="P1493">
        <v>35</v>
      </c>
      <c r="Q1493" s="131">
        <v>30335</v>
      </c>
      <c r="S1493"/>
    </row>
    <row r="1494" spans="1:19" x14ac:dyDescent="0.25">
      <c r="A1494" s="86" t="s">
        <v>332</v>
      </c>
      <c r="B1494" t="s">
        <v>67</v>
      </c>
      <c r="K1494">
        <v>0</v>
      </c>
      <c r="N1494" s="72" t="s">
        <v>12</v>
      </c>
      <c r="O1494" t="s">
        <v>24</v>
      </c>
      <c r="P1494">
        <v>34</v>
      </c>
      <c r="Q1494" s="131">
        <v>30253</v>
      </c>
      <c r="S1494"/>
    </row>
    <row r="1495" spans="1:19" x14ac:dyDescent="0.25">
      <c r="A1495" s="86" t="s">
        <v>2287</v>
      </c>
      <c r="B1495" t="s">
        <v>162</v>
      </c>
      <c r="D1495">
        <v>138</v>
      </c>
      <c r="E1495">
        <v>175</v>
      </c>
      <c r="K1495">
        <v>313</v>
      </c>
      <c r="N1495" s="72" t="s">
        <v>1805</v>
      </c>
      <c r="O1495" t="s">
        <v>24</v>
      </c>
      <c r="P1495">
        <v>65</v>
      </c>
      <c r="Q1495" s="131">
        <v>19178</v>
      </c>
      <c r="S1495"/>
    </row>
    <row r="1496" spans="1:19" x14ac:dyDescent="0.25">
      <c r="A1496" s="86" t="s">
        <v>2107</v>
      </c>
      <c r="B1496" t="s">
        <v>67</v>
      </c>
      <c r="K1496">
        <v>0</v>
      </c>
      <c r="N1496" s="72" t="s">
        <v>505</v>
      </c>
      <c r="O1496" t="s">
        <v>24</v>
      </c>
      <c r="P1496">
        <v>31</v>
      </c>
      <c r="Q1496" s="131" t="s">
        <v>2108</v>
      </c>
      <c r="S1496"/>
    </row>
    <row r="1497" spans="1:19" x14ac:dyDescent="0.25">
      <c r="A1497" s="86" t="s">
        <v>704</v>
      </c>
      <c r="B1497" t="s">
        <v>161</v>
      </c>
      <c r="K1497">
        <v>0</v>
      </c>
      <c r="N1497" s="72" t="s">
        <v>658</v>
      </c>
      <c r="O1497" t="s">
        <v>24</v>
      </c>
      <c r="P1497">
        <v>50</v>
      </c>
      <c r="S1497"/>
    </row>
    <row r="1498" spans="1:19" x14ac:dyDescent="0.25">
      <c r="A1498" s="86" t="s">
        <v>870</v>
      </c>
      <c r="B1498" t="s">
        <v>158</v>
      </c>
      <c r="D1498">
        <v>102</v>
      </c>
      <c r="E1498">
        <v>186</v>
      </c>
      <c r="F1498">
        <v>97</v>
      </c>
      <c r="K1498">
        <v>385</v>
      </c>
      <c r="N1498" s="72" t="s">
        <v>155</v>
      </c>
      <c r="O1498" t="s">
        <v>23</v>
      </c>
      <c r="P1498">
        <v>53</v>
      </c>
      <c r="Q1498" s="131">
        <v>23655</v>
      </c>
      <c r="S1498"/>
    </row>
    <row r="1499" spans="1:19" x14ac:dyDescent="0.25">
      <c r="A1499" s="86" t="s">
        <v>1356</v>
      </c>
      <c r="B1499" t="s">
        <v>67</v>
      </c>
      <c r="K1499">
        <v>0</v>
      </c>
      <c r="N1499" s="72" t="s">
        <v>63</v>
      </c>
      <c r="O1499" t="s">
        <v>24</v>
      </c>
      <c r="P1499">
        <v>17</v>
      </c>
      <c r="Q1499" s="131" t="s">
        <v>1431</v>
      </c>
      <c r="S1499"/>
    </row>
    <row r="1500" spans="1:19" x14ac:dyDescent="0.25">
      <c r="A1500" s="86" t="s">
        <v>1057</v>
      </c>
      <c r="B1500" t="s">
        <v>156</v>
      </c>
      <c r="K1500">
        <v>0</v>
      </c>
      <c r="N1500" s="72" t="s">
        <v>154</v>
      </c>
      <c r="O1500" t="s">
        <v>23</v>
      </c>
      <c r="P1500">
        <v>34</v>
      </c>
      <c r="S1500"/>
    </row>
    <row r="1501" spans="1:19" x14ac:dyDescent="0.25">
      <c r="A1501" s="86" t="s">
        <v>2037</v>
      </c>
      <c r="B1501" t="s">
        <v>67</v>
      </c>
      <c r="K1501">
        <v>0</v>
      </c>
      <c r="N1501" s="72" t="s">
        <v>815</v>
      </c>
      <c r="O1501" t="s">
        <v>24</v>
      </c>
      <c r="P1501">
        <v>35</v>
      </c>
      <c r="Q1501" s="131" t="s">
        <v>2038</v>
      </c>
      <c r="S1501"/>
    </row>
    <row r="1502" spans="1:19" x14ac:dyDescent="0.25">
      <c r="A1502" s="86" t="s">
        <v>938</v>
      </c>
      <c r="B1502" s="48" t="s">
        <v>67</v>
      </c>
      <c r="K1502">
        <v>0</v>
      </c>
      <c r="N1502" s="70" t="s">
        <v>653</v>
      </c>
      <c r="O1502" t="s">
        <v>24</v>
      </c>
      <c r="P1502">
        <v>39</v>
      </c>
      <c r="S1502"/>
    </row>
    <row r="1503" spans="1:19" x14ac:dyDescent="0.25">
      <c r="A1503" s="86" t="s">
        <v>529</v>
      </c>
      <c r="B1503" t="s">
        <v>162</v>
      </c>
      <c r="E1503">
        <v>161</v>
      </c>
      <c r="K1503">
        <v>161</v>
      </c>
      <c r="N1503" s="72" t="s">
        <v>108</v>
      </c>
      <c r="O1503" t="s">
        <v>24</v>
      </c>
      <c r="P1503">
        <v>64</v>
      </c>
      <c r="Q1503" s="131">
        <v>19868</v>
      </c>
      <c r="S1503"/>
    </row>
    <row r="1504" spans="1:19" x14ac:dyDescent="0.25">
      <c r="A1504" s="86" t="s">
        <v>1867</v>
      </c>
      <c r="B1504" t="s">
        <v>67</v>
      </c>
      <c r="D1504">
        <v>5</v>
      </c>
      <c r="E1504">
        <v>154</v>
      </c>
      <c r="K1504">
        <v>159</v>
      </c>
      <c r="N1504" s="72" t="s">
        <v>817</v>
      </c>
      <c r="O1504" t="s">
        <v>24</v>
      </c>
      <c r="P1504">
        <v>26</v>
      </c>
      <c r="Q1504" s="131">
        <v>33721</v>
      </c>
      <c r="S1504"/>
    </row>
    <row r="1505" spans="1:19" x14ac:dyDescent="0.25">
      <c r="A1505" s="86" t="s">
        <v>399</v>
      </c>
      <c r="B1505" t="s">
        <v>67</v>
      </c>
      <c r="K1505">
        <v>0</v>
      </c>
      <c r="N1505" s="72" t="s">
        <v>38</v>
      </c>
      <c r="O1505" t="s">
        <v>24</v>
      </c>
      <c r="P1505">
        <v>27</v>
      </c>
      <c r="S1505"/>
    </row>
    <row r="1506" spans="1:19" x14ac:dyDescent="0.25">
      <c r="A1506" s="86" t="s">
        <v>293</v>
      </c>
      <c r="B1506" t="s">
        <v>160</v>
      </c>
      <c r="K1506">
        <v>0</v>
      </c>
      <c r="N1506" s="72" t="s">
        <v>43</v>
      </c>
      <c r="O1506" t="s">
        <v>24</v>
      </c>
      <c r="P1506">
        <v>43</v>
      </c>
      <c r="Q1506" s="131">
        <v>26519</v>
      </c>
      <c r="S1506"/>
    </row>
    <row r="1507" spans="1:19" x14ac:dyDescent="0.25">
      <c r="A1507" s="86" t="s">
        <v>857</v>
      </c>
      <c r="B1507" t="s">
        <v>162</v>
      </c>
      <c r="C1507">
        <v>137</v>
      </c>
      <c r="D1507">
        <v>143</v>
      </c>
      <c r="F1507">
        <v>153</v>
      </c>
      <c r="K1507">
        <v>433</v>
      </c>
      <c r="N1507" s="72" t="s">
        <v>43</v>
      </c>
      <c r="O1507" t="s">
        <v>24</v>
      </c>
      <c r="P1507">
        <v>63</v>
      </c>
      <c r="Q1507" s="131">
        <v>20172</v>
      </c>
      <c r="S1507"/>
    </row>
    <row r="1508" spans="1:19" x14ac:dyDescent="0.25">
      <c r="A1508" s="86" t="s">
        <v>948</v>
      </c>
      <c r="B1508" t="s">
        <v>162</v>
      </c>
      <c r="K1508">
        <v>0</v>
      </c>
      <c r="N1508" s="70" t="s">
        <v>1324</v>
      </c>
      <c r="O1508" t="s">
        <v>24</v>
      </c>
      <c r="P1508">
        <v>60</v>
      </c>
      <c r="S1508"/>
    </row>
    <row r="1509" spans="1:19" x14ac:dyDescent="0.25">
      <c r="A1509" s="86" t="s">
        <v>1384</v>
      </c>
      <c r="B1509" t="s">
        <v>67</v>
      </c>
      <c r="K1509">
        <v>0</v>
      </c>
      <c r="N1509" s="72" t="s">
        <v>581</v>
      </c>
      <c r="O1509" t="s">
        <v>24</v>
      </c>
      <c r="P1509">
        <v>29</v>
      </c>
      <c r="Q1509" s="131" t="s">
        <v>1441</v>
      </c>
      <c r="S1509"/>
    </row>
    <row r="1510" spans="1:19" x14ac:dyDescent="0.25">
      <c r="A1510" s="86" t="s">
        <v>669</v>
      </c>
      <c r="B1510" t="s">
        <v>160</v>
      </c>
      <c r="K1510">
        <v>0</v>
      </c>
      <c r="N1510" s="72" t="s">
        <v>657</v>
      </c>
      <c r="O1510" t="s">
        <v>24</v>
      </c>
      <c r="P1510">
        <v>40</v>
      </c>
      <c r="S1510"/>
    </row>
    <row r="1511" spans="1:19" x14ac:dyDescent="0.25">
      <c r="A1511" s="86" t="s">
        <v>2210</v>
      </c>
      <c r="B1511" t="s">
        <v>161</v>
      </c>
      <c r="C1511">
        <v>73</v>
      </c>
      <c r="D1511">
        <v>62</v>
      </c>
      <c r="F1511">
        <v>87</v>
      </c>
      <c r="K1511">
        <v>222</v>
      </c>
      <c r="N1511" s="72" t="s">
        <v>505</v>
      </c>
      <c r="O1511" t="s">
        <v>24</v>
      </c>
      <c r="P1511">
        <v>54</v>
      </c>
      <c r="Q1511" s="131">
        <v>23497</v>
      </c>
      <c r="S1511"/>
    </row>
    <row r="1512" spans="1:19" x14ac:dyDescent="0.25">
      <c r="A1512" s="86" t="s">
        <v>389</v>
      </c>
      <c r="B1512" t="s">
        <v>1817</v>
      </c>
      <c r="K1512">
        <v>0</v>
      </c>
      <c r="N1512" s="72" t="s">
        <v>154</v>
      </c>
      <c r="O1512" s="48" t="s">
        <v>24</v>
      </c>
      <c r="P1512">
        <v>71</v>
      </c>
      <c r="Q1512" s="131">
        <v>16951</v>
      </c>
      <c r="S1512"/>
    </row>
    <row r="1513" spans="1:19" x14ac:dyDescent="0.25">
      <c r="A1513" s="86" t="s">
        <v>1894</v>
      </c>
      <c r="B1513" t="s">
        <v>161</v>
      </c>
      <c r="K1513">
        <v>0</v>
      </c>
      <c r="N1513" s="72" t="s">
        <v>14</v>
      </c>
      <c r="O1513" t="s">
        <v>24</v>
      </c>
      <c r="P1513">
        <v>52</v>
      </c>
      <c r="Q1513" s="131">
        <v>23880</v>
      </c>
      <c r="S1513"/>
    </row>
    <row r="1514" spans="1:19" x14ac:dyDescent="0.25">
      <c r="A1514" s="86" t="s">
        <v>1123</v>
      </c>
      <c r="B1514" t="s">
        <v>67</v>
      </c>
      <c r="K1514">
        <v>0</v>
      </c>
      <c r="N1514" s="72" t="s">
        <v>505</v>
      </c>
      <c r="O1514" t="s">
        <v>24</v>
      </c>
      <c r="P1514">
        <v>35</v>
      </c>
      <c r="S1514"/>
    </row>
    <row r="1515" spans="1:19" x14ac:dyDescent="0.25">
      <c r="A1515" s="86" t="s">
        <v>1337</v>
      </c>
      <c r="B1515" t="s">
        <v>160</v>
      </c>
      <c r="C1515">
        <v>29</v>
      </c>
      <c r="E1515">
        <v>34</v>
      </c>
      <c r="F1515">
        <v>50</v>
      </c>
      <c r="K1515">
        <v>113</v>
      </c>
      <c r="N1515" s="72" t="s">
        <v>12</v>
      </c>
      <c r="O1515" t="s">
        <v>24</v>
      </c>
      <c r="P1515">
        <v>42</v>
      </c>
      <c r="Q1515" s="131">
        <v>27741</v>
      </c>
      <c r="S1515"/>
    </row>
    <row r="1516" spans="1:19" x14ac:dyDescent="0.25">
      <c r="A1516" s="86" t="s">
        <v>301</v>
      </c>
      <c r="B1516" t="s">
        <v>161</v>
      </c>
      <c r="C1516">
        <v>43</v>
      </c>
      <c r="D1516">
        <v>37</v>
      </c>
      <c r="E1516">
        <v>39</v>
      </c>
      <c r="F1516">
        <v>43</v>
      </c>
      <c r="K1516">
        <v>162</v>
      </c>
      <c r="N1516" s="72" t="s">
        <v>154</v>
      </c>
      <c r="O1516" t="s">
        <v>24</v>
      </c>
      <c r="P1516">
        <v>50</v>
      </c>
      <c r="Q1516" s="131">
        <v>24979</v>
      </c>
      <c r="S1516"/>
    </row>
    <row r="1517" spans="1:19" x14ac:dyDescent="0.25">
      <c r="A1517" s="86" t="s">
        <v>2403</v>
      </c>
      <c r="B1517" t="s">
        <v>67</v>
      </c>
      <c r="E1517">
        <v>202</v>
      </c>
      <c r="K1517">
        <v>202</v>
      </c>
      <c r="N1517" s="72" t="s">
        <v>505</v>
      </c>
      <c r="O1517" t="s">
        <v>24</v>
      </c>
      <c r="P1517">
        <v>29</v>
      </c>
      <c r="Q1517" s="131">
        <v>32486</v>
      </c>
      <c r="S1517"/>
    </row>
    <row r="1518" spans="1:19" x14ac:dyDescent="0.25">
      <c r="A1518" s="86" t="s">
        <v>403</v>
      </c>
      <c r="B1518" t="s">
        <v>67</v>
      </c>
      <c r="K1518">
        <v>0</v>
      </c>
      <c r="N1518" s="72" t="s">
        <v>38</v>
      </c>
      <c r="O1518" t="s">
        <v>24</v>
      </c>
      <c r="P1518">
        <v>38</v>
      </c>
      <c r="Q1518" s="131">
        <v>28803</v>
      </c>
      <c r="S1518"/>
    </row>
    <row r="1519" spans="1:19" x14ac:dyDescent="0.25">
      <c r="A1519" s="86" t="s">
        <v>392</v>
      </c>
      <c r="B1519" t="s">
        <v>67</v>
      </c>
      <c r="K1519">
        <v>0</v>
      </c>
      <c r="N1519" s="72" t="s">
        <v>503</v>
      </c>
      <c r="O1519" t="s">
        <v>24</v>
      </c>
      <c r="P1519">
        <v>33</v>
      </c>
      <c r="S1519"/>
    </row>
    <row r="1520" spans="1:19" x14ac:dyDescent="0.25">
      <c r="A1520" s="86" t="s">
        <v>323</v>
      </c>
      <c r="B1520" t="s">
        <v>67</v>
      </c>
      <c r="K1520">
        <v>0</v>
      </c>
      <c r="N1520" s="72" t="s">
        <v>155</v>
      </c>
      <c r="O1520" t="s">
        <v>24</v>
      </c>
      <c r="P1520">
        <v>19</v>
      </c>
      <c r="Q1520" s="131" t="s">
        <v>2081</v>
      </c>
      <c r="S1520"/>
    </row>
    <row r="1521" spans="1:19" x14ac:dyDescent="0.25">
      <c r="A1521" s="86" t="s">
        <v>707</v>
      </c>
      <c r="B1521" t="s">
        <v>161</v>
      </c>
      <c r="K1521">
        <v>0</v>
      </c>
      <c r="N1521" s="72" t="s">
        <v>657</v>
      </c>
      <c r="O1521" t="s">
        <v>24</v>
      </c>
      <c r="P1521">
        <v>50</v>
      </c>
      <c r="S1521"/>
    </row>
    <row r="1522" spans="1:19" x14ac:dyDescent="0.25">
      <c r="A1522" s="86" t="s">
        <v>327</v>
      </c>
      <c r="B1522" t="s">
        <v>160</v>
      </c>
      <c r="E1522">
        <v>173</v>
      </c>
      <c r="F1522">
        <v>154</v>
      </c>
      <c r="K1522">
        <v>327</v>
      </c>
      <c r="N1522" s="72" t="s">
        <v>43</v>
      </c>
      <c r="O1522" t="s">
        <v>24</v>
      </c>
      <c r="P1522">
        <v>42</v>
      </c>
      <c r="Q1522" s="131">
        <v>27918</v>
      </c>
      <c r="S1522"/>
    </row>
    <row r="1523" spans="1:19" x14ac:dyDescent="0.25">
      <c r="A1523" s="86" t="s">
        <v>1986</v>
      </c>
      <c r="B1523" t="s">
        <v>162</v>
      </c>
      <c r="K1523">
        <v>0</v>
      </c>
      <c r="N1523" s="72" t="s">
        <v>14</v>
      </c>
      <c r="O1523" t="s">
        <v>24</v>
      </c>
      <c r="S1523"/>
    </row>
    <row r="1524" spans="1:19" x14ac:dyDescent="0.25">
      <c r="A1524" s="86" t="s">
        <v>1010</v>
      </c>
      <c r="B1524" t="s">
        <v>160</v>
      </c>
      <c r="D1524">
        <v>24</v>
      </c>
      <c r="K1524">
        <v>24</v>
      </c>
      <c r="N1524" s="72" t="s">
        <v>2265</v>
      </c>
      <c r="O1524" t="s">
        <v>24</v>
      </c>
      <c r="P1524">
        <v>45</v>
      </c>
      <c r="Q1524" s="131">
        <v>26763</v>
      </c>
      <c r="S1524"/>
    </row>
    <row r="1525" spans="1:19" x14ac:dyDescent="0.25">
      <c r="A1525" s="86" t="s">
        <v>1958</v>
      </c>
      <c r="B1525" t="s">
        <v>157</v>
      </c>
      <c r="K1525">
        <v>0</v>
      </c>
      <c r="N1525" s="72" t="s">
        <v>653</v>
      </c>
      <c r="O1525" t="s">
        <v>23</v>
      </c>
      <c r="S1525"/>
    </row>
    <row r="1526" spans="1:19" x14ac:dyDescent="0.25">
      <c r="A1526" s="86" t="s">
        <v>1062</v>
      </c>
      <c r="B1526" t="s">
        <v>161</v>
      </c>
      <c r="K1526">
        <v>0</v>
      </c>
      <c r="N1526" s="72" t="s">
        <v>63</v>
      </c>
      <c r="O1526" t="s">
        <v>24</v>
      </c>
      <c r="P1526">
        <v>59</v>
      </c>
      <c r="S1526"/>
    </row>
    <row r="1527" spans="1:19" x14ac:dyDescent="0.25">
      <c r="A1527" s="86" t="s">
        <v>1691</v>
      </c>
      <c r="B1527" t="s">
        <v>160</v>
      </c>
      <c r="K1527">
        <v>0</v>
      </c>
      <c r="N1527" s="72" t="s">
        <v>505</v>
      </c>
      <c r="O1527" t="s">
        <v>24</v>
      </c>
      <c r="P1527">
        <v>43</v>
      </c>
      <c r="Q1527" s="131">
        <v>26967</v>
      </c>
      <c r="S1527"/>
    </row>
    <row r="1528" spans="1:19" x14ac:dyDescent="0.25">
      <c r="A1528" s="86" t="s">
        <v>1380</v>
      </c>
      <c r="B1528" t="s">
        <v>156</v>
      </c>
      <c r="E1528">
        <v>74</v>
      </c>
      <c r="K1528">
        <v>74</v>
      </c>
      <c r="N1528" s="72" t="s">
        <v>12</v>
      </c>
      <c r="O1528" s="48" t="s">
        <v>23</v>
      </c>
      <c r="P1528">
        <v>31</v>
      </c>
      <c r="Q1528" s="131">
        <v>31613</v>
      </c>
      <c r="S1528"/>
    </row>
    <row r="1529" spans="1:19" x14ac:dyDescent="0.25">
      <c r="A1529" s="86" t="s">
        <v>370</v>
      </c>
      <c r="B1529" t="s">
        <v>67</v>
      </c>
      <c r="F1529">
        <v>36</v>
      </c>
      <c r="K1529">
        <v>36</v>
      </c>
      <c r="N1529" s="72" t="s">
        <v>63</v>
      </c>
      <c r="O1529" t="s">
        <v>24</v>
      </c>
      <c r="P1529">
        <v>36</v>
      </c>
      <c r="Q1529" s="131">
        <v>30001</v>
      </c>
      <c r="S1529"/>
    </row>
    <row r="1530" spans="1:19" x14ac:dyDescent="0.25">
      <c r="A1530" s="86" t="s">
        <v>624</v>
      </c>
      <c r="B1530" t="s">
        <v>161</v>
      </c>
      <c r="K1530">
        <v>0</v>
      </c>
      <c r="N1530" s="72" t="s">
        <v>154</v>
      </c>
      <c r="O1530" t="s">
        <v>24</v>
      </c>
      <c r="P1530">
        <v>55</v>
      </c>
      <c r="S1530"/>
    </row>
    <row r="1531" spans="1:19" x14ac:dyDescent="0.25">
      <c r="A1531" s="86" t="s">
        <v>709</v>
      </c>
      <c r="B1531" t="s">
        <v>1817</v>
      </c>
      <c r="K1531">
        <v>0</v>
      </c>
      <c r="N1531" s="72" t="s">
        <v>14</v>
      </c>
      <c r="O1531" t="s">
        <v>24</v>
      </c>
      <c r="P1531">
        <v>71</v>
      </c>
      <c r="S1531"/>
    </row>
    <row r="1532" spans="1:19" x14ac:dyDescent="0.25">
      <c r="A1532" s="86" t="s">
        <v>547</v>
      </c>
      <c r="B1532" s="48" t="s">
        <v>162</v>
      </c>
      <c r="K1532">
        <v>0</v>
      </c>
      <c r="N1532" s="72" t="s">
        <v>654</v>
      </c>
      <c r="O1532" t="s">
        <v>24</v>
      </c>
      <c r="P1532">
        <v>67</v>
      </c>
      <c r="S1532"/>
    </row>
    <row r="1533" spans="1:19" x14ac:dyDescent="0.25">
      <c r="A1533" s="86" t="s">
        <v>207</v>
      </c>
      <c r="B1533" t="s">
        <v>161</v>
      </c>
      <c r="K1533">
        <v>0</v>
      </c>
      <c r="N1533" s="72" t="s">
        <v>38</v>
      </c>
      <c r="O1533" t="s">
        <v>24</v>
      </c>
      <c r="P1533">
        <v>56</v>
      </c>
      <c r="Q1533" s="131">
        <v>22047</v>
      </c>
      <c r="S1533"/>
    </row>
    <row r="1534" spans="1:19" x14ac:dyDescent="0.25">
      <c r="A1534" s="86" t="s">
        <v>1978</v>
      </c>
      <c r="B1534" t="s">
        <v>67</v>
      </c>
      <c r="K1534">
        <v>0</v>
      </c>
      <c r="N1534" s="72" t="s">
        <v>657</v>
      </c>
      <c r="O1534" t="s">
        <v>24</v>
      </c>
      <c r="S1534"/>
    </row>
    <row r="1535" spans="1:19" x14ac:dyDescent="0.25">
      <c r="A1535" s="86" t="s">
        <v>454</v>
      </c>
      <c r="B1535" t="s">
        <v>161</v>
      </c>
      <c r="K1535">
        <v>0</v>
      </c>
      <c r="N1535" s="72" t="s">
        <v>63</v>
      </c>
      <c r="O1535" t="s">
        <v>24</v>
      </c>
      <c r="P1535">
        <v>57</v>
      </c>
      <c r="Q1535" s="131">
        <v>21459</v>
      </c>
      <c r="S1535"/>
    </row>
    <row r="1536" spans="1:19" x14ac:dyDescent="0.25">
      <c r="A1536" s="86" t="s">
        <v>261</v>
      </c>
      <c r="B1536" t="s">
        <v>161</v>
      </c>
      <c r="K1536">
        <v>0</v>
      </c>
      <c r="N1536" s="72" t="s">
        <v>12</v>
      </c>
      <c r="O1536" t="s">
        <v>24</v>
      </c>
      <c r="P1536">
        <v>55</v>
      </c>
      <c r="Q1536" s="131">
        <v>22767</v>
      </c>
      <c r="S1536"/>
    </row>
    <row r="1537" spans="1:19" x14ac:dyDescent="0.25">
      <c r="A1537" s="86" t="s">
        <v>841</v>
      </c>
      <c r="B1537" s="48" t="s">
        <v>162</v>
      </c>
      <c r="C1537">
        <v>82</v>
      </c>
      <c r="E1537">
        <v>120</v>
      </c>
      <c r="K1537">
        <v>202</v>
      </c>
      <c r="N1537" s="72" t="s">
        <v>38</v>
      </c>
      <c r="O1537" t="s">
        <v>24</v>
      </c>
      <c r="P1537">
        <v>65</v>
      </c>
      <c r="Q1537" s="131">
        <v>19480</v>
      </c>
      <c r="S1537"/>
    </row>
    <row r="1538" spans="1:19" x14ac:dyDescent="0.25">
      <c r="A1538" s="86" t="s">
        <v>337</v>
      </c>
      <c r="B1538" t="s">
        <v>161</v>
      </c>
      <c r="C1538">
        <v>32</v>
      </c>
      <c r="D1538">
        <v>36</v>
      </c>
      <c r="E1538">
        <v>42</v>
      </c>
      <c r="F1538">
        <v>35</v>
      </c>
      <c r="K1538">
        <v>145</v>
      </c>
      <c r="N1538" s="72" t="s">
        <v>108</v>
      </c>
      <c r="O1538" t="s">
        <v>24</v>
      </c>
      <c r="P1538">
        <v>50</v>
      </c>
      <c r="Q1538" s="131">
        <v>24774</v>
      </c>
      <c r="S1538"/>
    </row>
    <row r="1539" spans="1:19" x14ac:dyDescent="0.25">
      <c r="A1539" s="86" t="s">
        <v>905</v>
      </c>
      <c r="B1539" t="s">
        <v>157</v>
      </c>
      <c r="K1539">
        <v>0</v>
      </c>
      <c r="N1539" s="72" t="s">
        <v>12</v>
      </c>
      <c r="O1539" t="s">
        <v>23</v>
      </c>
      <c r="P1539">
        <v>36</v>
      </c>
      <c r="Q1539" s="131">
        <v>29442</v>
      </c>
      <c r="S1539"/>
    </row>
    <row r="1540" spans="1:19" x14ac:dyDescent="0.25">
      <c r="A1540" s="86" t="s">
        <v>434</v>
      </c>
      <c r="B1540" t="s">
        <v>161</v>
      </c>
      <c r="K1540">
        <v>0</v>
      </c>
      <c r="N1540" s="72" t="s">
        <v>63</v>
      </c>
      <c r="O1540" t="s">
        <v>24</v>
      </c>
      <c r="P1540">
        <v>54</v>
      </c>
      <c r="Q1540" s="131">
        <v>22932</v>
      </c>
      <c r="S1540"/>
    </row>
    <row r="1541" spans="1:19" x14ac:dyDescent="0.25">
      <c r="A1541" s="86" t="s">
        <v>2158</v>
      </c>
      <c r="B1541" t="s">
        <v>67</v>
      </c>
      <c r="K1541">
        <v>0</v>
      </c>
      <c r="N1541" s="72" t="s">
        <v>505</v>
      </c>
      <c r="O1541" t="s">
        <v>24</v>
      </c>
      <c r="P1541">
        <v>36</v>
      </c>
      <c r="S1541"/>
    </row>
    <row r="1542" spans="1:19" x14ac:dyDescent="0.25">
      <c r="A1542" s="86" t="s">
        <v>485</v>
      </c>
      <c r="B1542" t="s">
        <v>162</v>
      </c>
      <c r="K1542">
        <v>0</v>
      </c>
      <c r="N1542" s="72" t="s">
        <v>505</v>
      </c>
      <c r="O1542" t="s">
        <v>24</v>
      </c>
      <c r="P1542">
        <v>67</v>
      </c>
      <c r="S1542"/>
    </row>
    <row r="1543" spans="1:19" x14ac:dyDescent="0.25">
      <c r="A1543" s="86" t="s">
        <v>1701</v>
      </c>
      <c r="B1543" t="s">
        <v>161</v>
      </c>
      <c r="K1543">
        <v>0</v>
      </c>
      <c r="N1543" s="72" t="s">
        <v>38</v>
      </c>
      <c r="O1543" t="s">
        <v>24</v>
      </c>
      <c r="P1543">
        <v>56</v>
      </c>
      <c r="Q1543" s="131">
        <v>22187</v>
      </c>
      <c r="S1543"/>
    </row>
    <row r="1544" spans="1:19" x14ac:dyDescent="0.25">
      <c r="A1544" s="86" t="s">
        <v>269</v>
      </c>
      <c r="B1544" t="s">
        <v>162</v>
      </c>
      <c r="C1544">
        <v>74</v>
      </c>
      <c r="D1544">
        <v>63</v>
      </c>
      <c r="E1544">
        <v>89</v>
      </c>
      <c r="F1544">
        <v>71</v>
      </c>
      <c r="K1544">
        <v>297</v>
      </c>
      <c r="N1544" s="72" t="s">
        <v>43</v>
      </c>
      <c r="O1544" t="s">
        <v>24</v>
      </c>
      <c r="P1544">
        <v>66</v>
      </c>
      <c r="Q1544" s="131">
        <v>19111</v>
      </c>
      <c r="S1544"/>
    </row>
    <row r="1545" spans="1:19" x14ac:dyDescent="0.25">
      <c r="A1545" s="86" t="s">
        <v>2275</v>
      </c>
      <c r="B1545" t="s">
        <v>67</v>
      </c>
      <c r="D1545">
        <v>53</v>
      </c>
      <c r="F1545">
        <v>69</v>
      </c>
      <c r="K1545">
        <v>122</v>
      </c>
      <c r="N1545" s="72" t="s">
        <v>43</v>
      </c>
      <c r="O1545" t="s">
        <v>24</v>
      </c>
      <c r="P1545">
        <v>16</v>
      </c>
      <c r="Q1545" s="131">
        <v>37219</v>
      </c>
      <c r="S1545"/>
    </row>
    <row r="1546" spans="1:19" x14ac:dyDescent="0.25">
      <c r="A1546" s="86" t="s">
        <v>1365</v>
      </c>
      <c r="B1546" t="s">
        <v>67</v>
      </c>
      <c r="K1546">
        <v>0</v>
      </c>
      <c r="N1546" s="72" t="s">
        <v>63</v>
      </c>
      <c r="O1546" t="s">
        <v>24</v>
      </c>
      <c r="P1546">
        <v>29</v>
      </c>
      <c r="Q1546" s="131" t="s">
        <v>1432</v>
      </c>
      <c r="S1546"/>
    </row>
    <row r="1547" spans="1:19" x14ac:dyDescent="0.25">
      <c r="A1547" s="86" t="s">
        <v>2154</v>
      </c>
      <c r="B1547" t="s">
        <v>158</v>
      </c>
      <c r="K1547">
        <v>0</v>
      </c>
      <c r="N1547" s="72" t="s">
        <v>505</v>
      </c>
      <c r="O1547" t="s">
        <v>23</v>
      </c>
      <c r="P1547">
        <v>52</v>
      </c>
      <c r="Q1547" s="131">
        <v>23996</v>
      </c>
      <c r="S1547"/>
    </row>
    <row r="1548" spans="1:19" x14ac:dyDescent="0.25">
      <c r="A1548" s="86" t="s">
        <v>1861</v>
      </c>
      <c r="B1548" t="s">
        <v>156</v>
      </c>
      <c r="E1548">
        <v>94</v>
      </c>
      <c r="F1548">
        <v>52</v>
      </c>
      <c r="K1548">
        <v>146</v>
      </c>
      <c r="N1548" s="72" t="s">
        <v>12</v>
      </c>
      <c r="O1548" t="s">
        <v>23</v>
      </c>
      <c r="P1548">
        <v>30</v>
      </c>
      <c r="Q1548" s="131">
        <v>32141</v>
      </c>
      <c r="S1548"/>
    </row>
    <row r="1549" spans="1:19" x14ac:dyDescent="0.25">
      <c r="A1549" s="86" t="s">
        <v>842</v>
      </c>
      <c r="B1549" t="s">
        <v>159</v>
      </c>
      <c r="K1549">
        <v>0</v>
      </c>
      <c r="N1549" s="72" t="s">
        <v>155</v>
      </c>
      <c r="O1549" t="s">
        <v>23</v>
      </c>
      <c r="P1549">
        <v>55</v>
      </c>
      <c r="S1549"/>
    </row>
    <row r="1550" spans="1:19" x14ac:dyDescent="0.25">
      <c r="A1550" s="86" t="s">
        <v>2216</v>
      </c>
      <c r="B1550" t="s">
        <v>156</v>
      </c>
      <c r="C1550">
        <v>16</v>
      </c>
      <c r="D1550">
        <v>16</v>
      </c>
      <c r="E1550">
        <v>22</v>
      </c>
      <c r="K1550">
        <v>54</v>
      </c>
      <c r="N1550" s="72" t="s">
        <v>1805</v>
      </c>
      <c r="O1550" t="s">
        <v>23</v>
      </c>
      <c r="P1550">
        <v>27</v>
      </c>
      <c r="Q1550" s="131">
        <v>33320</v>
      </c>
      <c r="S1550"/>
    </row>
    <row r="1551" spans="1:19" x14ac:dyDescent="0.25">
      <c r="A1551" s="86" t="s">
        <v>1159</v>
      </c>
      <c r="B1551" t="s">
        <v>158</v>
      </c>
      <c r="C1551">
        <v>54</v>
      </c>
      <c r="D1551">
        <v>55</v>
      </c>
      <c r="E1551">
        <v>121</v>
      </c>
      <c r="K1551">
        <v>230</v>
      </c>
      <c r="N1551" s="72" t="s">
        <v>155</v>
      </c>
      <c r="O1551" t="s">
        <v>23</v>
      </c>
      <c r="P1551">
        <v>48</v>
      </c>
      <c r="Q1551" s="131">
        <v>25498</v>
      </c>
      <c r="S1551"/>
    </row>
    <row r="1552" spans="1:19" x14ac:dyDescent="0.25">
      <c r="A1552" s="86" t="s">
        <v>1801</v>
      </c>
      <c r="B1552" t="s">
        <v>160</v>
      </c>
      <c r="K1552">
        <v>0</v>
      </c>
      <c r="N1552" s="72" t="s">
        <v>12</v>
      </c>
      <c r="O1552" t="s">
        <v>24</v>
      </c>
      <c r="P1552">
        <v>40</v>
      </c>
      <c r="Q1552" s="131">
        <v>27676</v>
      </c>
      <c r="S1552"/>
    </row>
    <row r="1553" spans="1:19" x14ac:dyDescent="0.25">
      <c r="A1553" s="86" t="s">
        <v>208</v>
      </c>
      <c r="B1553" t="s">
        <v>67</v>
      </c>
      <c r="K1553">
        <v>0</v>
      </c>
      <c r="N1553" s="72" t="s">
        <v>38</v>
      </c>
      <c r="O1553" t="s">
        <v>24</v>
      </c>
      <c r="P1553">
        <v>30</v>
      </c>
      <c r="Q1553" s="131">
        <v>31642</v>
      </c>
      <c r="S1553"/>
    </row>
    <row r="1554" spans="1:19" x14ac:dyDescent="0.25">
      <c r="A1554" s="86" t="s">
        <v>1957</v>
      </c>
      <c r="B1554" t="s">
        <v>160</v>
      </c>
      <c r="K1554">
        <v>0</v>
      </c>
      <c r="N1554" s="72" t="s">
        <v>14</v>
      </c>
      <c r="O1554" t="s">
        <v>24</v>
      </c>
      <c r="S1554"/>
    </row>
    <row r="1555" spans="1:19" x14ac:dyDescent="0.25">
      <c r="A1555" s="86" t="s">
        <v>1663</v>
      </c>
      <c r="B1555" t="s">
        <v>157</v>
      </c>
      <c r="K1555">
        <v>0</v>
      </c>
      <c r="N1555" s="72" t="s">
        <v>10</v>
      </c>
      <c r="O1555" t="s">
        <v>23</v>
      </c>
      <c r="P1555">
        <v>41</v>
      </c>
      <c r="S1555"/>
    </row>
    <row r="1556" spans="1:19" x14ac:dyDescent="0.25">
      <c r="A1556" s="86" t="s">
        <v>694</v>
      </c>
      <c r="B1556" t="s">
        <v>67</v>
      </c>
      <c r="K1556">
        <v>0</v>
      </c>
      <c r="N1556" s="72" t="s">
        <v>653</v>
      </c>
      <c r="O1556" t="s">
        <v>24</v>
      </c>
      <c r="P1556">
        <v>27</v>
      </c>
      <c r="S1556"/>
    </row>
    <row r="1557" spans="1:19" x14ac:dyDescent="0.25">
      <c r="A1557" s="86" t="s">
        <v>407</v>
      </c>
      <c r="B1557" t="s">
        <v>67</v>
      </c>
      <c r="K1557">
        <v>0</v>
      </c>
      <c r="N1557" s="72" t="s">
        <v>155</v>
      </c>
      <c r="O1557" t="s">
        <v>24</v>
      </c>
      <c r="P1557">
        <v>39</v>
      </c>
      <c r="S1557"/>
    </row>
    <row r="1558" spans="1:19" x14ac:dyDescent="0.25">
      <c r="A1558" s="86" t="s">
        <v>577</v>
      </c>
      <c r="B1558" t="s">
        <v>67</v>
      </c>
      <c r="K1558">
        <v>0</v>
      </c>
      <c r="N1558" s="72" t="s">
        <v>12</v>
      </c>
      <c r="O1558" s="48" t="s">
        <v>852</v>
      </c>
      <c r="P1558">
        <v>38</v>
      </c>
      <c r="S1558"/>
    </row>
    <row r="1559" spans="1:19" x14ac:dyDescent="0.25">
      <c r="A1559" s="86" t="s">
        <v>230</v>
      </c>
      <c r="B1559" t="s">
        <v>67</v>
      </c>
      <c r="K1559">
        <v>0</v>
      </c>
      <c r="N1559" s="72" t="s">
        <v>1503</v>
      </c>
      <c r="O1559" t="s">
        <v>24</v>
      </c>
      <c r="P1559">
        <v>31</v>
      </c>
      <c r="Q1559" s="131">
        <v>30935</v>
      </c>
      <c r="S1559"/>
    </row>
    <row r="1560" spans="1:19" x14ac:dyDescent="0.25">
      <c r="A1560" s="86" t="s">
        <v>249</v>
      </c>
      <c r="B1560" t="s">
        <v>157</v>
      </c>
      <c r="K1560">
        <v>0</v>
      </c>
      <c r="N1560" s="72" t="s">
        <v>63</v>
      </c>
      <c r="O1560" t="s">
        <v>23</v>
      </c>
      <c r="P1560">
        <v>41</v>
      </c>
      <c r="S1560"/>
    </row>
    <row r="1561" spans="1:19" x14ac:dyDescent="0.25">
      <c r="A1561" s="86" t="s">
        <v>742</v>
      </c>
      <c r="B1561" t="s">
        <v>157</v>
      </c>
      <c r="K1561">
        <v>0</v>
      </c>
      <c r="N1561" s="72" t="s">
        <v>14</v>
      </c>
      <c r="O1561" t="s">
        <v>23</v>
      </c>
      <c r="P1561">
        <v>35</v>
      </c>
      <c r="S1561"/>
    </row>
    <row r="1562" spans="1:19" x14ac:dyDescent="0.25">
      <c r="A1562" s="86" t="s">
        <v>1024</v>
      </c>
      <c r="B1562" t="s">
        <v>158</v>
      </c>
      <c r="K1562">
        <v>0</v>
      </c>
      <c r="N1562" s="72" t="s">
        <v>14</v>
      </c>
      <c r="O1562" t="s">
        <v>23</v>
      </c>
      <c r="P1562">
        <v>45</v>
      </c>
      <c r="S1562"/>
    </row>
    <row r="1563" spans="1:19" x14ac:dyDescent="0.25">
      <c r="A1563" s="86" t="s">
        <v>1022</v>
      </c>
      <c r="B1563" t="s">
        <v>158</v>
      </c>
      <c r="K1563">
        <v>0</v>
      </c>
      <c r="N1563" s="72" t="s">
        <v>14</v>
      </c>
      <c r="O1563" t="s">
        <v>23</v>
      </c>
      <c r="P1563">
        <v>50</v>
      </c>
      <c r="S1563"/>
    </row>
    <row r="1564" spans="1:19" x14ac:dyDescent="0.25">
      <c r="A1564" s="86" t="s">
        <v>2218</v>
      </c>
      <c r="B1564" t="s">
        <v>157</v>
      </c>
      <c r="C1564">
        <v>23</v>
      </c>
      <c r="D1564">
        <v>25</v>
      </c>
      <c r="E1564">
        <v>41</v>
      </c>
      <c r="F1564">
        <v>24</v>
      </c>
      <c r="K1564">
        <v>113</v>
      </c>
      <c r="N1564" s="72" t="s">
        <v>1805</v>
      </c>
      <c r="O1564" t="s">
        <v>23</v>
      </c>
      <c r="P1564">
        <v>41</v>
      </c>
      <c r="Q1564" s="131">
        <v>28149</v>
      </c>
      <c r="S1564"/>
    </row>
    <row r="1565" spans="1:19" x14ac:dyDescent="0.25">
      <c r="A1565" s="86" t="s">
        <v>1013</v>
      </c>
      <c r="B1565" t="s">
        <v>156</v>
      </c>
      <c r="K1565">
        <v>0</v>
      </c>
      <c r="N1565" s="72" t="s">
        <v>154</v>
      </c>
      <c r="O1565" t="s">
        <v>23</v>
      </c>
      <c r="P1565">
        <v>34</v>
      </c>
      <c r="S1565"/>
    </row>
    <row r="1566" spans="1:19" x14ac:dyDescent="0.25">
      <c r="A1566" s="86" t="s">
        <v>1802</v>
      </c>
      <c r="B1566" t="s">
        <v>157</v>
      </c>
      <c r="K1566">
        <v>0</v>
      </c>
      <c r="N1566" s="72" t="s">
        <v>63</v>
      </c>
      <c r="O1566" t="s">
        <v>23</v>
      </c>
      <c r="P1566">
        <v>35</v>
      </c>
      <c r="Q1566" s="131">
        <v>29046</v>
      </c>
      <c r="S1566"/>
    </row>
    <row r="1567" spans="1:19" x14ac:dyDescent="0.25">
      <c r="A1567" s="86" t="s">
        <v>1888</v>
      </c>
      <c r="B1567" t="s">
        <v>158</v>
      </c>
      <c r="K1567">
        <v>0</v>
      </c>
      <c r="N1567" s="72" t="s">
        <v>1923</v>
      </c>
      <c r="O1567" t="s">
        <v>23</v>
      </c>
      <c r="P1567">
        <v>47</v>
      </c>
      <c r="Q1567" s="131">
        <v>25708</v>
      </c>
      <c r="S1567"/>
    </row>
    <row r="1568" spans="1:19" x14ac:dyDescent="0.25">
      <c r="A1568" s="86" t="s">
        <v>566</v>
      </c>
      <c r="B1568" t="s">
        <v>157</v>
      </c>
      <c r="D1568">
        <v>51</v>
      </c>
      <c r="E1568">
        <v>92</v>
      </c>
      <c r="K1568">
        <v>143</v>
      </c>
      <c r="N1568" s="72" t="s">
        <v>154</v>
      </c>
      <c r="O1568" s="48" t="s">
        <v>23</v>
      </c>
      <c r="P1568">
        <v>43</v>
      </c>
      <c r="Q1568" s="131">
        <v>27239</v>
      </c>
      <c r="S1568"/>
    </row>
    <row r="1569" spans="1:19" x14ac:dyDescent="0.25">
      <c r="A1569" s="86" t="s">
        <v>263</v>
      </c>
      <c r="B1569" t="s">
        <v>67</v>
      </c>
      <c r="K1569">
        <v>0</v>
      </c>
      <c r="N1569" s="72" t="s">
        <v>12</v>
      </c>
      <c r="O1569" t="s">
        <v>24</v>
      </c>
      <c r="P1569">
        <v>33</v>
      </c>
      <c r="Q1569" s="131">
        <v>30475</v>
      </c>
      <c r="S1569"/>
    </row>
    <row r="1570" spans="1:19" x14ac:dyDescent="0.25">
      <c r="A1570" s="86" t="s">
        <v>444</v>
      </c>
      <c r="B1570" t="s">
        <v>67</v>
      </c>
      <c r="K1570">
        <v>0</v>
      </c>
      <c r="N1570" s="72" t="s">
        <v>12</v>
      </c>
      <c r="O1570" t="s">
        <v>24</v>
      </c>
      <c r="P1570">
        <v>30</v>
      </c>
      <c r="S1570"/>
    </row>
    <row r="1571" spans="1:19" x14ac:dyDescent="0.25">
      <c r="A1571" s="86" t="s">
        <v>2143</v>
      </c>
      <c r="B1571" t="s">
        <v>67</v>
      </c>
      <c r="K1571">
        <v>0</v>
      </c>
      <c r="N1571" s="72" t="s">
        <v>505</v>
      </c>
      <c r="O1571" t="s">
        <v>24</v>
      </c>
      <c r="P1571">
        <v>31</v>
      </c>
      <c r="Q1571" s="131">
        <v>31423</v>
      </c>
      <c r="S1571"/>
    </row>
    <row r="1572" spans="1:19" x14ac:dyDescent="0.25">
      <c r="A1572" s="86" t="s">
        <v>1836</v>
      </c>
      <c r="B1572" t="s">
        <v>157</v>
      </c>
      <c r="K1572">
        <v>0</v>
      </c>
      <c r="N1572" s="72" t="s">
        <v>43</v>
      </c>
      <c r="O1572" t="s">
        <v>23</v>
      </c>
      <c r="P1572">
        <v>39</v>
      </c>
      <c r="Q1572" s="131">
        <v>28627</v>
      </c>
      <c r="S1572"/>
    </row>
    <row r="1573" spans="1:19" x14ac:dyDescent="0.25">
      <c r="A1573" s="86" t="s">
        <v>1508</v>
      </c>
      <c r="B1573" t="s">
        <v>157</v>
      </c>
      <c r="K1573">
        <v>0</v>
      </c>
      <c r="N1573" s="72" t="s">
        <v>12</v>
      </c>
      <c r="O1573" t="s">
        <v>23</v>
      </c>
      <c r="P1573">
        <v>37</v>
      </c>
      <c r="Q1573" s="131">
        <v>28959</v>
      </c>
      <c r="S1573"/>
    </row>
    <row r="1574" spans="1:19" x14ac:dyDescent="0.25">
      <c r="A1574" s="86" t="s">
        <v>910</v>
      </c>
      <c r="B1574" t="s">
        <v>158</v>
      </c>
      <c r="K1574">
        <v>0</v>
      </c>
      <c r="N1574" s="72" t="s">
        <v>109</v>
      </c>
      <c r="O1574" t="s">
        <v>23</v>
      </c>
      <c r="P1574">
        <v>54</v>
      </c>
      <c r="Q1574" s="131">
        <v>22937</v>
      </c>
      <c r="S1574"/>
    </row>
    <row r="1575" spans="1:19" x14ac:dyDescent="0.25">
      <c r="A1575" s="86" t="s">
        <v>823</v>
      </c>
      <c r="B1575" t="s">
        <v>67</v>
      </c>
      <c r="K1575">
        <v>0</v>
      </c>
      <c r="N1575" s="72" t="s">
        <v>12</v>
      </c>
      <c r="O1575" t="s">
        <v>24</v>
      </c>
      <c r="P1575">
        <v>30</v>
      </c>
      <c r="S1575"/>
    </row>
    <row r="1576" spans="1:19" x14ac:dyDescent="0.25">
      <c r="A1576" s="86" t="s">
        <v>665</v>
      </c>
      <c r="B1576" t="s">
        <v>67</v>
      </c>
      <c r="K1576">
        <v>0</v>
      </c>
      <c r="N1576" s="72" t="s">
        <v>653</v>
      </c>
      <c r="O1576" t="s">
        <v>24</v>
      </c>
      <c r="P1576">
        <v>30</v>
      </c>
      <c r="S1576"/>
    </row>
    <row r="1577" spans="1:19" x14ac:dyDescent="0.25">
      <c r="A1577" s="86" t="s">
        <v>685</v>
      </c>
      <c r="B1577" t="s">
        <v>67</v>
      </c>
      <c r="K1577">
        <v>0</v>
      </c>
      <c r="N1577" s="72" t="s">
        <v>653</v>
      </c>
      <c r="O1577" t="s">
        <v>24</v>
      </c>
      <c r="P1577">
        <v>30</v>
      </c>
      <c r="S1577"/>
    </row>
    <row r="1578" spans="1:19" x14ac:dyDescent="0.25">
      <c r="A1578" s="86" t="s">
        <v>766</v>
      </c>
      <c r="B1578" t="s">
        <v>67</v>
      </c>
      <c r="K1578">
        <v>0</v>
      </c>
      <c r="N1578" s="72" t="s">
        <v>817</v>
      </c>
      <c r="O1578" t="s">
        <v>24</v>
      </c>
      <c r="P1578">
        <v>37</v>
      </c>
      <c r="S1578"/>
    </row>
    <row r="1579" spans="1:19" x14ac:dyDescent="0.25">
      <c r="A1579" s="86" t="s">
        <v>676</v>
      </c>
      <c r="B1579" t="s">
        <v>67</v>
      </c>
      <c r="K1579">
        <v>0</v>
      </c>
      <c r="N1579" s="72" t="s">
        <v>657</v>
      </c>
      <c r="O1579" t="s">
        <v>24</v>
      </c>
      <c r="P1579">
        <v>30</v>
      </c>
      <c r="S1579"/>
    </row>
    <row r="1580" spans="1:19" x14ac:dyDescent="0.25">
      <c r="A1580" s="86" t="s">
        <v>522</v>
      </c>
      <c r="B1580" t="s">
        <v>67</v>
      </c>
      <c r="K1580">
        <v>0</v>
      </c>
      <c r="N1580" s="72" t="s">
        <v>108</v>
      </c>
      <c r="O1580" t="s">
        <v>24</v>
      </c>
      <c r="P1580">
        <v>34</v>
      </c>
      <c r="Q1580" s="131">
        <v>30234</v>
      </c>
      <c r="S1580"/>
    </row>
    <row r="1581" spans="1:19" x14ac:dyDescent="0.25">
      <c r="A1581" s="86" t="s">
        <v>541</v>
      </c>
      <c r="B1581" t="s">
        <v>1817</v>
      </c>
      <c r="D1581">
        <v>156</v>
      </c>
      <c r="E1581">
        <v>200</v>
      </c>
      <c r="F1581">
        <v>167</v>
      </c>
      <c r="K1581">
        <v>523</v>
      </c>
      <c r="N1581" s="72" t="s">
        <v>155</v>
      </c>
      <c r="O1581" t="s">
        <v>24</v>
      </c>
      <c r="P1581">
        <v>72</v>
      </c>
      <c r="Q1581" s="131">
        <v>16676</v>
      </c>
      <c r="S1581"/>
    </row>
    <row r="1582" spans="1:19" x14ac:dyDescent="0.25">
      <c r="A1582" s="86" t="s">
        <v>834</v>
      </c>
      <c r="B1582" t="s">
        <v>157</v>
      </c>
      <c r="K1582">
        <v>0</v>
      </c>
      <c r="N1582" s="72" t="s">
        <v>661</v>
      </c>
      <c r="O1582" t="s">
        <v>23</v>
      </c>
      <c r="P1582">
        <v>35</v>
      </c>
      <c r="S1582"/>
    </row>
    <row r="1583" spans="1:19" x14ac:dyDescent="0.25">
      <c r="A1583" s="86" t="s">
        <v>1750</v>
      </c>
      <c r="B1583" t="s">
        <v>156</v>
      </c>
      <c r="K1583">
        <v>0</v>
      </c>
      <c r="N1583" s="72" t="s">
        <v>12</v>
      </c>
      <c r="O1583" t="s">
        <v>23</v>
      </c>
      <c r="P1583">
        <v>27</v>
      </c>
      <c r="Q1583" s="131">
        <v>32906</v>
      </c>
      <c r="S1583"/>
    </row>
    <row r="1584" spans="1:19" x14ac:dyDescent="0.25">
      <c r="A1584" s="86" t="s">
        <v>2360</v>
      </c>
      <c r="B1584" t="s">
        <v>160</v>
      </c>
      <c r="E1584">
        <v>162</v>
      </c>
      <c r="K1584">
        <v>162</v>
      </c>
      <c r="N1584" s="72" t="s">
        <v>12</v>
      </c>
      <c r="O1584" t="s">
        <v>24</v>
      </c>
      <c r="P1584">
        <v>44</v>
      </c>
      <c r="Q1584" s="131">
        <v>27195</v>
      </c>
      <c r="S1584"/>
    </row>
    <row r="1585" spans="1:19" x14ac:dyDescent="0.25">
      <c r="A1585" s="86" t="s">
        <v>1803</v>
      </c>
      <c r="B1585" t="s">
        <v>67</v>
      </c>
      <c r="K1585">
        <v>0</v>
      </c>
      <c r="N1585" s="72" t="s">
        <v>154</v>
      </c>
      <c r="O1585" t="s">
        <v>24</v>
      </c>
      <c r="P1585">
        <v>30</v>
      </c>
      <c r="Q1585" s="131">
        <v>33911</v>
      </c>
      <c r="S1585"/>
    </row>
    <row r="1586" spans="1:19" x14ac:dyDescent="0.25">
      <c r="A1586" s="86" t="s">
        <v>1095</v>
      </c>
      <c r="B1586" t="s">
        <v>160</v>
      </c>
      <c r="K1586">
        <v>0</v>
      </c>
      <c r="N1586" s="72" t="s">
        <v>10</v>
      </c>
      <c r="O1586" t="s">
        <v>24</v>
      </c>
      <c r="P1586">
        <v>44</v>
      </c>
      <c r="S1586"/>
    </row>
    <row r="1587" spans="1:19" x14ac:dyDescent="0.25">
      <c r="A1587" s="86" t="s">
        <v>1036</v>
      </c>
      <c r="B1587" t="s">
        <v>67</v>
      </c>
      <c r="K1587">
        <v>0</v>
      </c>
      <c r="N1587" s="72" t="s">
        <v>12</v>
      </c>
      <c r="O1587" t="s">
        <v>24</v>
      </c>
      <c r="P1587">
        <v>32</v>
      </c>
      <c r="S1587"/>
    </row>
    <row r="1588" spans="1:19" x14ac:dyDescent="0.25">
      <c r="A1588" s="86" t="s">
        <v>1676</v>
      </c>
      <c r="B1588" t="s">
        <v>158</v>
      </c>
      <c r="K1588">
        <v>0</v>
      </c>
      <c r="N1588" s="72" t="s">
        <v>63</v>
      </c>
      <c r="O1588" t="s">
        <v>23</v>
      </c>
      <c r="P1588">
        <v>45</v>
      </c>
      <c r="S1588"/>
    </row>
    <row r="1589" spans="1:19" x14ac:dyDescent="0.25">
      <c r="A1589" s="86" t="s">
        <v>1110</v>
      </c>
      <c r="B1589" t="s">
        <v>158</v>
      </c>
      <c r="K1589">
        <v>0</v>
      </c>
      <c r="N1589" s="72" t="s">
        <v>12</v>
      </c>
      <c r="O1589" t="s">
        <v>23</v>
      </c>
      <c r="P1589">
        <v>48</v>
      </c>
      <c r="S1589"/>
    </row>
    <row r="1590" spans="1:19" x14ac:dyDescent="0.25">
      <c r="A1590" s="86" t="s">
        <v>1172</v>
      </c>
      <c r="B1590" t="s">
        <v>158</v>
      </c>
      <c r="K1590">
        <v>0</v>
      </c>
      <c r="N1590" s="72" t="s">
        <v>38</v>
      </c>
      <c r="O1590" t="s">
        <v>23</v>
      </c>
      <c r="P1590">
        <v>54</v>
      </c>
      <c r="S1590"/>
    </row>
    <row r="1591" spans="1:19" x14ac:dyDescent="0.25">
      <c r="A1591" s="86" t="s">
        <v>1362</v>
      </c>
      <c r="B1591" t="s">
        <v>159</v>
      </c>
      <c r="D1591">
        <v>79</v>
      </c>
      <c r="K1591">
        <v>79</v>
      </c>
      <c r="N1591" s="72" t="s">
        <v>505</v>
      </c>
      <c r="O1591" t="s">
        <v>23</v>
      </c>
      <c r="P1591">
        <v>57</v>
      </c>
      <c r="Q1591" s="131">
        <v>22256</v>
      </c>
      <c r="S1591"/>
    </row>
    <row r="1592" spans="1:19" x14ac:dyDescent="0.25">
      <c r="A1592" s="86" t="s">
        <v>1893</v>
      </c>
      <c r="B1592" t="s">
        <v>158</v>
      </c>
      <c r="E1592">
        <v>153</v>
      </c>
      <c r="K1592">
        <v>153</v>
      </c>
      <c r="N1592" s="72" t="s">
        <v>63</v>
      </c>
      <c r="O1592" t="s">
        <v>23</v>
      </c>
      <c r="P1592">
        <v>47</v>
      </c>
      <c r="Q1592" s="131">
        <v>25855</v>
      </c>
      <c r="S1592"/>
    </row>
    <row r="1593" spans="1:19" x14ac:dyDescent="0.25">
      <c r="A1593" s="86" t="s">
        <v>889</v>
      </c>
      <c r="B1593" t="s">
        <v>156</v>
      </c>
      <c r="K1593">
        <v>0</v>
      </c>
      <c r="N1593" s="72" t="s">
        <v>63</v>
      </c>
      <c r="O1593" t="s">
        <v>23</v>
      </c>
      <c r="P1593">
        <v>27</v>
      </c>
      <c r="S1593"/>
    </row>
    <row r="1594" spans="1:19" x14ac:dyDescent="0.25">
      <c r="A1594" s="86" t="s">
        <v>2021</v>
      </c>
      <c r="B1594" t="s">
        <v>158</v>
      </c>
      <c r="K1594">
        <v>0</v>
      </c>
      <c r="N1594" s="72" t="s">
        <v>505</v>
      </c>
      <c r="O1594" t="s">
        <v>23</v>
      </c>
      <c r="P1594">
        <v>45</v>
      </c>
      <c r="Q1594" s="131">
        <v>26410</v>
      </c>
      <c r="S1594"/>
    </row>
    <row r="1595" spans="1:19" x14ac:dyDescent="0.25">
      <c r="A1595" s="86" t="s">
        <v>783</v>
      </c>
      <c r="B1595" t="s">
        <v>156</v>
      </c>
      <c r="K1595">
        <v>0</v>
      </c>
      <c r="N1595" s="72" t="s">
        <v>657</v>
      </c>
      <c r="O1595" t="s">
        <v>23</v>
      </c>
      <c r="P1595">
        <v>27</v>
      </c>
      <c r="S1595"/>
    </row>
    <row r="1596" spans="1:19" x14ac:dyDescent="0.25">
      <c r="A1596" s="86" t="s">
        <v>625</v>
      </c>
      <c r="B1596" t="s">
        <v>156</v>
      </c>
      <c r="K1596">
        <v>0</v>
      </c>
      <c r="N1596" s="72" t="s">
        <v>154</v>
      </c>
      <c r="O1596" t="s">
        <v>23</v>
      </c>
      <c r="P1596">
        <v>30</v>
      </c>
      <c r="S1596"/>
    </row>
    <row r="1597" spans="1:19" x14ac:dyDescent="0.25">
      <c r="A1597" s="86" t="s">
        <v>1333</v>
      </c>
      <c r="B1597" t="s">
        <v>158</v>
      </c>
      <c r="K1597">
        <v>0</v>
      </c>
      <c r="N1597" s="72" t="s">
        <v>155</v>
      </c>
      <c r="O1597" t="s">
        <v>23</v>
      </c>
      <c r="P1597">
        <v>47</v>
      </c>
      <c r="Q1597" s="131">
        <v>25790</v>
      </c>
      <c r="S1597"/>
    </row>
    <row r="1598" spans="1:19" x14ac:dyDescent="0.25">
      <c r="A1598" s="86" t="s">
        <v>251</v>
      </c>
      <c r="B1598" s="48" t="s">
        <v>157</v>
      </c>
      <c r="C1598">
        <v>29</v>
      </c>
      <c r="F1598">
        <v>31</v>
      </c>
      <c r="K1598">
        <v>60</v>
      </c>
      <c r="N1598" s="72" t="s">
        <v>63</v>
      </c>
      <c r="O1598" t="s">
        <v>23</v>
      </c>
      <c r="P1598">
        <v>44</v>
      </c>
      <c r="Q1598" s="131">
        <v>27202</v>
      </c>
      <c r="S1598"/>
    </row>
    <row r="1599" spans="1:19" x14ac:dyDescent="0.25">
      <c r="A1599" s="86" t="s">
        <v>379</v>
      </c>
      <c r="B1599" t="s">
        <v>157</v>
      </c>
      <c r="C1599">
        <v>35</v>
      </c>
      <c r="E1599">
        <v>46</v>
      </c>
      <c r="K1599">
        <v>81</v>
      </c>
      <c r="N1599" s="72" t="s">
        <v>12</v>
      </c>
      <c r="O1599" t="s">
        <v>23</v>
      </c>
      <c r="P1599">
        <v>42</v>
      </c>
      <c r="Q1599" s="131">
        <v>27771</v>
      </c>
      <c r="S1599"/>
    </row>
    <row r="1600" spans="1:19" x14ac:dyDescent="0.25">
      <c r="A1600" s="86" t="s">
        <v>1956</v>
      </c>
      <c r="B1600" t="s">
        <v>157</v>
      </c>
      <c r="C1600">
        <v>2</v>
      </c>
      <c r="D1600">
        <v>2</v>
      </c>
      <c r="E1600">
        <v>2</v>
      </c>
      <c r="F1600">
        <v>2</v>
      </c>
      <c r="K1600">
        <v>8</v>
      </c>
      <c r="N1600" s="72" t="s">
        <v>154</v>
      </c>
      <c r="O1600" t="s">
        <v>23</v>
      </c>
      <c r="P1600">
        <v>41</v>
      </c>
      <c r="Q1600" s="131">
        <v>28301</v>
      </c>
      <c r="S1600"/>
    </row>
    <row r="1601" spans="1:19" x14ac:dyDescent="0.25">
      <c r="A1601" s="86" t="s">
        <v>1059</v>
      </c>
      <c r="B1601" t="s">
        <v>157</v>
      </c>
      <c r="D1601">
        <v>15</v>
      </c>
      <c r="E1601">
        <v>16</v>
      </c>
      <c r="K1601">
        <v>31</v>
      </c>
      <c r="N1601" s="72" t="s">
        <v>154</v>
      </c>
      <c r="O1601" t="s">
        <v>23</v>
      </c>
      <c r="P1601">
        <v>35</v>
      </c>
      <c r="Q1601" s="131">
        <v>30221</v>
      </c>
      <c r="S1601"/>
    </row>
    <row r="1602" spans="1:19" x14ac:dyDescent="0.25">
      <c r="A1602" s="86" t="s">
        <v>2299</v>
      </c>
      <c r="B1602" t="s">
        <v>157</v>
      </c>
      <c r="D1602">
        <v>108</v>
      </c>
      <c r="K1602">
        <v>108</v>
      </c>
      <c r="N1602" s="72" t="s">
        <v>155</v>
      </c>
      <c r="O1602" t="s">
        <v>23</v>
      </c>
      <c r="P1602">
        <v>43</v>
      </c>
      <c r="Q1602" s="131">
        <v>27301</v>
      </c>
      <c r="S1602"/>
    </row>
    <row r="1603" spans="1:19" x14ac:dyDescent="0.25">
      <c r="A1603" s="86" t="s">
        <v>2343</v>
      </c>
      <c r="B1603" t="s">
        <v>157</v>
      </c>
      <c r="E1603">
        <v>24</v>
      </c>
      <c r="F1603">
        <v>11</v>
      </c>
      <c r="K1603">
        <v>35</v>
      </c>
      <c r="N1603" s="72" t="s">
        <v>12</v>
      </c>
      <c r="O1603" t="s">
        <v>23</v>
      </c>
      <c r="P1603">
        <v>42</v>
      </c>
      <c r="Q1603" s="131">
        <v>27648</v>
      </c>
      <c r="S1603"/>
    </row>
    <row r="1604" spans="1:19" x14ac:dyDescent="0.25">
      <c r="A1604" s="86" t="s">
        <v>1166</v>
      </c>
      <c r="B1604" t="s">
        <v>157</v>
      </c>
      <c r="K1604">
        <v>0</v>
      </c>
      <c r="N1604" s="72" t="s">
        <v>51</v>
      </c>
      <c r="O1604" t="s">
        <v>23</v>
      </c>
      <c r="P1604">
        <v>44</v>
      </c>
      <c r="S1604"/>
    </row>
    <row r="1605" spans="1:19" x14ac:dyDescent="0.25">
      <c r="A1605" s="86" t="s">
        <v>1791</v>
      </c>
      <c r="B1605" t="s">
        <v>158</v>
      </c>
      <c r="D1605">
        <v>80</v>
      </c>
      <c r="K1605">
        <v>80</v>
      </c>
      <c r="N1605" s="72" t="s">
        <v>12</v>
      </c>
      <c r="O1605" t="s">
        <v>23</v>
      </c>
      <c r="P1605">
        <v>49</v>
      </c>
      <c r="Q1605" s="131">
        <v>25120</v>
      </c>
      <c r="S1605"/>
    </row>
    <row r="1606" spans="1:19" x14ac:dyDescent="0.25">
      <c r="A1606" s="86" t="s">
        <v>1626</v>
      </c>
      <c r="B1606" t="s">
        <v>156</v>
      </c>
      <c r="K1606">
        <v>0</v>
      </c>
      <c r="N1606" s="72" t="s">
        <v>1627</v>
      </c>
      <c r="O1606" t="s">
        <v>23</v>
      </c>
      <c r="P1606">
        <v>29</v>
      </c>
      <c r="Q1606" s="131">
        <v>31681</v>
      </c>
      <c r="S1606"/>
    </row>
    <row r="1607" spans="1:19" x14ac:dyDescent="0.25">
      <c r="A1607" s="86" t="s">
        <v>2239</v>
      </c>
      <c r="B1607" t="s">
        <v>156</v>
      </c>
      <c r="C1607">
        <v>79</v>
      </c>
      <c r="E1607">
        <v>122</v>
      </c>
      <c r="K1607">
        <v>201</v>
      </c>
      <c r="N1607" s="72" t="s">
        <v>63</v>
      </c>
      <c r="O1607" t="s">
        <v>23</v>
      </c>
      <c r="P1607">
        <v>32</v>
      </c>
      <c r="Q1607" s="131">
        <v>31402</v>
      </c>
      <c r="S1607"/>
    </row>
    <row r="1608" spans="1:19" x14ac:dyDescent="0.25">
      <c r="A1608" s="86" t="s">
        <v>1930</v>
      </c>
      <c r="B1608" t="s">
        <v>156</v>
      </c>
      <c r="K1608">
        <v>0</v>
      </c>
      <c r="N1608" s="72" t="s">
        <v>43</v>
      </c>
      <c r="O1608" t="s">
        <v>23</v>
      </c>
      <c r="P1608">
        <v>33</v>
      </c>
      <c r="Q1608" s="131">
        <v>30792</v>
      </c>
      <c r="S1608"/>
    </row>
    <row r="1609" spans="1:19" x14ac:dyDescent="0.25">
      <c r="A1609" s="86" t="s">
        <v>1487</v>
      </c>
      <c r="B1609" t="s">
        <v>156</v>
      </c>
      <c r="K1609">
        <v>0</v>
      </c>
      <c r="N1609" s="72" t="s">
        <v>12</v>
      </c>
      <c r="O1609" t="s">
        <v>23</v>
      </c>
      <c r="P1609">
        <v>28</v>
      </c>
      <c r="Q1609" s="131">
        <v>32181</v>
      </c>
      <c r="S1609"/>
    </row>
    <row r="1610" spans="1:19" x14ac:dyDescent="0.25">
      <c r="A1610" s="86" t="s">
        <v>2478</v>
      </c>
      <c r="B1610" t="s">
        <v>156</v>
      </c>
      <c r="F1610">
        <v>25</v>
      </c>
      <c r="K1610">
        <v>25</v>
      </c>
      <c r="N1610" s="72" t="s">
        <v>505</v>
      </c>
      <c r="O1610" t="s">
        <v>23</v>
      </c>
      <c r="P1610">
        <v>32</v>
      </c>
      <c r="S1610"/>
    </row>
    <row r="1611" spans="1:19" x14ac:dyDescent="0.25">
      <c r="A1611" s="86" t="s">
        <v>1175</v>
      </c>
      <c r="B1611" t="s">
        <v>156</v>
      </c>
      <c r="K1611">
        <v>0</v>
      </c>
      <c r="N1611" s="72" t="s">
        <v>817</v>
      </c>
      <c r="O1611" t="s">
        <v>23</v>
      </c>
      <c r="P1611">
        <v>17</v>
      </c>
      <c r="S1611"/>
    </row>
    <row r="1612" spans="1:19" x14ac:dyDescent="0.25">
      <c r="A1612" s="86" t="s">
        <v>253</v>
      </c>
      <c r="B1612" t="s">
        <v>157</v>
      </c>
      <c r="C1612">
        <v>78</v>
      </c>
      <c r="F1612">
        <v>72</v>
      </c>
      <c r="K1612">
        <v>150</v>
      </c>
      <c r="N1612" s="72" t="s">
        <v>63</v>
      </c>
      <c r="O1612" t="s">
        <v>23</v>
      </c>
      <c r="P1612">
        <v>43</v>
      </c>
      <c r="Q1612" s="131">
        <v>27562</v>
      </c>
      <c r="S1612"/>
    </row>
    <row r="1613" spans="1:19" x14ac:dyDescent="0.25">
      <c r="A1613" s="86" t="s">
        <v>2303</v>
      </c>
      <c r="B1613" t="s">
        <v>158</v>
      </c>
      <c r="D1613">
        <v>87</v>
      </c>
      <c r="K1613">
        <v>87</v>
      </c>
      <c r="N1613" s="72" t="s">
        <v>63</v>
      </c>
      <c r="O1613" t="s">
        <v>23</v>
      </c>
      <c r="P1613">
        <v>52</v>
      </c>
      <c r="Q1613" s="131">
        <v>23910</v>
      </c>
      <c r="S1613"/>
    </row>
    <row r="1614" spans="1:19" x14ac:dyDescent="0.25">
      <c r="A1614" s="86" t="s">
        <v>1571</v>
      </c>
      <c r="B1614" t="s">
        <v>161</v>
      </c>
      <c r="C1614">
        <v>99</v>
      </c>
      <c r="D1614">
        <v>92</v>
      </c>
      <c r="K1614">
        <v>191</v>
      </c>
      <c r="N1614" s="72" t="s">
        <v>108</v>
      </c>
      <c r="O1614" t="s">
        <v>24</v>
      </c>
      <c r="P1614">
        <v>57</v>
      </c>
      <c r="Q1614" s="131">
        <v>22100</v>
      </c>
      <c r="S1614"/>
    </row>
    <row r="1615" spans="1:19" x14ac:dyDescent="0.25">
      <c r="A1615" s="86" t="s">
        <v>2301</v>
      </c>
      <c r="B1615" t="s">
        <v>67</v>
      </c>
      <c r="D1615">
        <v>116</v>
      </c>
      <c r="K1615">
        <v>116</v>
      </c>
      <c r="N1615" s="72" t="s">
        <v>1805</v>
      </c>
      <c r="O1615" t="s">
        <v>24</v>
      </c>
      <c r="P1615">
        <v>32</v>
      </c>
      <c r="Q1615" s="131">
        <v>31469</v>
      </c>
      <c r="S1615"/>
    </row>
    <row r="1616" spans="1:19" x14ac:dyDescent="0.25">
      <c r="A1616" s="86" t="s">
        <v>1008</v>
      </c>
      <c r="B1616" s="48" t="s">
        <v>160</v>
      </c>
      <c r="K1616">
        <v>0</v>
      </c>
      <c r="N1616" s="85" t="s">
        <v>1325</v>
      </c>
      <c r="O1616" t="s">
        <v>24</v>
      </c>
      <c r="P1616">
        <v>45</v>
      </c>
      <c r="S1616"/>
    </row>
    <row r="1617" spans="1:19" x14ac:dyDescent="0.25">
      <c r="A1617" s="86" t="s">
        <v>1033</v>
      </c>
      <c r="B1617" t="s">
        <v>160</v>
      </c>
      <c r="C1617">
        <v>25</v>
      </c>
      <c r="D1617">
        <v>30</v>
      </c>
      <c r="E1617">
        <v>28</v>
      </c>
      <c r="F1617">
        <v>16</v>
      </c>
      <c r="K1617">
        <v>99</v>
      </c>
      <c r="N1617" s="72" t="s">
        <v>12</v>
      </c>
      <c r="O1617" t="s">
        <v>24</v>
      </c>
      <c r="P1617">
        <v>43</v>
      </c>
      <c r="Q1617" s="131">
        <v>27550</v>
      </c>
      <c r="S1617"/>
    </row>
    <row r="1618" spans="1:19" x14ac:dyDescent="0.25">
      <c r="A1618" s="86" t="s">
        <v>1538</v>
      </c>
      <c r="B1618" t="s">
        <v>160</v>
      </c>
      <c r="K1618">
        <v>0</v>
      </c>
      <c r="N1618" s="72" t="s">
        <v>14</v>
      </c>
      <c r="O1618" t="s">
        <v>24</v>
      </c>
      <c r="S1618"/>
    </row>
    <row r="1619" spans="1:19" x14ac:dyDescent="0.25">
      <c r="A1619" s="86" t="s">
        <v>2161</v>
      </c>
      <c r="B1619" t="s">
        <v>67</v>
      </c>
      <c r="K1619">
        <v>0</v>
      </c>
      <c r="N1619" s="72" t="s">
        <v>505</v>
      </c>
      <c r="O1619" t="s">
        <v>24</v>
      </c>
      <c r="P1619">
        <v>20</v>
      </c>
      <c r="S1619"/>
    </row>
    <row r="1620" spans="1:19" x14ac:dyDescent="0.25">
      <c r="A1620" s="86" t="s">
        <v>1531</v>
      </c>
      <c r="B1620" t="s">
        <v>67</v>
      </c>
      <c r="K1620">
        <v>0</v>
      </c>
      <c r="N1620" s="72" t="s">
        <v>657</v>
      </c>
      <c r="O1620" t="s">
        <v>24</v>
      </c>
      <c r="S1620"/>
    </row>
    <row r="1621" spans="1:19" x14ac:dyDescent="0.25">
      <c r="A1621" s="86" t="s">
        <v>1863</v>
      </c>
      <c r="B1621" t="s">
        <v>160</v>
      </c>
      <c r="K1621">
        <v>0</v>
      </c>
      <c r="N1621" s="72" t="s">
        <v>1926</v>
      </c>
      <c r="O1621" t="s">
        <v>24</v>
      </c>
      <c r="P1621">
        <v>46</v>
      </c>
      <c r="Q1621" s="131">
        <v>25947</v>
      </c>
      <c r="S1621"/>
    </row>
    <row r="1622" spans="1:19" x14ac:dyDescent="0.25">
      <c r="A1622" s="86" t="s">
        <v>931</v>
      </c>
      <c r="B1622" s="48" t="s">
        <v>161</v>
      </c>
      <c r="K1622">
        <v>0</v>
      </c>
      <c r="N1622" s="72" t="s">
        <v>932</v>
      </c>
      <c r="O1622" t="s">
        <v>24</v>
      </c>
      <c r="P1622">
        <v>57</v>
      </c>
      <c r="S1622"/>
    </row>
    <row r="1623" spans="1:19" x14ac:dyDescent="0.25">
      <c r="A1623" s="86" t="s">
        <v>810</v>
      </c>
      <c r="B1623" t="s">
        <v>67</v>
      </c>
      <c r="K1623">
        <v>0</v>
      </c>
      <c r="N1623" s="72" t="s">
        <v>155</v>
      </c>
      <c r="O1623" t="s">
        <v>24</v>
      </c>
      <c r="P1623">
        <v>18</v>
      </c>
      <c r="S1623"/>
    </row>
    <row r="1624" spans="1:19" x14ac:dyDescent="0.25">
      <c r="A1624" s="86" t="s">
        <v>1808</v>
      </c>
      <c r="B1624" t="s">
        <v>67</v>
      </c>
      <c r="C1624">
        <v>15</v>
      </c>
      <c r="D1624">
        <v>17</v>
      </c>
      <c r="E1624">
        <v>13</v>
      </c>
      <c r="F1624">
        <v>12</v>
      </c>
      <c r="K1624">
        <v>57</v>
      </c>
      <c r="N1624" s="72" t="s">
        <v>108</v>
      </c>
      <c r="O1624" t="s">
        <v>24</v>
      </c>
      <c r="P1624">
        <v>35</v>
      </c>
      <c r="Q1624" s="131">
        <v>30444</v>
      </c>
      <c r="S1624"/>
    </row>
    <row r="1625" spans="1:19" x14ac:dyDescent="0.25">
      <c r="A1625" s="86" t="s">
        <v>957</v>
      </c>
      <c r="B1625" t="s">
        <v>67</v>
      </c>
      <c r="K1625">
        <v>0</v>
      </c>
      <c r="N1625" s="72" t="s">
        <v>63</v>
      </c>
      <c r="O1625" t="s">
        <v>24</v>
      </c>
      <c r="P1625">
        <v>32</v>
      </c>
      <c r="Q1625" s="131">
        <v>30595</v>
      </c>
      <c r="S1625"/>
    </row>
    <row r="1626" spans="1:19" x14ac:dyDescent="0.25">
      <c r="A1626" s="86" t="s">
        <v>411</v>
      </c>
      <c r="B1626" t="s">
        <v>67</v>
      </c>
      <c r="E1626">
        <v>66</v>
      </c>
      <c r="F1626">
        <v>58</v>
      </c>
      <c r="K1626">
        <v>124</v>
      </c>
      <c r="N1626" s="72" t="s">
        <v>12</v>
      </c>
      <c r="O1626" t="s">
        <v>24</v>
      </c>
      <c r="P1626">
        <v>32</v>
      </c>
      <c r="Q1626" s="131">
        <v>31478</v>
      </c>
      <c r="S1626"/>
    </row>
    <row r="1627" spans="1:19" x14ac:dyDescent="0.25">
      <c r="A1627" s="86" t="s">
        <v>186</v>
      </c>
      <c r="B1627" t="s">
        <v>161</v>
      </c>
      <c r="C1627">
        <v>76</v>
      </c>
      <c r="D1627">
        <v>70</v>
      </c>
      <c r="E1627">
        <v>95</v>
      </c>
      <c r="F1627">
        <v>86</v>
      </c>
      <c r="K1627">
        <v>327</v>
      </c>
      <c r="N1627" s="72" t="s">
        <v>12</v>
      </c>
      <c r="O1627" t="s">
        <v>24</v>
      </c>
      <c r="P1627">
        <v>52</v>
      </c>
      <c r="Q1627" s="131">
        <v>24159</v>
      </c>
      <c r="S1627"/>
    </row>
    <row r="1628" spans="1:19" x14ac:dyDescent="0.25">
      <c r="A1628" s="86" t="s">
        <v>1416</v>
      </c>
      <c r="B1628" t="s">
        <v>158</v>
      </c>
      <c r="D1628">
        <v>104</v>
      </c>
      <c r="K1628">
        <v>104</v>
      </c>
      <c r="N1628" s="72" t="s">
        <v>38</v>
      </c>
      <c r="O1628" t="s">
        <v>23</v>
      </c>
      <c r="P1628">
        <v>51</v>
      </c>
      <c r="Q1628" s="131">
        <v>24438</v>
      </c>
      <c r="S1628"/>
    </row>
    <row r="1629" spans="1:19" x14ac:dyDescent="0.25">
      <c r="A1629" s="86" t="s">
        <v>1459</v>
      </c>
      <c r="B1629" t="s">
        <v>156</v>
      </c>
      <c r="K1629">
        <v>0</v>
      </c>
      <c r="N1629" s="72" t="s">
        <v>63</v>
      </c>
      <c r="O1629" t="s">
        <v>23</v>
      </c>
      <c r="P1629">
        <v>25</v>
      </c>
      <c r="Q1629" s="131">
        <v>33242</v>
      </c>
      <c r="S1629"/>
    </row>
    <row r="1630" spans="1:19" x14ac:dyDescent="0.25">
      <c r="A1630" s="86" t="s">
        <v>1139</v>
      </c>
      <c r="B1630" t="s">
        <v>156</v>
      </c>
      <c r="K1630">
        <v>0</v>
      </c>
      <c r="N1630" s="72" t="s">
        <v>155</v>
      </c>
      <c r="O1630" t="s">
        <v>23</v>
      </c>
      <c r="P1630">
        <v>18</v>
      </c>
      <c r="S1630"/>
    </row>
    <row r="1631" spans="1:19" x14ac:dyDescent="0.25">
      <c r="A1631" s="86" t="s">
        <v>494</v>
      </c>
      <c r="B1631" t="s">
        <v>158</v>
      </c>
      <c r="K1631">
        <v>0</v>
      </c>
      <c r="N1631" s="72" t="s">
        <v>38</v>
      </c>
      <c r="O1631" t="s">
        <v>23</v>
      </c>
      <c r="P1631">
        <v>51</v>
      </c>
      <c r="S1631"/>
    </row>
    <row r="1632" spans="1:19" x14ac:dyDescent="0.25">
      <c r="A1632" s="86" t="s">
        <v>279</v>
      </c>
      <c r="B1632" t="s">
        <v>159</v>
      </c>
      <c r="C1632">
        <v>48</v>
      </c>
      <c r="E1632">
        <v>73</v>
      </c>
      <c r="K1632">
        <v>121</v>
      </c>
      <c r="N1632" s="72" t="s">
        <v>108</v>
      </c>
      <c r="O1632" t="s">
        <v>23</v>
      </c>
      <c r="P1632">
        <v>61</v>
      </c>
      <c r="Q1632" s="131">
        <v>20906</v>
      </c>
      <c r="S1632"/>
    </row>
    <row r="1633" spans="1:19" x14ac:dyDescent="0.25">
      <c r="A1633" s="86" t="s">
        <v>756</v>
      </c>
      <c r="B1633" t="s">
        <v>158</v>
      </c>
      <c r="C1633">
        <v>112</v>
      </c>
      <c r="D1633">
        <v>98</v>
      </c>
      <c r="E1633">
        <v>160</v>
      </c>
      <c r="K1633">
        <v>370</v>
      </c>
      <c r="N1633" s="72" t="s">
        <v>155</v>
      </c>
      <c r="O1633" t="s">
        <v>23</v>
      </c>
      <c r="P1633">
        <v>48</v>
      </c>
      <c r="Q1633" s="131">
        <v>25582</v>
      </c>
      <c r="S1633"/>
    </row>
    <row r="1634" spans="1:19" x14ac:dyDescent="0.25">
      <c r="A1634" s="86" t="s">
        <v>420</v>
      </c>
      <c r="B1634" t="s">
        <v>157</v>
      </c>
      <c r="K1634">
        <v>0</v>
      </c>
      <c r="N1634" s="72" t="s">
        <v>12</v>
      </c>
      <c r="O1634" t="s">
        <v>23</v>
      </c>
      <c r="P1634">
        <v>41</v>
      </c>
      <c r="S1634"/>
    </row>
    <row r="1635" spans="1:19" x14ac:dyDescent="0.25">
      <c r="A1635" s="86" t="s">
        <v>1573</v>
      </c>
      <c r="B1635" t="s">
        <v>158</v>
      </c>
      <c r="K1635">
        <v>0</v>
      </c>
      <c r="N1635" s="72" t="s">
        <v>14</v>
      </c>
      <c r="O1635" t="s">
        <v>23</v>
      </c>
      <c r="S1635"/>
    </row>
    <row r="1636" spans="1:19" x14ac:dyDescent="0.25">
      <c r="A1636" s="86" t="s">
        <v>959</v>
      </c>
      <c r="B1636" t="s">
        <v>67</v>
      </c>
      <c r="K1636">
        <v>0</v>
      </c>
      <c r="N1636" s="72" t="s">
        <v>12</v>
      </c>
      <c r="O1636" t="s">
        <v>24</v>
      </c>
      <c r="P1636">
        <v>30</v>
      </c>
      <c r="Q1636" s="131">
        <v>31972</v>
      </c>
      <c r="S1636"/>
    </row>
    <row r="1637" spans="1:19" x14ac:dyDescent="0.25">
      <c r="A1637" s="86" t="s">
        <v>291</v>
      </c>
      <c r="B1637" t="s">
        <v>156</v>
      </c>
      <c r="K1637">
        <v>0</v>
      </c>
      <c r="N1637" s="72" t="s">
        <v>12</v>
      </c>
      <c r="O1637" t="s">
        <v>23</v>
      </c>
      <c r="P1637">
        <v>30</v>
      </c>
      <c r="Q1637" s="131">
        <v>31559</v>
      </c>
      <c r="S1637"/>
    </row>
    <row r="1638" spans="1:19" x14ac:dyDescent="0.25">
      <c r="A1638" s="86" t="s">
        <v>1598</v>
      </c>
      <c r="B1638" t="s">
        <v>161</v>
      </c>
      <c r="K1638">
        <v>0</v>
      </c>
      <c r="N1638" s="72" t="s">
        <v>14</v>
      </c>
      <c r="O1638" t="s">
        <v>24</v>
      </c>
      <c r="P1638">
        <v>51</v>
      </c>
      <c r="Q1638" s="131">
        <v>24107</v>
      </c>
      <c r="S1638"/>
    </row>
    <row r="1639" spans="1:19" x14ac:dyDescent="0.25">
      <c r="A1639" s="86" t="s">
        <v>511</v>
      </c>
      <c r="B1639" t="s">
        <v>159</v>
      </c>
      <c r="C1639">
        <v>53</v>
      </c>
      <c r="E1639">
        <v>82</v>
      </c>
      <c r="F1639">
        <v>54</v>
      </c>
      <c r="K1639">
        <v>189</v>
      </c>
      <c r="N1639" s="72" t="s">
        <v>12</v>
      </c>
      <c r="O1639" t="s">
        <v>23</v>
      </c>
      <c r="P1639">
        <v>59</v>
      </c>
      <c r="Q1639" s="131">
        <v>21703</v>
      </c>
      <c r="S1639"/>
    </row>
    <row r="1640" spans="1:19" x14ac:dyDescent="0.25">
      <c r="A1640" s="86" t="s">
        <v>1027</v>
      </c>
      <c r="B1640" t="s">
        <v>159</v>
      </c>
      <c r="K1640">
        <v>0</v>
      </c>
      <c r="N1640" s="72" t="s">
        <v>14</v>
      </c>
      <c r="O1640" t="s">
        <v>23</v>
      </c>
      <c r="P1640">
        <v>55</v>
      </c>
      <c r="S1640"/>
    </row>
    <row r="1641" spans="1:19" x14ac:dyDescent="0.25">
      <c r="A1641" s="86" t="s">
        <v>1141</v>
      </c>
      <c r="B1641" t="s">
        <v>158</v>
      </c>
      <c r="K1641">
        <v>0</v>
      </c>
      <c r="N1641" s="72" t="s">
        <v>108</v>
      </c>
      <c r="O1641" t="s">
        <v>23</v>
      </c>
      <c r="P1641">
        <v>52</v>
      </c>
      <c r="Q1641" s="131" t="s">
        <v>1932</v>
      </c>
      <c r="S1641"/>
    </row>
    <row r="1642" spans="1:19" x14ac:dyDescent="0.25">
      <c r="A1642" s="86" t="s">
        <v>250</v>
      </c>
      <c r="B1642" t="s">
        <v>158</v>
      </c>
      <c r="K1642">
        <v>0</v>
      </c>
      <c r="N1642" s="72" t="s">
        <v>63</v>
      </c>
      <c r="O1642" t="s">
        <v>23</v>
      </c>
      <c r="P1642">
        <v>53</v>
      </c>
      <c r="Q1642" s="131">
        <v>23429</v>
      </c>
      <c r="S1642"/>
    </row>
    <row r="1643" spans="1:19" x14ac:dyDescent="0.25">
      <c r="A1643" s="86" t="s">
        <v>639</v>
      </c>
      <c r="B1643" t="s">
        <v>158</v>
      </c>
      <c r="K1643">
        <v>0</v>
      </c>
      <c r="N1643" s="72" t="s">
        <v>63</v>
      </c>
      <c r="O1643" t="s">
        <v>23</v>
      </c>
      <c r="P1643">
        <v>45</v>
      </c>
      <c r="S1643"/>
    </row>
    <row r="1644" spans="1:19" x14ac:dyDescent="0.25">
      <c r="A1644" s="86" t="s">
        <v>2392</v>
      </c>
      <c r="B1644" t="s">
        <v>156</v>
      </c>
      <c r="E1644">
        <v>156</v>
      </c>
      <c r="K1644">
        <v>156</v>
      </c>
      <c r="N1644" s="72" t="s">
        <v>1805</v>
      </c>
      <c r="O1644" t="s">
        <v>23</v>
      </c>
      <c r="P1644">
        <v>33</v>
      </c>
      <c r="Q1644" s="131">
        <v>31160</v>
      </c>
      <c r="S1644"/>
    </row>
    <row r="1645" spans="1:19" x14ac:dyDescent="0.25">
      <c r="A1645" s="86" t="s">
        <v>256</v>
      </c>
      <c r="B1645" t="s">
        <v>67</v>
      </c>
      <c r="K1645">
        <v>0</v>
      </c>
      <c r="N1645" s="72" t="s">
        <v>12</v>
      </c>
      <c r="O1645" t="s">
        <v>24</v>
      </c>
      <c r="P1645">
        <v>28</v>
      </c>
      <c r="S1645"/>
    </row>
    <row r="1646" spans="1:19" x14ac:dyDescent="0.25">
      <c r="A1646" s="86" t="s">
        <v>1530</v>
      </c>
      <c r="B1646" t="s">
        <v>160</v>
      </c>
      <c r="K1646">
        <v>0</v>
      </c>
      <c r="N1646" s="72" t="s">
        <v>653</v>
      </c>
      <c r="O1646" t="s">
        <v>24</v>
      </c>
      <c r="S1646"/>
    </row>
    <row r="1647" spans="1:19" x14ac:dyDescent="0.25">
      <c r="A1647" s="86" t="s">
        <v>1828</v>
      </c>
      <c r="B1647" t="s">
        <v>160</v>
      </c>
      <c r="K1647">
        <v>0</v>
      </c>
      <c r="N1647" s="72" t="s">
        <v>14</v>
      </c>
      <c r="O1647" t="s">
        <v>24</v>
      </c>
      <c r="P1647">
        <v>47</v>
      </c>
      <c r="Q1647" s="131">
        <v>25613</v>
      </c>
      <c r="S1647"/>
    </row>
    <row r="1648" spans="1:19" x14ac:dyDescent="0.25">
      <c r="A1648" s="86" t="s">
        <v>930</v>
      </c>
      <c r="B1648" t="s">
        <v>67</v>
      </c>
      <c r="K1648">
        <v>0</v>
      </c>
      <c r="N1648" s="72" t="s">
        <v>154</v>
      </c>
      <c r="O1648" t="s">
        <v>24</v>
      </c>
      <c r="P1648">
        <v>37</v>
      </c>
      <c r="Q1648" s="131">
        <v>29306</v>
      </c>
      <c r="S1648"/>
    </row>
    <row r="1649" spans="1:19" x14ac:dyDescent="0.25">
      <c r="A1649" s="86" t="s">
        <v>1556</v>
      </c>
      <c r="B1649" t="s">
        <v>161</v>
      </c>
      <c r="K1649">
        <v>0</v>
      </c>
      <c r="N1649" s="72" t="s">
        <v>656</v>
      </c>
      <c r="O1649" t="s">
        <v>24</v>
      </c>
      <c r="S1649"/>
    </row>
    <row r="1650" spans="1:19" x14ac:dyDescent="0.25">
      <c r="A1650" s="86" t="s">
        <v>607</v>
      </c>
      <c r="B1650" t="s">
        <v>160</v>
      </c>
      <c r="K1650">
        <v>0</v>
      </c>
      <c r="N1650" s="72" t="s">
        <v>154</v>
      </c>
      <c r="O1650" t="s">
        <v>24</v>
      </c>
      <c r="P1650">
        <v>45</v>
      </c>
      <c r="S1650"/>
    </row>
    <row r="1651" spans="1:19" x14ac:dyDescent="0.25">
      <c r="A1651" s="86" t="s">
        <v>295</v>
      </c>
      <c r="B1651" t="s">
        <v>160</v>
      </c>
      <c r="K1651">
        <v>0</v>
      </c>
      <c r="N1651" s="72" t="s">
        <v>10</v>
      </c>
      <c r="O1651" t="s">
        <v>24</v>
      </c>
      <c r="P1651">
        <v>45</v>
      </c>
      <c r="S1651"/>
    </row>
    <row r="1652" spans="1:19" x14ac:dyDescent="0.25">
      <c r="A1652" s="86" t="s">
        <v>1966</v>
      </c>
      <c r="B1652" t="s">
        <v>161</v>
      </c>
      <c r="K1652">
        <v>0</v>
      </c>
      <c r="N1652" s="72" t="s">
        <v>14</v>
      </c>
      <c r="O1652" t="s">
        <v>24</v>
      </c>
      <c r="S1652"/>
    </row>
    <row r="1653" spans="1:19" x14ac:dyDescent="0.25">
      <c r="A1653" s="86" t="s">
        <v>1239</v>
      </c>
      <c r="B1653" t="s">
        <v>161</v>
      </c>
      <c r="K1653">
        <v>0</v>
      </c>
      <c r="N1653" s="72" t="s">
        <v>503</v>
      </c>
      <c r="O1653" t="s">
        <v>24</v>
      </c>
      <c r="P1653">
        <v>51</v>
      </c>
      <c r="S1653"/>
    </row>
    <row r="1654" spans="1:19" x14ac:dyDescent="0.25">
      <c r="A1654" s="86" t="s">
        <v>908</v>
      </c>
      <c r="B1654" t="s">
        <v>161</v>
      </c>
      <c r="K1654">
        <v>0</v>
      </c>
      <c r="N1654" s="72" t="s">
        <v>123</v>
      </c>
      <c r="O1654" t="s">
        <v>24</v>
      </c>
      <c r="P1654">
        <v>58</v>
      </c>
      <c r="S1654"/>
    </row>
    <row r="1655" spans="1:19" x14ac:dyDescent="0.25">
      <c r="A1655" s="86" t="s">
        <v>1361</v>
      </c>
      <c r="B1655" s="48" t="s">
        <v>160</v>
      </c>
      <c r="E1655">
        <v>21</v>
      </c>
      <c r="F1655">
        <v>22</v>
      </c>
      <c r="K1655">
        <v>43</v>
      </c>
      <c r="N1655" s="72" t="s">
        <v>63</v>
      </c>
      <c r="O1655" t="s">
        <v>24</v>
      </c>
      <c r="P1655">
        <v>45</v>
      </c>
      <c r="Q1655" s="131">
        <v>26591</v>
      </c>
      <c r="S1655"/>
    </row>
    <row r="1656" spans="1:19" x14ac:dyDescent="0.25">
      <c r="A1656" s="86" t="s">
        <v>232</v>
      </c>
      <c r="B1656" t="s">
        <v>160</v>
      </c>
      <c r="C1656">
        <v>133</v>
      </c>
      <c r="E1656">
        <v>168</v>
      </c>
      <c r="F1656">
        <v>137</v>
      </c>
      <c r="K1656">
        <v>438</v>
      </c>
      <c r="N1656" s="72" t="s">
        <v>38</v>
      </c>
      <c r="O1656" t="s">
        <v>24</v>
      </c>
      <c r="P1656">
        <v>43</v>
      </c>
      <c r="Q1656" s="131">
        <v>27243</v>
      </c>
      <c r="S1656"/>
    </row>
    <row r="1657" spans="1:19" x14ac:dyDescent="0.25">
      <c r="A1657" s="86" t="s">
        <v>2313</v>
      </c>
      <c r="B1657" t="s">
        <v>160</v>
      </c>
      <c r="D1657">
        <v>129</v>
      </c>
      <c r="K1657">
        <v>129</v>
      </c>
      <c r="N1657" s="72" t="s">
        <v>38</v>
      </c>
      <c r="O1657" t="s">
        <v>24</v>
      </c>
      <c r="S1657"/>
    </row>
    <row r="1658" spans="1:19" x14ac:dyDescent="0.25">
      <c r="A1658" s="86" t="s">
        <v>595</v>
      </c>
      <c r="B1658" t="s">
        <v>160</v>
      </c>
      <c r="K1658">
        <v>0</v>
      </c>
      <c r="N1658" s="72" t="s">
        <v>647</v>
      </c>
      <c r="O1658" t="s">
        <v>24</v>
      </c>
      <c r="P1658">
        <v>45</v>
      </c>
      <c r="S1658"/>
    </row>
    <row r="1659" spans="1:19" x14ac:dyDescent="0.25">
      <c r="A1659" s="86" t="s">
        <v>1800</v>
      </c>
      <c r="B1659" t="s">
        <v>67</v>
      </c>
      <c r="K1659">
        <v>0</v>
      </c>
      <c r="N1659" s="72" t="s">
        <v>44</v>
      </c>
      <c r="O1659" t="s">
        <v>24</v>
      </c>
      <c r="P1659">
        <v>30</v>
      </c>
      <c r="S1659"/>
    </row>
    <row r="1660" spans="1:19" x14ac:dyDescent="0.25">
      <c r="A1660" s="86" t="s">
        <v>1941</v>
      </c>
      <c r="B1660" t="s">
        <v>67</v>
      </c>
      <c r="F1660">
        <v>23</v>
      </c>
      <c r="K1660">
        <v>23</v>
      </c>
      <c r="N1660" s="72" t="s">
        <v>12</v>
      </c>
      <c r="O1660" t="s">
        <v>24</v>
      </c>
      <c r="P1660">
        <v>34</v>
      </c>
      <c r="Q1660" s="131">
        <v>30640</v>
      </c>
      <c r="S1660"/>
    </row>
    <row r="1661" spans="1:19" x14ac:dyDescent="0.25">
      <c r="A1661" s="86" t="s">
        <v>824</v>
      </c>
      <c r="B1661" s="48" t="s">
        <v>161</v>
      </c>
      <c r="K1661">
        <v>0</v>
      </c>
      <c r="N1661" s="72" t="s">
        <v>43</v>
      </c>
      <c r="O1661" t="s">
        <v>24</v>
      </c>
      <c r="P1661">
        <v>52</v>
      </c>
      <c r="S1661"/>
    </row>
    <row r="1662" spans="1:19" x14ac:dyDescent="0.25">
      <c r="A1662" s="86" t="s">
        <v>1790</v>
      </c>
      <c r="B1662" t="s">
        <v>157</v>
      </c>
      <c r="K1662">
        <v>0</v>
      </c>
      <c r="N1662" s="72" t="s">
        <v>12</v>
      </c>
      <c r="O1662" t="s">
        <v>23</v>
      </c>
      <c r="P1662">
        <v>40</v>
      </c>
      <c r="Q1662" s="131">
        <v>27958</v>
      </c>
      <c r="S1662"/>
    </row>
    <row r="1663" spans="1:19" x14ac:dyDescent="0.25">
      <c r="A1663" s="86" t="s">
        <v>1387</v>
      </c>
      <c r="B1663" t="s">
        <v>157</v>
      </c>
      <c r="K1663">
        <v>0</v>
      </c>
      <c r="N1663" s="72" t="s">
        <v>12</v>
      </c>
      <c r="O1663" t="s">
        <v>23</v>
      </c>
      <c r="P1663">
        <v>44</v>
      </c>
      <c r="Q1663" s="131" t="s">
        <v>2036</v>
      </c>
      <c r="S1663"/>
    </row>
    <row r="1664" spans="1:19" x14ac:dyDescent="0.25">
      <c r="A1664" s="86" t="s">
        <v>564</v>
      </c>
      <c r="B1664" t="s">
        <v>158</v>
      </c>
      <c r="K1664">
        <v>0</v>
      </c>
      <c r="N1664" s="72" t="s">
        <v>581</v>
      </c>
      <c r="O1664" s="48" t="s">
        <v>851</v>
      </c>
      <c r="P1664">
        <v>46</v>
      </c>
      <c r="S1664"/>
    </row>
    <row r="1665" spans="1:19" x14ac:dyDescent="0.25">
      <c r="A1665" s="86" t="s">
        <v>1918</v>
      </c>
      <c r="B1665" t="s">
        <v>157</v>
      </c>
      <c r="K1665">
        <v>0</v>
      </c>
      <c r="N1665" s="72" t="s">
        <v>155</v>
      </c>
      <c r="O1665" t="s">
        <v>23</v>
      </c>
      <c r="P1665">
        <v>37</v>
      </c>
      <c r="Q1665" s="131">
        <v>29230</v>
      </c>
      <c r="S1665"/>
    </row>
    <row r="1666" spans="1:19" x14ac:dyDescent="0.25">
      <c r="A1666" s="86" t="s">
        <v>2082</v>
      </c>
      <c r="B1666" t="s">
        <v>158</v>
      </c>
      <c r="K1666">
        <v>0</v>
      </c>
      <c r="N1666" s="72" t="s">
        <v>2083</v>
      </c>
      <c r="O1666" t="s">
        <v>23</v>
      </c>
      <c r="P1666">
        <v>52</v>
      </c>
      <c r="Q1666" s="131" t="s">
        <v>2084</v>
      </c>
      <c r="S1666"/>
    </row>
    <row r="1667" spans="1:19" x14ac:dyDescent="0.25">
      <c r="A1667" s="86" t="s">
        <v>835</v>
      </c>
      <c r="B1667" t="s">
        <v>156</v>
      </c>
      <c r="K1667">
        <v>0</v>
      </c>
      <c r="N1667" s="72" t="s">
        <v>38</v>
      </c>
      <c r="O1667" t="s">
        <v>23</v>
      </c>
      <c r="P1667">
        <v>30</v>
      </c>
      <c r="S1667"/>
    </row>
    <row r="1668" spans="1:19" x14ac:dyDescent="0.25">
      <c r="A1668" s="86" t="s">
        <v>1952</v>
      </c>
      <c r="B1668" t="s">
        <v>156</v>
      </c>
      <c r="K1668">
        <v>0</v>
      </c>
      <c r="N1668" s="72" t="s">
        <v>653</v>
      </c>
      <c r="O1668" t="s">
        <v>23</v>
      </c>
      <c r="S1668"/>
    </row>
    <row r="1669" spans="1:19" x14ac:dyDescent="0.25">
      <c r="A1669" s="86" t="s">
        <v>315</v>
      </c>
      <c r="B1669" t="s">
        <v>157</v>
      </c>
      <c r="K1669">
        <v>0</v>
      </c>
      <c r="N1669" s="72" t="s">
        <v>12</v>
      </c>
      <c r="O1669" t="s">
        <v>23</v>
      </c>
      <c r="P1669">
        <v>44</v>
      </c>
      <c r="Q1669" s="131">
        <v>26701</v>
      </c>
      <c r="S1669"/>
    </row>
    <row r="1670" spans="1:19" x14ac:dyDescent="0.25">
      <c r="A1670" s="86" t="s">
        <v>1580</v>
      </c>
      <c r="B1670" t="s">
        <v>156</v>
      </c>
      <c r="K1670">
        <v>0</v>
      </c>
      <c r="N1670" s="72" t="s">
        <v>1618</v>
      </c>
      <c r="O1670" t="s">
        <v>23</v>
      </c>
      <c r="S1670"/>
    </row>
    <row r="1671" spans="1:19" x14ac:dyDescent="0.25">
      <c r="A1671" s="86" t="s">
        <v>197</v>
      </c>
      <c r="B1671" t="s">
        <v>67</v>
      </c>
      <c r="C1671">
        <v>18</v>
      </c>
      <c r="D1671">
        <v>10</v>
      </c>
      <c r="K1671">
        <v>28</v>
      </c>
      <c r="N1671" s="72" t="s">
        <v>12</v>
      </c>
      <c r="O1671" t="s">
        <v>24</v>
      </c>
      <c r="P1671">
        <v>30</v>
      </c>
      <c r="Q1671" s="131">
        <v>32160</v>
      </c>
      <c r="S1671"/>
    </row>
    <row r="1672" spans="1:19" x14ac:dyDescent="0.25">
      <c r="A1672" s="86" t="s">
        <v>1985</v>
      </c>
      <c r="B1672" t="s">
        <v>67</v>
      </c>
      <c r="K1672">
        <v>0</v>
      </c>
      <c r="N1672" s="72" t="s">
        <v>14</v>
      </c>
      <c r="O1672" t="s">
        <v>24</v>
      </c>
      <c r="S1672"/>
    </row>
    <row r="1673" spans="1:19" x14ac:dyDescent="0.25">
      <c r="A1673" s="86" t="s">
        <v>1739</v>
      </c>
      <c r="B1673" t="s">
        <v>160</v>
      </c>
      <c r="K1673">
        <v>0</v>
      </c>
      <c r="N1673" s="72" t="s">
        <v>155</v>
      </c>
      <c r="O1673" t="s">
        <v>24</v>
      </c>
      <c r="P1673">
        <v>41</v>
      </c>
      <c r="Q1673" s="131">
        <v>27808</v>
      </c>
      <c r="S1673"/>
    </row>
    <row r="1674" spans="1:19" x14ac:dyDescent="0.25">
      <c r="A1674" s="86" t="s">
        <v>1912</v>
      </c>
      <c r="B1674" t="s">
        <v>157</v>
      </c>
      <c r="K1674">
        <v>0</v>
      </c>
      <c r="N1674" s="72" t="s">
        <v>14</v>
      </c>
      <c r="O1674" t="s">
        <v>23</v>
      </c>
      <c r="P1674">
        <v>41</v>
      </c>
      <c r="Q1674" s="131">
        <v>27843</v>
      </c>
      <c r="S1674"/>
    </row>
    <row r="1675" spans="1:19" x14ac:dyDescent="0.25">
      <c r="A1675" s="86" t="s">
        <v>446</v>
      </c>
      <c r="B1675" t="s">
        <v>162</v>
      </c>
      <c r="K1675">
        <v>0</v>
      </c>
      <c r="N1675" s="72" t="s">
        <v>1329</v>
      </c>
      <c r="O1675" t="s">
        <v>24</v>
      </c>
      <c r="P1675">
        <v>68</v>
      </c>
      <c r="S1675"/>
    </row>
    <row r="1676" spans="1:19" x14ac:dyDescent="0.25">
      <c r="A1676" s="86" t="s">
        <v>1007</v>
      </c>
      <c r="B1676" t="s">
        <v>161</v>
      </c>
      <c r="K1676">
        <v>0</v>
      </c>
      <c r="N1676" s="72" t="s">
        <v>1324</v>
      </c>
      <c r="O1676" t="s">
        <v>24</v>
      </c>
      <c r="P1676">
        <v>51</v>
      </c>
      <c r="S1676"/>
    </row>
    <row r="1677" spans="1:19" x14ac:dyDescent="0.25">
      <c r="A1677" s="86" t="s">
        <v>2268</v>
      </c>
      <c r="B1677" t="s">
        <v>156</v>
      </c>
      <c r="K1677">
        <v>0</v>
      </c>
      <c r="N1677" s="72" t="s">
        <v>43</v>
      </c>
      <c r="O1677" t="s">
        <v>23</v>
      </c>
      <c r="P1677">
        <v>24</v>
      </c>
      <c r="Q1677" s="131">
        <v>34368</v>
      </c>
      <c r="S1677"/>
    </row>
    <row r="1678" spans="1:19" x14ac:dyDescent="0.25">
      <c r="A1678" s="86" t="s">
        <v>964</v>
      </c>
      <c r="B1678" t="s">
        <v>156</v>
      </c>
      <c r="K1678">
        <v>0</v>
      </c>
      <c r="N1678" s="72" t="s">
        <v>154</v>
      </c>
      <c r="O1678" t="s">
        <v>23</v>
      </c>
      <c r="P1678">
        <v>32</v>
      </c>
      <c r="S1678"/>
    </row>
    <row r="1679" spans="1:19" x14ac:dyDescent="0.25">
      <c r="A1679" s="86" t="s">
        <v>2075</v>
      </c>
      <c r="B1679" t="s">
        <v>156</v>
      </c>
      <c r="K1679">
        <v>0</v>
      </c>
      <c r="N1679" s="72" t="s">
        <v>655</v>
      </c>
      <c r="O1679" t="s">
        <v>23</v>
      </c>
      <c r="P1679">
        <v>30</v>
      </c>
      <c r="Q1679" s="131" t="s">
        <v>2076</v>
      </c>
      <c r="S1679"/>
    </row>
    <row r="1680" spans="1:19" x14ac:dyDescent="0.25">
      <c r="A1680" s="86" t="s">
        <v>470</v>
      </c>
      <c r="B1680" t="s">
        <v>157</v>
      </c>
      <c r="K1680">
        <v>0</v>
      </c>
      <c r="N1680" s="72" t="s">
        <v>505</v>
      </c>
      <c r="O1680" t="s">
        <v>23</v>
      </c>
      <c r="P1680">
        <v>35</v>
      </c>
      <c r="S1680"/>
    </row>
    <row r="1681" spans="1:19" x14ac:dyDescent="0.25">
      <c r="A1681" s="86" t="s">
        <v>1553</v>
      </c>
      <c r="B1681" t="s">
        <v>160</v>
      </c>
      <c r="E1681">
        <v>58</v>
      </c>
      <c r="F1681">
        <v>79</v>
      </c>
      <c r="K1681">
        <v>137</v>
      </c>
      <c r="N1681" s="72" t="s">
        <v>14</v>
      </c>
      <c r="O1681" t="s">
        <v>24</v>
      </c>
      <c r="P1681">
        <v>47</v>
      </c>
      <c r="Q1681" s="131">
        <v>25829</v>
      </c>
      <c r="S1681"/>
    </row>
    <row r="1682" spans="1:19" x14ac:dyDescent="0.25">
      <c r="A1682" s="86" t="s">
        <v>196</v>
      </c>
      <c r="B1682" t="s">
        <v>161</v>
      </c>
      <c r="F1682">
        <v>106</v>
      </c>
      <c r="K1682">
        <v>106</v>
      </c>
      <c r="N1682" s="72" t="s">
        <v>108</v>
      </c>
      <c r="O1682" t="s">
        <v>24</v>
      </c>
      <c r="P1682">
        <v>58</v>
      </c>
      <c r="Q1682" s="131">
        <v>22076</v>
      </c>
      <c r="S1682"/>
    </row>
    <row r="1683" spans="1:19" x14ac:dyDescent="0.25">
      <c r="A1683" s="86" t="s">
        <v>1349</v>
      </c>
      <c r="B1683" t="s">
        <v>67</v>
      </c>
      <c r="K1683">
        <v>0</v>
      </c>
      <c r="N1683" s="72" t="s">
        <v>12</v>
      </c>
      <c r="O1683" t="s">
        <v>24</v>
      </c>
      <c r="P1683">
        <v>32</v>
      </c>
      <c r="Q1683" s="131">
        <v>30708</v>
      </c>
      <c r="S1683"/>
    </row>
    <row r="1684" spans="1:19" x14ac:dyDescent="0.25">
      <c r="A1684" s="86" t="s">
        <v>319</v>
      </c>
      <c r="B1684" t="s">
        <v>160</v>
      </c>
      <c r="K1684">
        <v>0</v>
      </c>
      <c r="N1684" s="72" t="s">
        <v>154</v>
      </c>
      <c r="O1684" s="48" t="s">
        <v>24</v>
      </c>
      <c r="P1684">
        <v>41</v>
      </c>
      <c r="S1684"/>
    </row>
    <row r="1685" spans="1:19" x14ac:dyDescent="0.25">
      <c r="A1685" s="86" t="s">
        <v>800</v>
      </c>
      <c r="B1685" t="s">
        <v>160</v>
      </c>
      <c r="K1685">
        <v>0</v>
      </c>
      <c r="N1685" s="72" t="s">
        <v>155</v>
      </c>
      <c r="O1685" t="s">
        <v>24</v>
      </c>
      <c r="P1685">
        <v>46</v>
      </c>
      <c r="Q1685" s="131">
        <v>25707</v>
      </c>
      <c r="S1685"/>
    </row>
    <row r="1686" spans="1:19" x14ac:dyDescent="0.25">
      <c r="A1686" s="86" t="s">
        <v>1179</v>
      </c>
      <c r="B1686" t="s">
        <v>161</v>
      </c>
      <c r="K1686">
        <v>0</v>
      </c>
      <c r="N1686" s="72" t="s">
        <v>505</v>
      </c>
      <c r="O1686" t="s">
        <v>24</v>
      </c>
      <c r="P1686">
        <v>53</v>
      </c>
      <c r="S1686"/>
    </row>
    <row r="1687" spans="1:19" x14ac:dyDescent="0.25">
      <c r="A1687" s="86" t="s">
        <v>1074</v>
      </c>
      <c r="B1687" t="s">
        <v>162</v>
      </c>
      <c r="K1687">
        <v>0</v>
      </c>
      <c r="N1687" s="72" t="s">
        <v>38</v>
      </c>
      <c r="O1687" t="s">
        <v>24</v>
      </c>
      <c r="P1687">
        <v>64</v>
      </c>
      <c r="Q1687" s="131" t="s">
        <v>1436</v>
      </c>
      <c r="S1687"/>
    </row>
    <row r="1688" spans="1:19" x14ac:dyDescent="0.25">
      <c r="A1688" s="86" t="s">
        <v>1031</v>
      </c>
      <c r="B1688" t="s">
        <v>162</v>
      </c>
      <c r="F1688">
        <v>90</v>
      </c>
      <c r="K1688">
        <v>90</v>
      </c>
      <c r="N1688" s="72" t="s">
        <v>108</v>
      </c>
      <c r="O1688" t="s">
        <v>24</v>
      </c>
      <c r="P1688">
        <v>62</v>
      </c>
      <c r="Q1688" s="131">
        <v>20600</v>
      </c>
      <c r="S1688"/>
    </row>
    <row r="1689" spans="1:19" x14ac:dyDescent="0.25">
      <c r="A1689" s="86" t="s">
        <v>302</v>
      </c>
      <c r="B1689" t="s">
        <v>161</v>
      </c>
      <c r="C1689">
        <v>6</v>
      </c>
      <c r="D1689">
        <v>6</v>
      </c>
      <c r="E1689">
        <v>8</v>
      </c>
      <c r="F1689">
        <v>6</v>
      </c>
      <c r="K1689">
        <v>26</v>
      </c>
      <c r="N1689" s="72" t="s">
        <v>108</v>
      </c>
      <c r="O1689" t="s">
        <v>24</v>
      </c>
      <c r="P1689">
        <v>52</v>
      </c>
      <c r="Q1689" s="131">
        <v>24029</v>
      </c>
      <c r="S1689"/>
    </row>
    <row r="1690" spans="1:19" x14ac:dyDescent="0.25">
      <c r="A1690" s="86" t="s">
        <v>1684</v>
      </c>
      <c r="B1690" t="s">
        <v>67</v>
      </c>
      <c r="K1690">
        <v>0</v>
      </c>
      <c r="N1690" s="72" t="s">
        <v>46</v>
      </c>
      <c r="O1690" t="s">
        <v>24</v>
      </c>
      <c r="P1690">
        <v>37</v>
      </c>
      <c r="Q1690" s="131">
        <v>28978</v>
      </c>
      <c r="S1690"/>
    </row>
    <row r="1691" spans="1:19" x14ac:dyDescent="0.25">
      <c r="A1691" s="86" t="s">
        <v>1484</v>
      </c>
      <c r="B1691" t="s">
        <v>161</v>
      </c>
      <c r="C1691">
        <v>140</v>
      </c>
      <c r="E1691">
        <v>182</v>
      </c>
      <c r="K1691">
        <v>322</v>
      </c>
      <c r="N1691" s="72" t="s">
        <v>38</v>
      </c>
      <c r="O1691" t="s">
        <v>24</v>
      </c>
      <c r="P1691">
        <v>56</v>
      </c>
      <c r="Q1691" s="131">
        <v>22521</v>
      </c>
      <c r="S1691"/>
    </row>
    <row r="1692" spans="1:19" x14ac:dyDescent="0.25">
      <c r="A1692" s="86" t="s">
        <v>1914</v>
      </c>
      <c r="B1692" t="s">
        <v>67</v>
      </c>
      <c r="K1692">
        <v>0</v>
      </c>
      <c r="N1692" s="72" t="s">
        <v>12</v>
      </c>
      <c r="O1692" t="s">
        <v>24</v>
      </c>
      <c r="P1692">
        <v>31</v>
      </c>
      <c r="Q1692" s="131">
        <v>31642</v>
      </c>
      <c r="S1692"/>
    </row>
    <row r="1693" spans="1:19" x14ac:dyDescent="0.25">
      <c r="A1693" s="86" t="s">
        <v>2148</v>
      </c>
      <c r="B1693" t="s">
        <v>160</v>
      </c>
      <c r="C1693">
        <v>53</v>
      </c>
      <c r="D1693">
        <v>54</v>
      </c>
      <c r="E1693">
        <v>73</v>
      </c>
      <c r="K1693">
        <v>180</v>
      </c>
      <c r="N1693" s="72" t="s">
        <v>14</v>
      </c>
      <c r="O1693" t="s">
        <v>24</v>
      </c>
      <c r="P1693">
        <v>47</v>
      </c>
      <c r="Q1693" s="131">
        <v>25940</v>
      </c>
      <c r="S1693"/>
    </row>
    <row r="1694" spans="1:19" x14ac:dyDescent="0.25">
      <c r="A1694" s="86" t="s">
        <v>1492</v>
      </c>
      <c r="B1694" t="s">
        <v>161</v>
      </c>
      <c r="K1694">
        <v>0</v>
      </c>
      <c r="N1694" s="72" t="s">
        <v>38</v>
      </c>
      <c r="O1694" t="s">
        <v>24</v>
      </c>
      <c r="P1694">
        <v>57</v>
      </c>
      <c r="Q1694" s="131">
        <v>22048</v>
      </c>
      <c r="S1694"/>
    </row>
    <row r="1695" spans="1:19" x14ac:dyDescent="0.25">
      <c r="A1695" s="86" t="s">
        <v>790</v>
      </c>
      <c r="B1695" t="s">
        <v>67</v>
      </c>
      <c r="K1695">
        <v>0</v>
      </c>
      <c r="N1695" s="72" t="s">
        <v>63</v>
      </c>
      <c r="O1695" t="s">
        <v>24</v>
      </c>
      <c r="P1695">
        <v>26</v>
      </c>
      <c r="S1695"/>
    </row>
    <row r="1696" spans="1:19" x14ac:dyDescent="0.25">
      <c r="A1696" s="86" t="s">
        <v>557</v>
      </c>
      <c r="B1696" t="s">
        <v>161</v>
      </c>
      <c r="K1696">
        <v>0</v>
      </c>
      <c r="N1696" s="72" t="s">
        <v>154</v>
      </c>
      <c r="O1696" s="48" t="s">
        <v>24</v>
      </c>
      <c r="P1696">
        <v>53</v>
      </c>
      <c r="Q1696" s="131">
        <v>23481</v>
      </c>
      <c r="S1696"/>
    </row>
    <row r="1697" spans="1:19" x14ac:dyDescent="0.25">
      <c r="A1697" s="86" t="s">
        <v>1953</v>
      </c>
      <c r="B1697" t="s">
        <v>67</v>
      </c>
      <c r="K1697">
        <v>0</v>
      </c>
      <c r="N1697" s="72" t="s">
        <v>2006</v>
      </c>
      <c r="O1697" t="s">
        <v>24</v>
      </c>
      <c r="S1697"/>
    </row>
    <row r="1698" spans="1:19" x14ac:dyDescent="0.25">
      <c r="A1698" s="86" t="s">
        <v>764</v>
      </c>
      <c r="B1698" t="s">
        <v>160</v>
      </c>
      <c r="K1698">
        <v>0</v>
      </c>
      <c r="N1698" s="72" t="s">
        <v>816</v>
      </c>
      <c r="O1698" t="s">
        <v>24</v>
      </c>
      <c r="P1698">
        <v>48</v>
      </c>
      <c r="S1698"/>
    </row>
    <row r="1699" spans="1:19" x14ac:dyDescent="0.25">
      <c r="A1699" s="86" t="s">
        <v>698</v>
      </c>
      <c r="B1699" t="s">
        <v>161</v>
      </c>
      <c r="K1699">
        <v>0</v>
      </c>
      <c r="N1699" s="72" t="s">
        <v>54</v>
      </c>
      <c r="O1699" t="s">
        <v>24</v>
      </c>
      <c r="P1699">
        <v>50</v>
      </c>
      <c r="S1699"/>
    </row>
    <row r="1700" spans="1:19" x14ac:dyDescent="0.25">
      <c r="A1700" s="86" t="s">
        <v>631</v>
      </c>
      <c r="B1700" t="s">
        <v>161</v>
      </c>
      <c r="K1700">
        <v>0</v>
      </c>
      <c r="N1700" s="72" t="s">
        <v>154</v>
      </c>
      <c r="O1700" t="s">
        <v>24</v>
      </c>
      <c r="P1700">
        <v>55</v>
      </c>
      <c r="S1700"/>
    </row>
    <row r="1701" spans="1:19" x14ac:dyDescent="0.25">
      <c r="A1701" s="86" t="s">
        <v>871</v>
      </c>
      <c r="B1701" t="s">
        <v>161</v>
      </c>
      <c r="D1701">
        <v>117</v>
      </c>
      <c r="K1701">
        <v>117</v>
      </c>
      <c r="N1701" s="72" t="s">
        <v>155</v>
      </c>
      <c r="O1701" t="s">
        <v>24</v>
      </c>
      <c r="P1701">
        <v>55</v>
      </c>
      <c r="Q1701" s="131">
        <v>22966</v>
      </c>
      <c r="S1701"/>
    </row>
    <row r="1702" spans="1:19" x14ac:dyDescent="0.25">
      <c r="A1702" s="86" t="s">
        <v>2461</v>
      </c>
      <c r="B1702" t="s">
        <v>161</v>
      </c>
      <c r="D1702">
        <v>113</v>
      </c>
      <c r="F1702">
        <v>127</v>
      </c>
      <c r="K1702">
        <v>240</v>
      </c>
      <c r="N1702" s="72" t="s">
        <v>12</v>
      </c>
      <c r="O1702" t="s">
        <v>24</v>
      </c>
      <c r="P1702">
        <v>53</v>
      </c>
      <c r="Q1702" s="131">
        <v>23766</v>
      </c>
      <c r="S1702"/>
    </row>
    <row r="1703" spans="1:19" x14ac:dyDescent="0.25">
      <c r="A1703" s="86" t="s">
        <v>401</v>
      </c>
      <c r="B1703" t="s">
        <v>160</v>
      </c>
      <c r="K1703">
        <v>0</v>
      </c>
      <c r="N1703" s="72" t="s">
        <v>38</v>
      </c>
      <c r="O1703" t="s">
        <v>24</v>
      </c>
      <c r="P1703">
        <v>41</v>
      </c>
      <c r="Q1703" s="131">
        <v>27557</v>
      </c>
      <c r="S1703"/>
    </row>
    <row r="1704" spans="1:19" x14ac:dyDescent="0.25">
      <c r="A1704" s="86" t="s">
        <v>976</v>
      </c>
      <c r="B1704" t="s">
        <v>160</v>
      </c>
      <c r="K1704">
        <v>0</v>
      </c>
      <c r="N1704" s="72" t="s">
        <v>38</v>
      </c>
      <c r="O1704" t="s">
        <v>24</v>
      </c>
      <c r="P1704">
        <v>45</v>
      </c>
      <c r="S1704"/>
    </row>
    <row r="1705" spans="1:19" x14ac:dyDescent="0.25">
      <c r="A1705" s="86" t="s">
        <v>696</v>
      </c>
      <c r="B1705" t="s">
        <v>161</v>
      </c>
      <c r="K1705">
        <v>0</v>
      </c>
      <c r="N1705" s="72" t="s">
        <v>1610</v>
      </c>
      <c r="O1705" t="s">
        <v>24</v>
      </c>
      <c r="P1705">
        <v>50</v>
      </c>
      <c r="S1705"/>
    </row>
    <row r="1706" spans="1:19" x14ac:dyDescent="0.25">
      <c r="A1706" s="86" t="s">
        <v>1054</v>
      </c>
      <c r="B1706" t="s">
        <v>160</v>
      </c>
      <c r="K1706">
        <v>0</v>
      </c>
      <c r="N1706" s="72" t="s">
        <v>63</v>
      </c>
      <c r="O1706" t="s">
        <v>24</v>
      </c>
      <c r="P1706">
        <v>42</v>
      </c>
      <c r="Q1706" s="131" t="s">
        <v>1430</v>
      </c>
      <c r="S1706"/>
    </row>
    <row r="1707" spans="1:19" x14ac:dyDescent="0.25">
      <c r="A1707" s="86" t="s">
        <v>1768</v>
      </c>
      <c r="B1707" t="s">
        <v>160</v>
      </c>
      <c r="K1707">
        <v>0</v>
      </c>
      <c r="N1707" s="72" t="s">
        <v>38</v>
      </c>
      <c r="O1707" t="s">
        <v>24</v>
      </c>
      <c r="P1707">
        <v>40</v>
      </c>
      <c r="Q1707" s="131">
        <v>28176</v>
      </c>
      <c r="S1707"/>
    </row>
    <row r="1708" spans="1:19" x14ac:dyDescent="0.25">
      <c r="A1708" s="86" t="s">
        <v>2127</v>
      </c>
      <c r="B1708" t="s">
        <v>67</v>
      </c>
      <c r="K1708">
        <v>0</v>
      </c>
      <c r="N1708" s="72" t="s">
        <v>505</v>
      </c>
      <c r="O1708" t="s">
        <v>24</v>
      </c>
      <c r="P1708">
        <v>26</v>
      </c>
      <c r="Q1708" s="131">
        <v>33359</v>
      </c>
      <c r="S1708"/>
    </row>
    <row r="1709" spans="1:19" x14ac:dyDescent="0.25">
      <c r="A1709" s="86" t="s">
        <v>927</v>
      </c>
      <c r="B1709" t="s">
        <v>160</v>
      </c>
      <c r="K1709">
        <v>0</v>
      </c>
      <c r="N1709" s="72" t="s">
        <v>12</v>
      </c>
      <c r="O1709" t="s">
        <v>24</v>
      </c>
      <c r="P1709">
        <v>48</v>
      </c>
      <c r="Q1709" s="131">
        <v>25486</v>
      </c>
      <c r="S1709"/>
    </row>
    <row r="1710" spans="1:19" x14ac:dyDescent="0.25">
      <c r="A1710" s="86" t="s">
        <v>786</v>
      </c>
      <c r="B1710" t="s">
        <v>67</v>
      </c>
      <c r="K1710">
        <v>0</v>
      </c>
      <c r="N1710" s="72" t="s">
        <v>155</v>
      </c>
      <c r="O1710" t="s">
        <v>24</v>
      </c>
      <c r="P1710">
        <v>20</v>
      </c>
      <c r="S1710"/>
    </row>
    <row r="1711" spans="1:19" x14ac:dyDescent="0.25">
      <c r="A1711" s="86" t="s">
        <v>920</v>
      </c>
      <c r="B1711" t="s">
        <v>161</v>
      </c>
      <c r="K1711">
        <v>0</v>
      </c>
      <c r="N1711" s="72" t="s">
        <v>108</v>
      </c>
      <c r="O1711" t="s">
        <v>24</v>
      </c>
      <c r="P1711">
        <v>58</v>
      </c>
      <c r="Q1711" s="131">
        <v>21404</v>
      </c>
      <c r="S1711"/>
    </row>
    <row r="1712" spans="1:19" x14ac:dyDescent="0.25">
      <c r="A1712" s="86" t="s">
        <v>2273</v>
      </c>
      <c r="B1712" t="s">
        <v>161</v>
      </c>
      <c r="D1712">
        <v>64</v>
      </c>
      <c r="K1712">
        <v>64</v>
      </c>
      <c r="N1712" s="72" t="s">
        <v>43</v>
      </c>
      <c r="O1712" t="s">
        <v>24</v>
      </c>
      <c r="P1712">
        <v>53</v>
      </c>
      <c r="Q1712" s="131">
        <v>23602</v>
      </c>
      <c r="S1712"/>
    </row>
    <row r="1713" spans="1:19" x14ac:dyDescent="0.25">
      <c r="A1713" s="86" t="s">
        <v>1537</v>
      </c>
      <c r="B1713" t="s">
        <v>67</v>
      </c>
      <c r="K1713">
        <v>0</v>
      </c>
      <c r="N1713" s="72" t="s">
        <v>54</v>
      </c>
      <c r="O1713" t="s">
        <v>24</v>
      </c>
      <c r="S1713"/>
    </row>
    <row r="1714" spans="1:19" x14ac:dyDescent="0.25">
      <c r="A1714" s="86" t="s">
        <v>986</v>
      </c>
      <c r="B1714" t="s">
        <v>160</v>
      </c>
      <c r="K1714">
        <v>0</v>
      </c>
      <c r="N1714" s="72" t="s">
        <v>14</v>
      </c>
      <c r="O1714" t="s">
        <v>24</v>
      </c>
      <c r="P1714">
        <v>40</v>
      </c>
      <c r="S1714"/>
    </row>
    <row r="1715" spans="1:19" x14ac:dyDescent="0.25">
      <c r="A1715" s="86" t="s">
        <v>426</v>
      </c>
      <c r="B1715" t="s">
        <v>67</v>
      </c>
      <c r="K1715">
        <v>0</v>
      </c>
      <c r="N1715" s="72" t="s">
        <v>12</v>
      </c>
      <c r="O1715" t="s">
        <v>24</v>
      </c>
      <c r="P1715">
        <v>39</v>
      </c>
      <c r="S1715"/>
    </row>
    <row r="1716" spans="1:19" x14ac:dyDescent="0.25">
      <c r="A1716" s="86" t="s">
        <v>1555</v>
      </c>
      <c r="B1716" t="s">
        <v>67</v>
      </c>
      <c r="K1716">
        <v>0</v>
      </c>
      <c r="N1716" s="72" t="s">
        <v>14</v>
      </c>
      <c r="O1716" t="s">
        <v>24</v>
      </c>
      <c r="S1716"/>
    </row>
    <row r="1717" spans="1:19" x14ac:dyDescent="0.25">
      <c r="A1717" s="86" t="s">
        <v>1947</v>
      </c>
      <c r="B1717" t="s">
        <v>160</v>
      </c>
      <c r="K1717">
        <v>0</v>
      </c>
      <c r="N1717" s="72" t="s">
        <v>43</v>
      </c>
      <c r="O1717" t="s">
        <v>24</v>
      </c>
      <c r="S1717"/>
    </row>
    <row r="1718" spans="1:19" x14ac:dyDescent="0.25">
      <c r="A1718" s="86" t="s">
        <v>1102</v>
      </c>
      <c r="B1718" t="s">
        <v>67</v>
      </c>
      <c r="E1718">
        <v>11</v>
      </c>
      <c r="K1718">
        <v>11</v>
      </c>
      <c r="N1718" s="72" t="s">
        <v>12</v>
      </c>
      <c r="O1718" t="s">
        <v>24</v>
      </c>
      <c r="P1718">
        <v>34</v>
      </c>
      <c r="Q1718" s="131">
        <v>30774</v>
      </c>
      <c r="S1718"/>
    </row>
    <row r="1719" spans="1:19" x14ac:dyDescent="0.25">
      <c r="A1719" s="86" t="s">
        <v>1539</v>
      </c>
      <c r="B1719" t="s">
        <v>161</v>
      </c>
      <c r="K1719">
        <v>0</v>
      </c>
      <c r="N1719" s="72" t="s">
        <v>1609</v>
      </c>
      <c r="O1719" t="s">
        <v>24</v>
      </c>
      <c r="S1719"/>
    </row>
    <row r="1720" spans="1:19" x14ac:dyDescent="0.25">
      <c r="A1720" s="86" t="s">
        <v>1931</v>
      </c>
      <c r="B1720" t="s">
        <v>67</v>
      </c>
      <c r="E1720">
        <v>124</v>
      </c>
      <c r="K1720">
        <v>124</v>
      </c>
      <c r="N1720" s="72" t="s">
        <v>12</v>
      </c>
      <c r="O1720" t="s">
        <v>24</v>
      </c>
      <c r="P1720">
        <v>23</v>
      </c>
      <c r="Q1720" s="131">
        <v>34826</v>
      </c>
      <c r="S1720"/>
    </row>
    <row r="1721" spans="1:19" x14ac:dyDescent="0.25">
      <c r="A1721" s="86" t="s">
        <v>1702</v>
      </c>
      <c r="B1721" t="s">
        <v>160</v>
      </c>
      <c r="K1721">
        <v>0</v>
      </c>
      <c r="N1721" s="72" t="s">
        <v>1325</v>
      </c>
      <c r="O1721" t="s">
        <v>24</v>
      </c>
      <c r="P1721">
        <v>41</v>
      </c>
      <c r="Q1721" s="131">
        <v>27411</v>
      </c>
      <c r="S1721"/>
    </row>
    <row r="1722" spans="1:19" x14ac:dyDescent="0.25">
      <c r="A1722" s="86" t="s">
        <v>2016</v>
      </c>
      <c r="B1722" t="s">
        <v>161</v>
      </c>
      <c r="K1722">
        <v>0</v>
      </c>
      <c r="N1722" s="72" t="s">
        <v>2017</v>
      </c>
      <c r="O1722" t="s">
        <v>24</v>
      </c>
      <c r="P1722">
        <v>53</v>
      </c>
      <c r="Q1722" s="131">
        <v>23528</v>
      </c>
      <c r="S1722"/>
    </row>
    <row r="1723" spans="1:19" x14ac:dyDescent="0.25">
      <c r="A1723" s="86" t="s">
        <v>1647</v>
      </c>
      <c r="B1723" t="s">
        <v>67</v>
      </c>
      <c r="K1723">
        <v>0</v>
      </c>
      <c r="N1723" s="72" t="s">
        <v>1646</v>
      </c>
      <c r="O1723" t="s">
        <v>24</v>
      </c>
      <c r="P1723">
        <v>31</v>
      </c>
      <c r="Q1723" s="131">
        <v>31238</v>
      </c>
      <c r="S1723"/>
    </row>
    <row r="1724" spans="1:19" x14ac:dyDescent="0.25">
      <c r="A1724" s="86" t="s">
        <v>266</v>
      </c>
      <c r="B1724" t="s">
        <v>159</v>
      </c>
      <c r="K1724">
        <v>0</v>
      </c>
      <c r="N1724" s="72" t="s">
        <v>10</v>
      </c>
      <c r="O1724" t="s">
        <v>23</v>
      </c>
      <c r="P1724">
        <v>56</v>
      </c>
      <c r="S1724"/>
    </row>
    <row r="1725" spans="1:19" x14ac:dyDescent="0.25">
      <c r="A1725" s="86" t="s">
        <v>1619</v>
      </c>
      <c r="B1725" t="s">
        <v>158</v>
      </c>
      <c r="K1725">
        <v>0</v>
      </c>
      <c r="N1725" s="72" t="s">
        <v>1609</v>
      </c>
      <c r="O1725" t="s">
        <v>23</v>
      </c>
      <c r="S1725"/>
    </row>
    <row r="1726" spans="1:19" x14ac:dyDescent="0.25">
      <c r="A1726" s="86" t="s">
        <v>967</v>
      </c>
      <c r="B1726" t="s">
        <v>158</v>
      </c>
      <c r="D1726">
        <v>85</v>
      </c>
      <c r="E1726">
        <v>147</v>
      </c>
      <c r="K1726">
        <v>232</v>
      </c>
      <c r="N1726" s="72" t="s">
        <v>154</v>
      </c>
      <c r="O1726" t="s">
        <v>23</v>
      </c>
      <c r="P1726">
        <v>47</v>
      </c>
      <c r="Q1726" s="131">
        <v>26043</v>
      </c>
      <c r="S1726"/>
    </row>
    <row r="1727" spans="1:19" x14ac:dyDescent="0.25">
      <c r="A1727" s="86" t="s">
        <v>195</v>
      </c>
      <c r="B1727" t="s">
        <v>161</v>
      </c>
      <c r="D1727">
        <v>149</v>
      </c>
      <c r="E1727">
        <v>185</v>
      </c>
      <c r="K1727">
        <v>334</v>
      </c>
      <c r="N1727" s="72" t="s">
        <v>108</v>
      </c>
      <c r="O1727" t="s">
        <v>24</v>
      </c>
      <c r="P1727">
        <v>57</v>
      </c>
      <c r="Q1727" s="131">
        <v>22106</v>
      </c>
      <c r="S1727"/>
    </row>
    <row r="1728" spans="1:19" x14ac:dyDescent="0.25">
      <c r="A1728" s="86" t="s">
        <v>1203</v>
      </c>
      <c r="B1728" t="s">
        <v>67</v>
      </c>
      <c r="K1728">
        <v>0</v>
      </c>
      <c r="N1728" s="72" t="s">
        <v>507</v>
      </c>
      <c r="O1728" t="s">
        <v>24</v>
      </c>
      <c r="P1728">
        <v>14</v>
      </c>
      <c r="S1728"/>
    </row>
    <row r="1729" spans="1:19" x14ac:dyDescent="0.25">
      <c r="A1729" s="86" t="s">
        <v>278</v>
      </c>
      <c r="B1729" t="s">
        <v>159</v>
      </c>
      <c r="K1729">
        <v>0</v>
      </c>
      <c r="N1729" s="72" t="s">
        <v>10</v>
      </c>
      <c r="O1729" t="s">
        <v>23</v>
      </c>
      <c r="P1729">
        <v>55</v>
      </c>
      <c r="S1729"/>
    </row>
    <row r="1730" spans="1:19" x14ac:dyDescent="0.25">
      <c r="A1730" s="86" t="s">
        <v>1544</v>
      </c>
      <c r="B1730" t="s">
        <v>157</v>
      </c>
      <c r="K1730">
        <v>0</v>
      </c>
      <c r="N1730" s="72" t="s">
        <v>653</v>
      </c>
      <c r="O1730" t="s">
        <v>23</v>
      </c>
      <c r="S1730"/>
    </row>
    <row r="1731" spans="1:19" x14ac:dyDescent="0.25">
      <c r="A1731" s="86" t="s">
        <v>2401</v>
      </c>
      <c r="B1731" t="s">
        <v>158</v>
      </c>
      <c r="E1731">
        <v>181</v>
      </c>
      <c r="K1731">
        <v>181</v>
      </c>
      <c r="N1731" s="72" t="s">
        <v>38</v>
      </c>
      <c r="O1731" t="s">
        <v>23</v>
      </c>
      <c r="P1731">
        <v>51</v>
      </c>
      <c r="Q1731" s="131">
        <v>24558</v>
      </c>
      <c r="S1731"/>
    </row>
    <row r="1732" spans="1:19" x14ac:dyDescent="0.25">
      <c r="A1732" s="86" t="s">
        <v>1685</v>
      </c>
      <c r="B1732" t="s">
        <v>158</v>
      </c>
      <c r="K1732">
        <v>0</v>
      </c>
      <c r="N1732" s="72" t="s">
        <v>1727</v>
      </c>
      <c r="O1732" t="s">
        <v>23</v>
      </c>
      <c r="P1732">
        <v>51</v>
      </c>
      <c r="Q1732" s="131">
        <v>23813</v>
      </c>
      <c r="S1732"/>
    </row>
    <row r="1733" spans="1:19" x14ac:dyDescent="0.25">
      <c r="A1733" s="86" t="s">
        <v>287</v>
      </c>
      <c r="B1733" t="s">
        <v>156</v>
      </c>
      <c r="K1733">
        <v>0</v>
      </c>
      <c r="N1733" s="72" t="s">
        <v>155</v>
      </c>
      <c r="O1733" t="s">
        <v>23</v>
      </c>
      <c r="P1733">
        <v>34</v>
      </c>
      <c r="S1733"/>
    </row>
    <row r="1734" spans="1:19" x14ac:dyDescent="0.25">
      <c r="A1734" s="86" t="s">
        <v>1588</v>
      </c>
      <c r="B1734" t="s">
        <v>158</v>
      </c>
      <c r="K1734">
        <v>0</v>
      </c>
      <c r="N1734" s="72" t="s">
        <v>653</v>
      </c>
      <c r="O1734" t="s">
        <v>23</v>
      </c>
      <c r="S1734"/>
    </row>
    <row r="1735" spans="1:19" x14ac:dyDescent="0.25">
      <c r="A1735" s="86" t="s">
        <v>1770</v>
      </c>
      <c r="B1735" t="s">
        <v>156</v>
      </c>
      <c r="K1735">
        <v>0</v>
      </c>
      <c r="N1735" s="72" t="s">
        <v>12</v>
      </c>
      <c r="O1735" t="s">
        <v>23</v>
      </c>
      <c r="P1735">
        <v>23</v>
      </c>
      <c r="Q1735" s="131">
        <v>34108</v>
      </c>
      <c r="S1735"/>
    </row>
    <row r="1736" spans="1:19" x14ac:dyDescent="0.25">
      <c r="A1736" s="86" t="s">
        <v>2382</v>
      </c>
      <c r="B1736" t="s">
        <v>158</v>
      </c>
      <c r="E1736">
        <v>133</v>
      </c>
      <c r="K1736">
        <v>133</v>
      </c>
      <c r="N1736" s="72" t="s">
        <v>63</v>
      </c>
      <c r="O1736" t="s">
        <v>23</v>
      </c>
      <c r="P1736">
        <v>53</v>
      </c>
      <c r="Q1736" s="131">
        <v>23802</v>
      </c>
      <c r="S1736"/>
    </row>
    <row r="1737" spans="1:19" x14ac:dyDescent="0.25">
      <c r="A1737" s="86" t="s">
        <v>1388</v>
      </c>
      <c r="B1737" t="s">
        <v>158</v>
      </c>
      <c r="C1737">
        <v>102</v>
      </c>
      <c r="E1737">
        <v>125</v>
      </c>
      <c r="K1737">
        <v>227</v>
      </c>
      <c r="N1737" s="72" t="s">
        <v>12</v>
      </c>
      <c r="O1737" t="s">
        <v>23</v>
      </c>
      <c r="P1737">
        <v>54</v>
      </c>
      <c r="Q1737" s="131">
        <v>23549</v>
      </c>
      <c r="S1737"/>
    </row>
    <row r="1738" spans="1:19" x14ac:dyDescent="0.25">
      <c r="A1738" s="86" t="s">
        <v>448</v>
      </c>
      <c r="B1738" t="s">
        <v>158</v>
      </c>
      <c r="C1738">
        <v>13</v>
      </c>
      <c r="E1738">
        <v>29</v>
      </c>
      <c r="K1738">
        <v>42</v>
      </c>
      <c r="N1738" s="72" t="s">
        <v>12</v>
      </c>
      <c r="O1738" t="s">
        <v>23</v>
      </c>
      <c r="P1738">
        <v>53</v>
      </c>
      <c r="Q1738" s="131">
        <v>23831</v>
      </c>
      <c r="S1738"/>
    </row>
    <row r="1739" spans="1:19" x14ac:dyDescent="0.25">
      <c r="A1739" s="86" t="s">
        <v>480</v>
      </c>
      <c r="B1739" t="s">
        <v>156</v>
      </c>
      <c r="K1739">
        <v>0</v>
      </c>
      <c r="N1739" s="72" t="s">
        <v>155</v>
      </c>
      <c r="O1739" t="s">
        <v>23</v>
      </c>
      <c r="P1739">
        <v>34</v>
      </c>
      <c r="Q1739" s="131" t="s">
        <v>1429</v>
      </c>
      <c r="S1739"/>
    </row>
    <row r="1740" spans="1:19" x14ac:dyDescent="0.25">
      <c r="A1740" s="86" t="s">
        <v>2116</v>
      </c>
      <c r="B1740" t="s">
        <v>157</v>
      </c>
      <c r="K1740">
        <v>0</v>
      </c>
      <c r="N1740" s="72" t="s">
        <v>12</v>
      </c>
      <c r="O1740" t="s">
        <v>23</v>
      </c>
      <c r="P1740">
        <v>37</v>
      </c>
      <c r="Q1740" s="131">
        <v>29301</v>
      </c>
      <c r="S1740"/>
    </row>
    <row r="1741" spans="1:19" x14ac:dyDescent="0.25">
      <c r="A1741" s="86" t="s">
        <v>988</v>
      </c>
      <c r="B1741" t="s">
        <v>158</v>
      </c>
      <c r="K1741">
        <v>0</v>
      </c>
      <c r="N1741" s="72" t="s">
        <v>14</v>
      </c>
      <c r="O1741" t="s">
        <v>23</v>
      </c>
      <c r="P1741">
        <v>51</v>
      </c>
      <c r="S1741"/>
    </row>
    <row r="1742" spans="1:19" x14ac:dyDescent="0.25">
      <c r="A1742" s="86" t="s">
        <v>1620</v>
      </c>
      <c r="B1742" t="s">
        <v>156</v>
      </c>
      <c r="K1742">
        <v>0</v>
      </c>
      <c r="N1742" s="72" t="s">
        <v>155</v>
      </c>
      <c r="O1742" t="s">
        <v>23</v>
      </c>
      <c r="P1742">
        <v>34</v>
      </c>
      <c r="Q1742" s="131">
        <v>29910</v>
      </c>
      <c r="S1742"/>
    </row>
    <row r="1743" spans="1:19" x14ac:dyDescent="0.25">
      <c r="A1743" s="86" t="s">
        <v>1848</v>
      </c>
      <c r="B1743" t="s">
        <v>158</v>
      </c>
      <c r="E1743">
        <v>169</v>
      </c>
      <c r="K1743">
        <v>169</v>
      </c>
      <c r="N1743" s="72" t="s">
        <v>38</v>
      </c>
      <c r="O1743" t="s">
        <v>23</v>
      </c>
      <c r="P1743">
        <v>54</v>
      </c>
      <c r="Q1743" s="131">
        <v>23455</v>
      </c>
      <c r="S1743"/>
    </row>
    <row r="1744" spans="1:19" x14ac:dyDescent="0.25">
      <c r="A1744" s="86" t="s">
        <v>2149</v>
      </c>
      <c r="B1744" t="s">
        <v>158</v>
      </c>
      <c r="K1744">
        <v>0</v>
      </c>
      <c r="N1744" s="72" t="s">
        <v>12</v>
      </c>
      <c r="O1744" t="s">
        <v>23</v>
      </c>
      <c r="P1744">
        <v>48</v>
      </c>
      <c r="Q1744" s="131">
        <v>25448</v>
      </c>
      <c r="S1744"/>
    </row>
    <row r="1745" spans="1:19" x14ac:dyDescent="0.25">
      <c r="A1745" s="86" t="s">
        <v>1795</v>
      </c>
      <c r="B1745" t="s">
        <v>156</v>
      </c>
      <c r="K1745">
        <v>0</v>
      </c>
      <c r="N1745" s="72" t="s">
        <v>12</v>
      </c>
      <c r="O1745" t="s">
        <v>23</v>
      </c>
      <c r="P1745">
        <v>28</v>
      </c>
      <c r="Q1745" s="131">
        <v>32540</v>
      </c>
      <c r="S1745"/>
    </row>
    <row r="1746" spans="1:19" x14ac:dyDescent="0.25">
      <c r="A1746" s="86" t="s">
        <v>1661</v>
      </c>
      <c r="B1746" t="s">
        <v>67</v>
      </c>
      <c r="K1746">
        <v>0</v>
      </c>
      <c r="N1746" s="72" t="s">
        <v>657</v>
      </c>
      <c r="O1746" t="s">
        <v>24</v>
      </c>
      <c r="P1746">
        <v>38</v>
      </c>
      <c r="S1746"/>
    </row>
    <row r="1747" spans="1:19" x14ac:dyDescent="0.25">
      <c r="A1747" s="86" t="s">
        <v>338</v>
      </c>
      <c r="B1747" t="s">
        <v>156</v>
      </c>
      <c r="K1747">
        <v>0</v>
      </c>
      <c r="N1747" s="72" t="s">
        <v>12</v>
      </c>
      <c r="O1747" t="s">
        <v>23</v>
      </c>
      <c r="P1747">
        <v>26</v>
      </c>
      <c r="S1747"/>
    </row>
    <row r="1748" spans="1:19" x14ac:dyDescent="0.25">
      <c r="A1748" s="86" t="s">
        <v>1666</v>
      </c>
      <c r="B1748" t="s">
        <v>160</v>
      </c>
      <c r="K1748">
        <v>0</v>
      </c>
      <c r="N1748" s="72" t="s">
        <v>63</v>
      </c>
      <c r="O1748" t="s">
        <v>24</v>
      </c>
      <c r="P1748">
        <v>46</v>
      </c>
      <c r="S1748"/>
    </row>
    <row r="1749" spans="1:19" x14ac:dyDescent="0.25">
      <c r="A1749" s="86" t="s">
        <v>2128</v>
      </c>
      <c r="B1749" t="s">
        <v>67</v>
      </c>
      <c r="E1749">
        <v>167</v>
      </c>
      <c r="K1749">
        <v>167</v>
      </c>
      <c r="N1749" s="72" t="s">
        <v>63</v>
      </c>
      <c r="O1749" t="s">
        <v>24</v>
      </c>
      <c r="P1749">
        <v>27</v>
      </c>
      <c r="Q1749" s="131">
        <v>33112</v>
      </c>
      <c r="S1749"/>
    </row>
    <row r="1750" spans="1:19" x14ac:dyDescent="0.25">
      <c r="A1750" s="86" t="s">
        <v>737</v>
      </c>
      <c r="B1750" t="s">
        <v>157</v>
      </c>
      <c r="K1750">
        <v>0</v>
      </c>
      <c r="N1750" s="72" t="s">
        <v>1615</v>
      </c>
      <c r="O1750" t="s">
        <v>23</v>
      </c>
      <c r="P1750">
        <v>35</v>
      </c>
      <c r="S1750"/>
    </row>
    <row r="1751" spans="1:19" x14ac:dyDescent="0.25">
      <c r="A1751" s="86" t="s">
        <v>429</v>
      </c>
      <c r="B1751" t="s">
        <v>157</v>
      </c>
      <c r="K1751">
        <v>0</v>
      </c>
      <c r="N1751" s="72" t="s">
        <v>154</v>
      </c>
      <c r="O1751" t="s">
        <v>23</v>
      </c>
      <c r="P1751">
        <v>41</v>
      </c>
      <c r="Q1751" s="131">
        <v>27797</v>
      </c>
      <c r="S1751"/>
    </row>
    <row r="1752" spans="1:19" x14ac:dyDescent="0.25">
      <c r="A1752" s="86" t="s">
        <v>710</v>
      </c>
      <c r="B1752" t="s">
        <v>161</v>
      </c>
      <c r="K1752">
        <v>0</v>
      </c>
      <c r="N1752" s="72" t="s">
        <v>649</v>
      </c>
      <c r="O1752" t="s">
        <v>24</v>
      </c>
      <c r="P1752">
        <v>53</v>
      </c>
      <c r="S1752"/>
    </row>
    <row r="1753" spans="1:19" x14ac:dyDescent="0.25">
      <c r="A1753" s="86" t="s">
        <v>1665</v>
      </c>
      <c r="B1753" s="48" t="s">
        <v>160</v>
      </c>
      <c r="K1753">
        <v>0</v>
      </c>
      <c r="N1753" s="72" t="s">
        <v>51</v>
      </c>
      <c r="O1753" t="s">
        <v>24</v>
      </c>
      <c r="P1753">
        <v>44</v>
      </c>
      <c r="S1753"/>
    </row>
    <row r="1754" spans="1:19" x14ac:dyDescent="0.25">
      <c r="A1754" s="86" t="s">
        <v>798</v>
      </c>
      <c r="B1754" t="s">
        <v>159</v>
      </c>
      <c r="K1754">
        <v>0</v>
      </c>
      <c r="N1754" s="72" t="s">
        <v>15</v>
      </c>
      <c r="O1754" t="s">
        <v>23</v>
      </c>
      <c r="P1754">
        <v>63</v>
      </c>
      <c r="S1754"/>
    </row>
    <row r="1755" spans="1:19" x14ac:dyDescent="0.25">
      <c r="A1755" s="86" t="s">
        <v>1565</v>
      </c>
      <c r="B1755" t="s">
        <v>161</v>
      </c>
      <c r="K1755">
        <v>0</v>
      </c>
      <c r="N1755" s="72" t="s">
        <v>1613</v>
      </c>
      <c r="O1755" t="s">
        <v>24</v>
      </c>
      <c r="S1755"/>
    </row>
    <row r="1756" spans="1:19" x14ac:dyDescent="0.25">
      <c r="A1756" s="86" t="s">
        <v>413</v>
      </c>
      <c r="B1756" t="s">
        <v>161</v>
      </c>
      <c r="K1756">
        <v>0</v>
      </c>
      <c r="N1756" s="72" t="s">
        <v>108</v>
      </c>
      <c r="O1756" t="s">
        <v>24</v>
      </c>
      <c r="P1756">
        <v>57</v>
      </c>
      <c r="Q1756" s="131">
        <v>22119</v>
      </c>
      <c r="S1756"/>
    </row>
    <row r="1757" spans="1:19" x14ac:dyDescent="0.25">
      <c r="A1757" s="86" t="s">
        <v>2206</v>
      </c>
      <c r="B1757" t="s">
        <v>160</v>
      </c>
      <c r="C1757">
        <v>55</v>
      </c>
      <c r="D1757">
        <v>49</v>
      </c>
      <c r="E1757">
        <v>51</v>
      </c>
      <c r="K1757">
        <v>155</v>
      </c>
      <c r="N1757" s="72" t="s">
        <v>12</v>
      </c>
      <c r="O1757" t="s">
        <v>24</v>
      </c>
      <c r="P1757">
        <v>41</v>
      </c>
      <c r="Q1757" s="131">
        <v>28194</v>
      </c>
      <c r="S1757"/>
    </row>
    <row r="1758" spans="1:19" x14ac:dyDescent="0.25">
      <c r="A1758" s="86" t="s">
        <v>240</v>
      </c>
      <c r="B1758" t="s">
        <v>157</v>
      </c>
      <c r="K1758">
        <v>0</v>
      </c>
      <c r="N1758" s="72" t="s">
        <v>43</v>
      </c>
      <c r="O1758" t="s">
        <v>23</v>
      </c>
      <c r="P1758">
        <v>44</v>
      </c>
      <c r="S1758"/>
    </row>
    <row r="1759" spans="1:19" x14ac:dyDescent="0.25">
      <c r="A1759" s="86" t="s">
        <v>958</v>
      </c>
      <c r="B1759" t="s">
        <v>156</v>
      </c>
      <c r="K1759">
        <v>0</v>
      </c>
      <c r="N1759" s="72" t="s">
        <v>63</v>
      </c>
      <c r="O1759" t="s">
        <v>23</v>
      </c>
      <c r="P1759">
        <v>31</v>
      </c>
      <c r="Q1759" s="131">
        <v>31148</v>
      </c>
      <c r="S1759"/>
    </row>
    <row r="1760" spans="1:19" x14ac:dyDescent="0.25">
      <c r="A1760" s="86" t="s">
        <v>759</v>
      </c>
      <c r="B1760" t="s">
        <v>67</v>
      </c>
      <c r="K1760">
        <v>0</v>
      </c>
      <c r="N1760" s="72" t="s">
        <v>44</v>
      </c>
      <c r="O1760" t="s">
        <v>24</v>
      </c>
      <c r="P1760">
        <v>28</v>
      </c>
      <c r="S1760"/>
    </row>
    <row r="1761" spans="1:19" x14ac:dyDescent="0.25">
      <c r="A1761" s="86" t="s">
        <v>2032</v>
      </c>
      <c r="B1761" t="s">
        <v>67</v>
      </c>
      <c r="K1761">
        <v>0</v>
      </c>
      <c r="N1761" s="72" t="s">
        <v>505</v>
      </c>
      <c r="O1761" t="s">
        <v>24</v>
      </c>
      <c r="P1761">
        <v>31</v>
      </c>
      <c r="Q1761" s="131" t="s">
        <v>2033</v>
      </c>
      <c r="S1761"/>
    </row>
    <row r="1762" spans="1:19" x14ac:dyDescent="0.25">
      <c r="A1762" s="86" t="s">
        <v>1845</v>
      </c>
      <c r="B1762" t="s">
        <v>67</v>
      </c>
      <c r="K1762">
        <v>0</v>
      </c>
      <c r="N1762" s="72" t="s">
        <v>43</v>
      </c>
      <c r="O1762" t="s">
        <v>24</v>
      </c>
      <c r="P1762">
        <v>24</v>
      </c>
      <c r="Q1762" s="131">
        <v>34211</v>
      </c>
      <c r="S1762"/>
    </row>
    <row r="1763" spans="1:19" x14ac:dyDescent="0.25">
      <c r="A1763" s="86" t="s">
        <v>1188</v>
      </c>
      <c r="B1763" t="s">
        <v>67</v>
      </c>
      <c r="K1763">
        <v>0</v>
      </c>
      <c r="N1763" s="72" t="s">
        <v>12</v>
      </c>
      <c r="O1763" t="s">
        <v>24</v>
      </c>
      <c r="P1763">
        <v>23</v>
      </c>
      <c r="S1763"/>
    </row>
    <row r="1764" spans="1:19" x14ac:dyDescent="0.25">
      <c r="A1764" s="86" t="s">
        <v>335</v>
      </c>
      <c r="B1764" t="s">
        <v>67</v>
      </c>
      <c r="C1764">
        <v>1</v>
      </c>
      <c r="D1764">
        <v>1</v>
      </c>
      <c r="K1764">
        <v>2</v>
      </c>
      <c r="N1764" s="72" t="s">
        <v>12</v>
      </c>
      <c r="O1764" s="48" t="s">
        <v>24</v>
      </c>
      <c r="P1764">
        <v>38</v>
      </c>
      <c r="Q1764" s="131">
        <v>29337</v>
      </c>
      <c r="S1764"/>
    </row>
    <row r="1765" spans="1:19" x14ac:dyDescent="0.25">
      <c r="A1765" s="86" t="s">
        <v>1045</v>
      </c>
      <c r="B1765" t="s">
        <v>160</v>
      </c>
      <c r="E1765">
        <v>72</v>
      </c>
      <c r="K1765">
        <v>72</v>
      </c>
      <c r="N1765" s="72" t="s">
        <v>1066</v>
      </c>
      <c r="O1765" t="s">
        <v>24</v>
      </c>
      <c r="P1765">
        <v>41</v>
      </c>
      <c r="Q1765" s="131">
        <v>27980</v>
      </c>
      <c r="S1765"/>
    </row>
    <row r="1766" spans="1:19" x14ac:dyDescent="0.25">
      <c r="A1766" s="86" t="s">
        <v>907</v>
      </c>
      <c r="B1766" t="s">
        <v>67</v>
      </c>
      <c r="C1766">
        <v>105</v>
      </c>
      <c r="D1766">
        <v>107</v>
      </c>
      <c r="E1766">
        <v>140</v>
      </c>
      <c r="F1766">
        <v>109</v>
      </c>
      <c r="K1766">
        <v>461</v>
      </c>
      <c r="N1766" s="72" t="s">
        <v>12</v>
      </c>
      <c r="O1766" t="s">
        <v>24</v>
      </c>
      <c r="P1766">
        <v>39</v>
      </c>
      <c r="Q1766" s="131">
        <v>28696</v>
      </c>
      <c r="S1766"/>
    </row>
    <row r="1767" spans="1:19" x14ac:dyDescent="0.25">
      <c r="A1767" s="86" t="s">
        <v>570</v>
      </c>
      <c r="B1767" t="s">
        <v>161</v>
      </c>
      <c r="K1767">
        <v>0</v>
      </c>
      <c r="N1767" s="72" t="s">
        <v>581</v>
      </c>
      <c r="O1767" s="48" t="s">
        <v>852</v>
      </c>
      <c r="P1767">
        <v>52</v>
      </c>
      <c r="S1767"/>
    </row>
    <row r="1768" spans="1:19" x14ac:dyDescent="0.25">
      <c r="A1768" s="86" t="s">
        <v>672</v>
      </c>
      <c r="B1768" t="s">
        <v>161</v>
      </c>
      <c r="K1768">
        <v>0</v>
      </c>
      <c r="N1768" s="72" t="s">
        <v>660</v>
      </c>
      <c r="O1768" t="s">
        <v>24</v>
      </c>
      <c r="P1768">
        <v>55</v>
      </c>
      <c r="S1768"/>
    </row>
    <row r="1769" spans="1:19" x14ac:dyDescent="0.25">
      <c r="A1769" s="86" t="s">
        <v>1968</v>
      </c>
      <c r="B1769" t="s">
        <v>67</v>
      </c>
      <c r="K1769">
        <v>0</v>
      </c>
      <c r="N1769" s="72" t="s">
        <v>14</v>
      </c>
      <c r="O1769" t="s">
        <v>24</v>
      </c>
      <c r="S1769"/>
    </row>
    <row r="1770" spans="1:19" x14ac:dyDescent="0.25">
      <c r="A1770" s="86" t="s">
        <v>2097</v>
      </c>
      <c r="B1770" t="s">
        <v>160</v>
      </c>
      <c r="K1770">
        <v>0</v>
      </c>
      <c r="N1770" s="72" t="s">
        <v>12</v>
      </c>
      <c r="O1770" t="s">
        <v>24</v>
      </c>
      <c r="P1770">
        <v>44</v>
      </c>
      <c r="Q1770" s="131">
        <v>26913</v>
      </c>
      <c r="S1770"/>
    </row>
    <row r="1771" spans="1:19" x14ac:dyDescent="0.25">
      <c r="A1771" s="86" t="s">
        <v>572</v>
      </c>
      <c r="B1771" t="s">
        <v>161</v>
      </c>
      <c r="K1771">
        <v>0</v>
      </c>
      <c r="N1771" s="72" t="s">
        <v>581</v>
      </c>
      <c r="O1771" s="48" t="s">
        <v>852</v>
      </c>
      <c r="P1771">
        <v>55</v>
      </c>
      <c r="S1771"/>
    </row>
    <row r="1772" spans="1:19" x14ac:dyDescent="0.25">
      <c r="A1772" s="86" t="s">
        <v>1488</v>
      </c>
      <c r="B1772" t="s">
        <v>161</v>
      </c>
      <c r="K1772">
        <v>0</v>
      </c>
      <c r="N1772" s="72" t="s">
        <v>505</v>
      </c>
      <c r="O1772" t="s">
        <v>24</v>
      </c>
      <c r="P1772">
        <v>57</v>
      </c>
      <c r="Q1772" s="131">
        <v>21473</v>
      </c>
      <c r="S1772"/>
    </row>
    <row r="1773" spans="1:19" x14ac:dyDescent="0.25">
      <c r="A1773" s="86" t="s">
        <v>2153</v>
      </c>
      <c r="B1773" t="s">
        <v>161</v>
      </c>
      <c r="K1773">
        <v>0</v>
      </c>
      <c r="N1773" s="72" t="s">
        <v>505</v>
      </c>
      <c r="O1773" t="s">
        <v>24</v>
      </c>
      <c r="P1773">
        <v>53</v>
      </c>
      <c r="Q1773" s="131">
        <v>23632</v>
      </c>
      <c r="S1773"/>
    </row>
    <row r="1774" spans="1:19" x14ac:dyDescent="0.25">
      <c r="A1774" s="86" t="s">
        <v>517</v>
      </c>
      <c r="B1774" t="s">
        <v>1818</v>
      </c>
      <c r="C1774">
        <v>63</v>
      </c>
      <c r="D1774">
        <v>63</v>
      </c>
      <c r="E1774">
        <v>124</v>
      </c>
      <c r="F1774">
        <v>73</v>
      </c>
      <c r="K1774">
        <v>323</v>
      </c>
      <c r="N1774" s="72" t="s">
        <v>155</v>
      </c>
      <c r="O1774" t="s">
        <v>23</v>
      </c>
      <c r="P1774">
        <v>66</v>
      </c>
      <c r="Q1774" s="131">
        <v>18941</v>
      </c>
      <c r="S1774"/>
    </row>
    <row r="1775" spans="1:19" x14ac:dyDescent="0.25">
      <c r="A1775" s="86" t="s">
        <v>1413</v>
      </c>
      <c r="B1775" t="s">
        <v>157</v>
      </c>
      <c r="D1775">
        <v>43</v>
      </c>
      <c r="E1775">
        <v>71</v>
      </c>
      <c r="K1775">
        <v>114</v>
      </c>
      <c r="N1775" s="72" t="s">
        <v>12</v>
      </c>
      <c r="O1775" t="s">
        <v>23</v>
      </c>
      <c r="P1775">
        <v>41</v>
      </c>
      <c r="Q1775" s="131">
        <v>28096</v>
      </c>
      <c r="S1775"/>
    </row>
    <row r="1776" spans="1:19" x14ac:dyDescent="0.25">
      <c r="A1776" s="86" t="s">
        <v>513</v>
      </c>
      <c r="B1776" t="s">
        <v>158</v>
      </c>
      <c r="K1776">
        <v>0</v>
      </c>
      <c r="N1776" s="72" t="s">
        <v>12</v>
      </c>
      <c r="O1776" t="s">
        <v>23</v>
      </c>
      <c r="P1776">
        <v>47</v>
      </c>
      <c r="S1776"/>
    </row>
    <row r="1777" spans="1:19" x14ac:dyDescent="0.25">
      <c r="A1777" s="86" t="s">
        <v>1103</v>
      </c>
      <c r="B1777" t="s">
        <v>157</v>
      </c>
      <c r="K1777">
        <v>0</v>
      </c>
      <c r="N1777" s="72" t="s">
        <v>657</v>
      </c>
      <c r="O1777" t="s">
        <v>23</v>
      </c>
      <c r="P1777">
        <v>42</v>
      </c>
      <c r="S1777"/>
    </row>
    <row r="1778" spans="1:19" x14ac:dyDescent="0.25">
      <c r="A1778" s="86" t="s">
        <v>635</v>
      </c>
      <c r="B1778" t="s">
        <v>158</v>
      </c>
      <c r="K1778">
        <v>0</v>
      </c>
      <c r="N1778" s="72" t="s">
        <v>43</v>
      </c>
      <c r="O1778" t="s">
        <v>23</v>
      </c>
      <c r="P1778">
        <v>49</v>
      </c>
      <c r="S1778"/>
    </row>
    <row r="1779" spans="1:19" x14ac:dyDescent="0.25">
      <c r="A1779" s="86" t="s">
        <v>1860</v>
      </c>
      <c r="B1779" t="s">
        <v>162</v>
      </c>
      <c r="E1779">
        <v>138</v>
      </c>
      <c r="K1779">
        <v>138</v>
      </c>
      <c r="N1779" s="72" t="s">
        <v>43</v>
      </c>
      <c r="O1779" t="s">
        <v>24</v>
      </c>
      <c r="P1779">
        <v>61</v>
      </c>
      <c r="Q1779" s="131">
        <v>20963</v>
      </c>
      <c r="S1779"/>
    </row>
    <row r="1780" spans="1:19" x14ac:dyDescent="0.25">
      <c r="A1780" s="86" t="s">
        <v>1558</v>
      </c>
      <c r="B1780" t="s">
        <v>67</v>
      </c>
      <c r="K1780">
        <v>0</v>
      </c>
      <c r="N1780" s="72" t="s">
        <v>1501</v>
      </c>
      <c r="O1780" t="s">
        <v>24</v>
      </c>
      <c r="S1780"/>
    </row>
    <row r="1781" spans="1:19" x14ac:dyDescent="0.25">
      <c r="A1781" s="86" t="s">
        <v>336</v>
      </c>
      <c r="B1781" t="s">
        <v>67</v>
      </c>
      <c r="F1781">
        <v>1</v>
      </c>
      <c r="K1781">
        <v>1</v>
      </c>
      <c r="N1781" s="72" t="s">
        <v>108</v>
      </c>
      <c r="O1781" t="s">
        <v>24</v>
      </c>
      <c r="P1781">
        <v>35</v>
      </c>
      <c r="S1781"/>
    </row>
    <row r="1782" spans="1:19" x14ac:dyDescent="0.25">
      <c r="A1782" s="86" t="s">
        <v>2201</v>
      </c>
      <c r="B1782" t="s">
        <v>67</v>
      </c>
      <c r="C1782">
        <v>37</v>
      </c>
      <c r="D1782">
        <v>46</v>
      </c>
      <c r="E1782">
        <v>43</v>
      </c>
      <c r="F1782">
        <v>38</v>
      </c>
      <c r="K1782">
        <v>164</v>
      </c>
      <c r="N1782" s="72" t="s">
        <v>12</v>
      </c>
      <c r="O1782" t="s">
        <v>24</v>
      </c>
      <c r="P1782">
        <v>28</v>
      </c>
      <c r="Q1782" s="131">
        <v>32870</v>
      </c>
      <c r="S1782"/>
    </row>
    <row r="1783" spans="1:19" x14ac:dyDescent="0.25">
      <c r="A1783" s="86" t="s">
        <v>1907</v>
      </c>
      <c r="B1783" t="s">
        <v>67</v>
      </c>
      <c r="K1783">
        <v>0</v>
      </c>
      <c r="N1783" s="72" t="s">
        <v>155</v>
      </c>
      <c r="O1783" t="s">
        <v>24</v>
      </c>
      <c r="P1783">
        <v>34</v>
      </c>
      <c r="Q1783" s="131">
        <v>30202</v>
      </c>
      <c r="S1783"/>
    </row>
    <row r="1784" spans="1:19" x14ac:dyDescent="0.25">
      <c r="A1784" s="86" t="s">
        <v>419</v>
      </c>
      <c r="B1784" t="s">
        <v>67</v>
      </c>
      <c r="K1784">
        <v>0</v>
      </c>
      <c r="N1784" s="72" t="s">
        <v>63</v>
      </c>
      <c r="O1784" t="s">
        <v>24</v>
      </c>
      <c r="P1784">
        <v>35</v>
      </c>
      <c r="S1784"/>
    </row>
    <row r="1785" spans="1:19" x14ac:dyDescent="0.25">
      <c r="A1785" s="86" t="s">
        <v>1037</v>
      </c>
      <c r="B1785" t="s">
        <v>67</v>
      </c>
      <c r="K1785">
        <v>0</v>
      </c>
      <c r="N1785" s="72" t="s">
        <v>154</v>
      </c>
      <c r="O1785" t="s">
        <v>24</v>
      </c>
      <c r="P1785">
        <v>30</v>
      </c>
      <c r="S1785"/>
    </row>
    <row r="1786" spans="1:19" x14ac:dyDescent="0.25">
      <c r="A1786" s="86" t="s">
        <v>1916</v>
      </c>
      <c r="B1786" t="s">
        <v>67</v>
      </c>
      <c r="K1786">
        <v>0</v>
      </c>
      <c r="N1786" s="72" t="s">
        <v>12</v>
      </c>
      <c r="O1786" t="s">
        <v>24</v>
      </c>
      <c r="P1786">
        <v>28</v>
      </c>
      <c r="Q1786" s="131">
        <v>32427</v>
      </c>
      <c r="S1786"/>
    </row>
    <row r="1787" spans="1:19" x14ac:dyDescent="0.25">
      <c r="A1787" s="86" t="s">
        <v>2220</v>
      </c>
      <c r="B1787" t="s">
        <v>162</v>
      </c>
      <c r="C1787">
        <v>109</v>
      </c>
      <c r="K1787">
        <v>109</v>
      </c>
      <c r="N1787" s="72" t="s">
        <v>12</v>
      </c>
      <c r="O1787" t="s">
        <v>24</v>
      </c>
      <c r="P1787">
        <v>65</v>
      </c>
      <c r="Q1787" s="131">
        <v>19491</v>
      </c>
      <c r="S1787"/>
    </row>
    <row r="1788" spans="1:19" x14ac:dyDescent="0.25">
      <c r="A1788" s="86" t="s">
        <v>1669</v>
      </c>
      <c r="B1788" t="s">
        <v>67</v>
      </c>
      <c r="K1788">
        <v>0</v>
      </c>
      <c r="N1788" s="72" t="s">
        <v>154</v>
      </c>
      <c r="O1788" t="s">
        <v>24</v>
      </c>
      <c r="P1788">
        <v>35</v>
      </c>
      <c r="Q1788" s="131">
        <v>29789</v>
      </c>
      <c r="S1788"/>
    </row>
    <row r="1789" spans="1:19" x14ac:dyDescent="0.25">
      <c r="A1789" s="86" t="s">
        <v>1196</v>
      </c>
      <c r="B1789" t="s">
        <v>158</v>
      </c>
      <c r="K1789">
        <v>0</v>
      </c>
      <c r="N1789" s="72" t="s">
        <v>657</v>
      </c>
      <c r="O1789" t="s">
        <v>23</v>
      </c>
      <c r="P1789">
        <v>46</v>
      </c>
      <c r="S1789"/>
    </row>
    <row r="1790" spans="1:19" x14ac:dyDescent="0.25">
      <c r="A1790" s="86" t="s">
        <v>324</v>
      </c>
      <c r="B1790" t="s">
        <v>160</v>
      </c>
      <c r="K1790">
        <v>0</v>
      </c>
      <c r="N1790" s="72" t="s">
        <v>10</v>
      </c>
      <c r="O1790" t="s">
        <v>24</v>
      </c>
      <c r="P1790">
        <v>49</v>
      </c>
      <c r="S1790"/>
    </row>
    <row r="1791" spans="1:19" x14ac:dyDescent="0.25">
      <c r="A1791" s="86" t="s">
        <v>2221</v>
      </c>
      <c r="B1791" t="s">
        <v>67</v>
      </c>
      <c r="C1791">
        <v>110</v>
      </c>
      <c r="D1791">
        <v>103</v>
      </c>
      <c r="K1791">
        <v>213</v>
      </c>
      <c r="N1791" s="72" t="s">
        <v>1805</v>
      </c>
      <c r="O1791" t="s">
        <v>24</v>
      </c>
      <c r="P1791">
        <v>32</v>
      </c>
      <c r="Q1791" s="131">
        <v>31488</v>
      </c>
      <c r="S1791"/>
    </row>
    <row r="1792" spans="1:19" x14ac:dyDescent="0.25">
      <c r="A1792" s="86" t="s">
        <v>779</v>
      </c>
      <c r="B1792" t="s">
        <v>67</v>
      </c>
      <c r="K1792">
        <v>0</v>
      </c>
      <c r="N1792" s="72" t="s">
        <v>38</v>
      </c>
      <c r="O1792" t="s">
        <v>24</v>
      </c>
      <c r="P1792">
        <v>38</v>
      </c>
      <c r="Q1792" s="131">
        <v>28670</v>
      </c>
      <c r="S1792"/>
    </row>
    <row r="1793" spans="1:19" x14ac:dyDescent="0.25">
      <c r="A1793" s="86" t="s">
        <v>204</v>
      </c>
      <c r="B1793" t="s">
        <v>161</v>
      </c>
      <c r="C1793">
        <v>77</v>
      </c>
      <c r="D1793">
        <v>79</v>
      </c>
      <c r="F1793">
        <v>95</v>
      </c>
      <c r="K1793">
        <v>251</v>
      </c>
      <c r="N1793" s="72" t="s">
        <v>38</v>
      </c>
      <c r="O1793" t="s">
        <v>24</v>
      </c>
      <c r="P1793">
        <v>57</v>
      </c>
      <c r="Q1793" s="131">
        <v>22170</v>
      </c>
      <c r="S1793"/>
    </row>
    <row r="1794" spans="1:19" x14ac:dyDescent="0.25">
      <c r="A1794" s="86" t="s">
        <v>234</v>
      </c>
      <c r="B1794" t="s">
        <v>161</v>
      </c>
      <c r="K1794">
        <v>0</v>
      </c>
      <c r="N1794" s="72" t="s">
        <v>108</v>
      </c>
      <c r="O1794" t="s">
        <v>24</v>
      </c>
      <c r="P1794">
        <v>51</v>
      </c>
      <c r="Q1794" s="131">
        <v>23902</v>
      </c>
      <c r="S1794"/>
    </row>
    <row r="1795" spans="1:19" x14ac:dyDescent="0.25">
      <c r="A1795" s="86" t="s">
        <v>1832</v>
      </c>
      <c r="B1795" t="s">
        <v>160</v>
      </c>
      <c r="K1795">
        <v>0</v>
      </c>
      <c r="N1795" s="72" t="s">
        <v>650</v>
      </c>
      <c r="O1795" t="s">
        <v>24</v>
      </c>
      <c r="P1795">
        <v>48</v>
      </c>
      <c r="Q1795" s="131">
        <v>25291</v>
      </c>
      <c r="S1795"/>
    </row>
    <row r="1796" spans="1:19" x14ac:dyDescent="0.25">
      <c r="A1796" s="86" t="s">
        <v>374</v>
      </c>
      <c r="B1796" t="s">
        <v>161</v>
      </c>
      <c r="K1796">
        <v>0</v>
      </c>
      <c r="N1796" s="72" t="s">
        <v>505</v>
      </c>
      <c r="O1796" t="s">
        <v>24</v>
      </c>
      <c r="P1796">
        <v>54</v>
      </c>
      <c r="Q1796" s="131">
        <v>22538</v>
      </c>
      <c r="S1796"/>
    </row>
    <row r="1797" spans="1:19" x14ac:dyDescent="0.25">
      <c r="A1797" s="86" t="s">
        <v>2200</v>
      </c>
      <c r="B1797" t="s">
        <v>67</v>
      </c>
      <c r="C1797">
        <v>36</v>
      </c>
      <c r="D1797">
        <v>67</v>
      </c>
      <c r="K1797">
        <v>103</v>
      </c>
      <c r="N1797" s="72" t="s">
        <v>1805</v>
      </c>
      <c r="O1797" t="s">
        <v>24</v>
      </c>
      <c r="P1797">
        <v>37</v>
      </c>
      <c r="Q1797" s="131">
        <v>29546</v>
      </c>
      <c r="S1797"/>
    </row>
    <row r="1798" spans="1:19" x14ac:dyDescent="0.25">
      <c r="A1798" s="86" t="s">
        <v>2214</v>
      </c>
      <c r="B1798" t="s">
        <v>161</v>
      </c>
      <c r="C1798">
        <v>96</v>
      </c>
      <c r="D1798">
        <v>98</v>
      </c>
      <c r="E1798">
        <v>137</v>
      </c>
      <c r="K1798">
        <v>331</v>
      </c>
      <c r="N1798" s="72" t="s">
        <v>1805</v>
      </c>
      <c r="O1798" t="s">
        <v>24</v>
      </c>
      <c r="P1798">
        <v>50</v>
      </c>
      <c r="Q1798" s="131">
        <v>24953</v>
      </c>
      <c r="S1798"/>
    </row>
    <row r="1799" spans="1:19" x14ac:dyDescent="0.25">
      <c r="A1799" s="86" t="s">
        <v>1246</v>
      </c>
      <c r="B1799" t="s">
        <v>160</v>
      </c>
      <c r="K1799">
        <v>0</v>
      </c>
      <c r="N1799" s="72" t="s">
        <v>1244</v>
      </c>
      <c r="O1799" t="s">
        <v>24</v>
      </c>
      <c r="P1799">
        <v>46</v>
      </c>
      <c r="Q1799" s="131">
        <v>25282</v>
      </c>
      <c r="S1799"/>
    </row>
    <row r="1800" spans="1:19" x14ac:dyDescent="0.25">
      <c r="A1800" s="86" t="s">
        <v>872</v>
      </c>
      <c r="B1800" t="s">
        <v>161</v>
      </c>
      <c r="C1800">
        <v>88</v>
      </c>
      <c r="D1800">
        <v>83</v>
      </c>
      <c r="E1800">
        <v>108</v>
      </c>
      <c r="K1800">
        <v>279</v>
      </c>
      <c r="N1800" s="72" t="s">
        <v>155</v>
      </c>
      <c r="O1800" t="s">
        <v>24</v>
      </c>
      <c r="P1800">
        <v>53</v>
      </c>
      <c r="Q1800" s="131">
        <v>23680</v>
      </c>
      <c r="S1800"/>
    </row>
    <row r="1801" spans="1:19" x14ac:dyDescent="0.25">
      <c r="A1801" s="86" t="s">
        <v>1755</v>
      </c>
      <c r="B1801" t="s">
        <v>67</v>
      </c>
      <c r="E1801">
        <v>127</v>
      </c>
      <c r="K1801">
        <v>127</v>
      </c>
      <c r="N1801" s="72" t="s">
        <v>63</v>
      </c>
      <c r="O1801" t="s">
        <v>24</v>
      </c>
      <c r="P1801">
        <v>30</v>
      </c>
      <c r="Q1801" s="131">
        <v>32018</v>
      </c>
      <c r="S1801"/>
    </row>
    <row r="1802" spans="1:19" x14ac:dyDescent="0.25">
      <c r="A1802" s="86" t="s">
        <v>1960</v>
      </c>
      <c r="B1802" t="s">
        <v>157</v>
      </c>
      <c r="K1802">
        <v>0</v>
      </c>
      <c r="N1802" s="72" t="s">
        <v>1616</v>
      </c>
      <c r="O1802" t="s">
        <v>23</v>
      </c>
      <c r="S1802"/>
    </row>
    <row r="1803" spans="1:19" x14ac:dyDescent="0.25">
      <c r="A1803" s="86" t="s">
        <v>633</v>
      </c>
      <c r="B1803" t="s">
        <v>158</v>
      </c>
      <c r="D1803">
        <v>109</v>
      </c>
      <c r="K1803">
        <v>109</v>
      </c>
      <c r="N1803" s="72" t="s">
        <v>2312</v>
      </c>
      <c r="O1803" t="s">
        <v>23</v>
      </c>
      <c r="P1803">
        <v>53</v>
      </c>
      <c r="Q1803" s="131">
        <v>23700</v>
      </c>
      <c r="S1803"/>
    </row>
    <row r="1804" spans="1:19" x14ac:dyDescent="0.25">
      <c r="A1804" s="86" t="s">
        <v>2306</v>
      </c>
      <c r="B1804" t="s">
        <v>157</v>
      </c>
      <c r="D1804">
        <v>34</v>
      </c>
      <c r="K1804">
        <v>34</v>
      </c>
      <c r="N1804" s="72" t="s">
        <v>1805</v>
      </c>
      <c r="O1804" t="s">
        <v>23</v>
      </c>
      <c r="P1804">
        <v>39</v>
      </c>
      <c r="Q1804" s="131">
        <v>28708</v>
      </c>
      <c r="S1804"/>
    </row>
    <row r="1805" spans="1:19" x14ac:dyDescent="0.25">
      <c r="A1805" s="86" t="s">
        <v>2023</v>
      </c>
      <c r="B1805" t="s">
        <v>158</v>
      </c>
      <c r="C1805">
        <v>66</v>
      </c>
      <c r="K1805">
        <v>66</v>
      </c>
      <c r="N1805" s="72" t="s">
        <v>1805</v>
      </c>
      <c r="O1805" t="s">
        <v>23</v>
      </c>
      <c r="P1805">
        <v>52</v>
      </c>
      <c r="Q1805" s="131">
        <v>23882</v>
      </c>
      <c r="S1805"/>
    </row>
    <row r="1806" spans="1:19" x14ac:dyDescent="0.25">
      <c r="A1806" s="86" t="s">
        <v>1155</v>
      </c>
      <c r="B1806" t="s">
        <v>67</v>
      </c>
      <c r="C1806">
        <v>68</v>
      </c>
      <c r="E1806">
        <v>87</v>
      </c>
      <c r="F1806">
        <v>68</v>
      </c>
      <c r="K1806">
        <v>223</v>
      </c>
      <c r="N1806" s="72" t="s">
        <v>43</v>
      </c>
      <c r="O1806" t="s">
        <v>24</v>
      </c>
      <c r="P1806">
        <v>39</v>
      </c>
      <c r="Q1806" s="131">
        <v>28894</v>
      </c>
      <c r="S1806"/>
    </row>
    <row r="1807" spans="1:19" x14ac:dyDescent="0.25">
      <c r="A1807" s="86" t="s">
        <v>1106</v>
      </c>
      <c r="B1807" t="s">
        <v>161</v>
      </c>
      <c r="K1807">
        <v>0</v>
      </c>
      <c r="N1807" s="72" t="s">
        <v>657</v>
      </c>
      <c r="O1807" t="s">
        <v>24</v>
      </c>
      <c r="P1807">
        <v>53</v>
      </c>
      <c r="S1807"/>
    </row>
    <row r="1808" spans="1:19" x14ac:dyDescent="0.25">
      <c r="A1808" s="86" t="s">
        <v>791</v>
      </c>
      <c r="B1808" t="s">
        <v>162</v>
      </c>
      <c r="K1808">
        <v>0</v>
      </c>
      <c r="N1808" s="72" t="s">
        <v>44</v>
      </c>
      <c r="O1808" t="s">
        <v>24</v>
      </c>
      <c r="P1808">
        <v>63</v>
      </c>
      <c r="S1808"/>
    </row>
    <row r="1809" spans="1:19" x14ac:dyDescent="0.25">
      <c r="A1809" s="86" t="s">
        <v>1407</v>
      </c>
      <c r="B1809" t="s">
        <v>160</v>
      </c>
      <c r="E1809">
        <v>114</v>
      </c>
      <c r="K1809">
        <v>114</v>
      </c>
      <c r="N1809" s="72" t="s">
        <v>108</v>
      </c>
      <c r="O1809" t="s">
        <v>24</v>
      </c>
      <c r="P1809">
        <v>45</v>
      </c>
      <c r="Q1809" s="131">
        <v>26812</v>
      </c>
      <c r="S1809"/>
    </row>
    <row r="1810" spans="1:19" x14ac:dyDescent="0.25">
      <c r="A1810" s="86" t="s">
        <v>2162</v>
      </c>
      <c r="B1810" t="s">
        <v>159</v>
      </c>
      <c r="E1810">
        <v>141</v>
      </c>
      <c r="K1810">
        <v>141</v>
      </c>
      <c r="N1810" s="72" t="s">
        <v>38</v>
      </c>
      <c r="O1810" t="s">
        <v>23</v>
      </c>
      <c r="P1810">
        <v>60</v>
      </c>
      <c r="Q1810" s="131">
        <v>21155</v>
      </c>
      <c r="S1810"/>
    </row>
    <row r="1811" spans="1:19" x14ac:dyDescent="0.25">
      <c r="A1811" s="86" t="s">
        <v>1382</v>
      </c>
      <c r="B1811" t="s">
        <v>159</v>
      </c>
      <c r="K1811">
        <v>0</v>
      </c>
      <c r="N1811" s="72" t="s">
        <v>12</v>
      </c>
      <c r="O1811" t="s">
        <v>23</v>
      </c>
      <c r="P1811">
        <v>58</v>
      </c>
      <c r="Q1811" s="131">
        <v>21309</v>
      </c>
      <c r="S1811"/>
    </row>
    <row r="1812" spans="1:19" x14ac:dyDescent="0.25">
      <c r="A1812" s="86" t="s">
        <v>752</v>
      </c>
      <c r="B1812" t="s">
        <v>67</v>
      </c>
      <c r="K1812">
        <v>0</v>
      </c>
      <c r="N1812" s="72" t="s">
        <v>657</v>
      </c>
      <c r="O1812" t="s">
        <v>24</v>
      </c>
      <c r="P1812">
        <v>30</v>
      </c>
      <c r="S1812"/>
    </row>
    <row r="1813" spans="1:19" x14ac:dyDescent="0.25">
      <c r="A1813" s="86" t="s">
        <v>1335</v>
      </c>
      <c r="B1813" t="s">
        <v>157</v>
      </c>
      <c r="D1813">
        <v>18</v>
      </c>
      <c r="E1813">
        <v>21</v>
      </c>
      <c r="K1813">
        <v>39</v>
      </c>
      <c r="N1813" s="72" t="s">
        <v>63</v>
      </c>
      <c r="O1813" t="s">
        <v>23</v>
      </c>
      <c r="P1813">
        <v>42</v>
      </c>
      <c r="Q1813" s="131">
        <v>27871</v>
      </c>
      <c r="S1813"/>
    </row>
    <row r="1814" spans="1:19" x14ac:dyDescent="0.25">
      <c r="A1814" s="86" t="s">
        <v>304</v>
      </c>
      <c r="B1814" t="s">
        <v>67</v>
      </c>
      <c r="K1814">
        <v>0</v>
      </c>
      <c r="N1814" s="72" t="s">
        <v>108</v>
      </c>
      <c r="O1814" t="s">
        <v>24</v>
      </c>
      <c r="P1814">
        <v>17</v>
      </c>
      <c r="S1814"/>
    </row>
    <row r="1815" spans="1:19" x14ac:dyDescent="0.25">
      <c r="A1815" s="86" t="s">
        <v>1452</v>
      </c>
      <c r="B1815" t="s">
        <v>157</v>
      </c>
      <c r="E1815">
        <v>52</v>
      </c>
      <c r="F1815">
        <v>29</v>
      </c>
      <c r="K1815">
        <v>81</v>
      </c>
      <c r="N1815" s="72" t="s">
        <v>14</v>
      </c>
      <c r="O1815" t="s">
        <v>23</v>
      </c>
      <c r="P1815">
        <v>44</v>
      </c>
      <c r="Q1815" s="131">
        <v>26894</v>
      </c>
      <c r="S1815"/>
    </row>
    <row r="1816" spans="1:19" x14ac:dyDescent="0.25">
      <c r="A1816" s="86" t="s">
        <v>1368</v>
      </c>
      <c r="B1816" s="48" t="s">
        <v>157</v>
      </c>
      <c r="C1816">
        <v>84</v>
      </c>
      <c r="K1816">
        <v>84</v>
      </c>
      <c r="N1816" s="72" t="s">
        <v>63</v>
      </c>
      <c r="O1816" t="s">
        <v>23</v>
      </c>
      <c r="P1816">
        <v>36</v>
      </c>
      <c r="Q1816" s="131">
        <v>29508</v>
      </c>
      <c r="S1816"/>
    </row>
    <row r="1817" spans="1:19" x14ac:dyDescent="0.25">
      <c r="A1817" s="86" t="s">
        <v>521</v>
      </c>
      <c r="B1817" t="s">
        <v>157</v>
      </c>
      <c r="K1817">
        <v>0</v>
      </c>
      <c r="N1817" s="72" t="s">
        <v>14</v>
      </c>
      <c r="O1817" t="s">
        <v>23</v>
      </c>
      <c r="P1817">
        <v>40</v>
      </c>
      <c r="S1817"/>
    </row>
    <row r="1818" spans="1:19" x14ac:dyDescent="0.25">
      <c r="A1818" s="86" t="s">
        <v>1063</v>
      </c>
      <c r="B1818" t="s">
        <v>157</v>
      </c>
      <c r="K1818">
        <v>0</v>
      </c>
      <c r="N1818" s="72" t="s">
        <v>155</v>
      </c>
      <c r="O1818" t="s">
        <v>23</v>
      </c>
      <c r="P1818">
        <v>38</v>
      </c>
      <c r="S1818"/>
    </row>
    <row r="1819" spans="1:19" x14ac:dyDescent="0.25">
      <c r="A1819" s="86" t="s">
        <v>1192</v>
      </c>
      <c r="B1819" t="s">
        <v>162</v>
      </c>
      <c r="K1819">
        <v>0</v>
      </c>
      <c r="N1819" s="72" t="s">
        <v>654</v>
      </c>
      <c r="O1819" t="s">
        <v>24</v>
      </c>
      <c r="P1819">
        <v>71</v>
      </c>
      <c r="S1819"/>
    </row>
    <row r="1820" spans="1:19" x14ac:dyDescent="0.25">
      <c r="A1820" s="86" t="s">
        <v>1446</v>
      </c>
      <c r="B1820" t="s">
        <v>158</v>
      </c>
      <c r="K1820">
        <v>0</v>
      </c>
      <c r="N1820" s="72" t="s">
        <v>43</v>
      </c>
      <c r="O1820" t="s">
        <v>23</v>
      </c>
      <c r="P1820">
        <v>54</v>
      </c>
      <c r="Q1820" s="131">
        <v>26288</v>
      </c>
      <c r="S1820"/>
    </row>
    <row r="1821" spans="1:19" x14ac:dyDescent="0.25">
      <c r="A1821" s="86" t="s">
        <v>468</v>
      </c>
      <c r="B1821" t="s">
        <v>158</v>
      </c>
      <c r="K1821">
        <v>0</v>
      </c>
      <c r="N1821" s="72" t="s">
        <v>43</v>
      </c>
      <c r="O1821" t="s">
        <v>23</v>
      </c>
      <c r="P1821">
        <v>49</v>
      </c>
      <c r="Q1821" s="131">
        <v>25041</v>
      </c>
      <c r="S1821"/>
    </row>
    <row r="1822" spans="1:19" x14ac:dyDescent="0.25">
      <c r="A1822" s="86" t="s">
        <v>191</v>
      </c>
      <c r="B1822" t="s">
        <v>158</v>
      </c>
      <c r="K1822">
        <v>0</v>
      </c>
      <c r="N1822" s="72" t="s">
        <v>43</v>
      </c>
      <c r="O1822" t="s">
        <v>23</v>
      </c>
      <c r="P1822">
        <v>45</v>
      </c>
      <c r="Q1822" s="131">
        <v>26150</v>
      </c>
      <c r="S1822"/>
    </row>
    <row r="1823" spans="1:19" x14ac:dyDescent="0.25">
      <c r="A1823" s="86" t="s">
        <v>1842</v>
      </c>
      <c r="B1823" t="s">
        <v>158</v>
      </c>
      <c r="K1823">
        <v>0</v>
      </c>
      <c r="N1823" s="72" t="s">
        <v>155</v>
      </c>
      <c r="O1823" t="s">
        <v>23</v>
      </c>
      <c r="P1823">
        <v>48</v>
      </c>
      <c r="Q1823" s="131">
        <v>25256</v>
      </c>
      <c r="S1823"/>
    </row>
    <row r="1824" spans="1:19" x14ac:dyDescent="0.25">
      <c r="A1824" s="86" t="s">
        <v>1945</v>
      </c>
      <c r="B1824" t="s">
        <v>67</v>
      </c>
      <c r="K1824">
        <v>0</v>
      </c>
      <c r="N1824" s="72" t="s">
        <v>653</v>
      </c>
      <c r="O1824" t="s">
        <v>24</v>
      </c>
      <c r="S1824"/>
    </row>
    <row r="1825" spans="1:19" x14ac:dyDescent="0.25">
      <c r="A1825" s="86" t="s">
        <v>224</v>
      </c>
      <c r="B1825" t="s">
        <v>157</v>
      </c>
      <c r="K1825">
        <v>0</v>
      </c>
      <c r="N1825" s="72" t="s">
        <v>38</v>
      </c>
      <c r="O1825" t="s">
        <v>23</v>
      </c>
      <c r="P1825">
        <v>36</v>
      </c>
      <c r="Q1825" s="131">
        <v>29431</v>
      </c>
      <c r="S1825"/>
    </row>
    <row r="1826" spans="1:19" x14ac:dyDescent="0.25">
      <c r="A1826" s="86" t="s">
        <v>1090</v>
      </c>
      <c r="B1826" t="s">
        <v>157</v>
      </c>
      <c r="K1826">
        <v>0</v>
      </c>
      <c r="N1826" s="72" t="s">
        <v>359</v>
      </c>
      <c r="O1826" t="s">
        <v>23</v>
      </c>
      <c r="P1826">
        <v>43</v>
      </c>
      <c r="S1826"/>
    </row>
    <row r="1827" spans="1:19" x14ac:dyDescent="0.25">
      <c r="A1827" s="86" t="s">
        <v>1077</v>
      </c>
      <c r="B1827" t="s">
        <v>158</v>
      </c>
      <c r="K1827">
        <v>0</v>
      </c>
      <c r="N1827" s="72" t="s">
        <v>12</v>
      </c>
      <c r="O1827" t="s">
        <v>23</v>
      </c>
      <c r="P1827">
        <v>45</v>
      </c>
      <c r="Q1827" s="131">
        <v>26237</v>
      </c>
      <c r="S1827"/>
    </row>
    <row r="1828" spans="1:19" x14ac:dyDescent="0.25">
      <c r="A1828" s="86" t="s">
        <v>1559</v>
      </c>
      <c r="B1828" t="s">
        <v>157</v>
      </c>
      <c r="K1828">
        <v>0</v>
      </c>
      <c r="N1828" s="72" t="s">
        <v>653</v>
      </c>
      <c r="O1828" t="s">
        <v>23</v>
      </c>
      <c r="S1828"/>
    </row>
    <row r="1829" spans="1:19" x14ac:dyDescent="0.25">
      <c r="A1829" s="86" t="s">
        <v>2047</v>
      </c>
      <c r="B1829" t="s">
        <v>156</v>
      </c>
      <c r="K1829">
        <v>0</v>
      </c>
      <c r="N1829" s="72" t="s">
        <v>51</v>
      </c>
      <c r="O1829" t="s">
        <v>23</v>
      </c>
      <c r="P1829">
        <v>19</v>
      </c>
      <c r="Q1829" s="131" t="s">
        <v>2048</v>
      </c>
      <c r="S1829"/>
    </row>
    <row r="1830" spans="1:19" x14ac:dyDescent="0.25">
      <c r="A1830" s="86" t="s">
        <v>922</v>
      </c>
      <c r="B1830" t="s">
        <v>157</v>
      </c>
      <c r="K1830">
        <v>0</v>
      </c>
      <c r="N1830" s="72" t="s">
        <v>108</v>
      </c>
      <c r="O1830" t="s">
        <v>23</v>
      </c>
      <c r="P1830">
        <v>43</v>
      </c>
      <c r="Q1830" s="131">
        <v>26235</v>
      </c>
      <c r="S1830"/>
    </row>
    <row r="1831" spans="1:19" x14ac:dyDescent="0.25">
      <c r="A1831" s="86" t="s">
        <v>2257</v>
      </c>
      <c r="B1831" t="s">
        <v>157</v>
      </c>
      <c r="C1831">
        <v>93</v>
      </c>
      <c r="K1831">
        <v>93</v>
      </c>
      <c r="N1831" s="72" t="s">
        <v>12</v>
      </c>
      <c r="O1831" t="s">
        <v>23</v>
      </c>
      <c r="P1831">
        <v>41</v>
      </c>
      <c r="Q1831" s="131">
        <v>28035</v>
      </c>
      <c r="S1831"/>
    </row>
    <row r="1832" spans="1:19" x14ac:dyDescent="0.25">
      <c r="A1832" s="86" t="s">
        <v>1518</v>
      </c>
      <c r="B1832" t="s">
        <v>161</v>
      </c>
      <c r="K1832">
        <v>0</v>
      </c>
      <c r="N1832" s="72" t="s">
        <v>12</v>
      </c>
      <c r="O1832" t="s">
        <v>24</v>
      </c>
      <c r="P1832">
        <v>52</v>
      </c>
      <c r="Q1832" s="131">
        <v>23763</v>
      </c>
      <c r="S1832"/>
    </row>
    <row r="1833" spans="1:19" x14ac:dyDescent="0.25">
      <c r="A1833" s="86" t="s">
        <v>839</v>
      </c>
      <c r="B1833" t="s">
        <v>159</v>
      </c>
      <c r="C1833">
        <v>100</v>
      </c>
      <c r="D1833">
        <v>95</v>
      </c>
      <c r="E1833">
        <v>164</v>
      </c>
      <c r="F1833">
        <v>87</v>
      </c>
      <c r="K1833">
        <v>446</v>
      </c>
      <c r="N1833" s="72" t="s">
        <v>63</v>
      </c>
      <c r="O1833" t="s">
        <v>23</v>
      </c>
      <c r="P1833">
        <v>57</v>
      </c>
      <c r="Q1833" s="131">
        <v>22163</v>
      </c>
      <c r="S1833"/>
    </row>
    <row r="1834" spans="1:19" x14ac:dyDescent="0.25">
      <c r="A1834" s="86" t="s">
        <v>1152</v>
      </c>
      <c r="B1834" t="s">
        <v>160</v>
      </c>
      <c r="E1834">
        <v>69</v>
      </c>
      <c r="F1834">
        <v>83</v>
      </c>
      <c r="K1834">
        <v>152</v>
      </c>
      <c r="N1834" s="72" t="s">
        <v>43</v>
      </c>
      <c r="O1834" t="s">
        <v>24</v>
      </c>
      <c r="P1834">
        <v>45</v>
      </c>
      <c r="Q1834" s="131">
        <v>26751</v>
      </c>
      <c r="S1834"/>
    </row>
    <row r="1835" spans="1:19" x14ac:dyDescent="0.25">
      <c r="A1835" s="86" t="s">
        <v>1975</v>
      </c>
      <c r="B1835" t="s">
        <v>67</v>
      </c>
      <c r="K1835">
        <v>0</v>
      </c>
      <c r="N1835" s="72" t="s">
        <v>657</v>
      </c>
      <c r="O1835" t="s">
        <v>24</v>
      </c>
      <c r="S1835"/>
    </row>
    <row r="1836" spans="1:19" x14ac:dyDescent="0.25">
      <c r="A1836" s="86" t="s">
        <v>589</v>
      </c>
      <c r="B1836" t="s">
        <v>157</v>
      </c>
      <c r="K1836">
        <v>0</v>
      </c>
      <c r="N1836" s="72" t="s">
        <v>63</v>
      </c>
      <c r="O1836" t="s">
        <v>23</v>
      </c>
      <c r="P1836">
        <v>43</v>
      </c>
      <c r="S1836"/>
    </row>
    <row r="1837" spans="1:19" x14ac:dyDescent="0.25">
      <c r="A1837" s="86" t="s">
        <v>745</v>
      </c>
      <c r="B1837" t="s">
        <v>161</v>
      </c>
      <c r="K1837">
        <v>0</v>
      </c>
      <c r="N1837" s="72" t="s">
        <v>657</v>
      </c>
      <c r="O1837" t="s">
        <v>24</v>
      </c>
      <c r="P1837">
        <v>50</v>
      </c>
      <c r="S1837"/>
    </row>
    <row r="1838" spans="1:19" x14ac:dyDescent="0.25">
      <c r="A1838" s="86" t="s">
        <v>2470</v>
      </c>
      <c r="B1838" t="s">
        <v>161</v>
      </c>
      <c r="F1838">
        <v>52</v>
      </c>
      <c r="K1838">
        <v>52</v>
      </c>
      <c r="N1838" s="72" t="s">
        <v>108</v>
      </c>
      <c r="O1838" t="s">
        <v>24</v>
      </c>
      <c r="P1838">
        <v>53</v>
      </c>
      <c r="S1838"/>
    </row>
    <row r="1839" spans="1:19" x14ac:dyDescent="0.25">
      <c r="A1839" s="86" t="s">
        <v>459</v>
      </c>
      <c r="B1839" t="s">
        <v>161</v>
      </c>
      <c r="K1839">
        <v>0</v>
      </c>
      <c r="N1839" s="72" t="s">
        <v>12</v>
      </c>
      <c r="O1839" t="s">
        <v>24</v>
      </c>
      <c r="P1839">
        <v>50</v>
      </c>
      <c r="Q1839" s="131">
        <v>24527</v>
      </c>
      <c r="S1839"/>
    </row>
    <row r="1840" spans="1:19" x14ac:dyDescent="0.25">
      <c r="A1840" s="86" t="s">
        <v>1642</v>
      </c>
      <c r="B1840" t="s">
        <v>160</v>
      </c>
      <c r="K1840">
        <v>0</v>
      </c>
      <c r="N1840" s="72" t="s">
        <v>43</v>
      </c>
      <c r="O1840" t="s">
        <v>24</v>
      </c>
      <c r="P1840">
        <v>49</v>
      </c>
      <c r="Q1840" s="131">
        <v>24632</v>
      </c>
      <c r="S1840"/>
    </row>
    <row r="1841" spans="1:19" x14ac:dyDescent="0.25">
      <c r="A1841" s="86" t="s">
        <v>1189</v>
      </c>
      <c r="B1841" t="s">
        <v>161</v>
      </c>
      <c r="E1841">
        <v>141</v>
      </c>
      <c r="K1841">
        <v>141</v>
      </c>
      <c r="N1841" s="72" t="s">
        <v>43</v>
      </c>
      <c r="O1841" t="s">
        <v>24</v>
      </c>
      <c r="P1841">
        <v>55</v>
      </c>
      <c r="Q1841" s="131">
        <v>23096</v>
      </c>
      <c r="S1841"/>
    </row>
    <row r="1842" spans="1:19" x14ac:dyDescent="0.25">
      <c r="A1842" s="86" t="s">
        <v>2398</v>
      </c>
      <c r="B1842" t="s">
        <v>158</v>
      </c>
      <c r="E1842">
        <v>176</v>
      </c>
      <c r="K1842">
        <v>176</v>
      </c>
      <c r="N1842" s="72" t="s">
        <v>505</v>
      </c>
      <c r="O1842" t="s">
        <v>23</v>
      </c>
      <c r="P1842">
        <v>53</v>
      </c>
      <c r="Q1842" s="131">
        <v>23850</v>
      </c>
      <c r="S1842"/>
    </row>
    <row r="1843" spans="1:19" x14ac:dyDescent="0.25">
      <c r="A1843" s="86" t="s">
        <v>1092</v>
      </c>
      <c r="B1843" s="48" t="s">
        <v>158</v>
      </c>
      <c r="K1843">
        <v>0</v>
      </c>
      <c r="N1843" s="72" t="s">
        <v>155</v>
      </c>
      <c r="O1843" t="s">
        <v>23</v>
      </c>
      <c r="P1843">
        <v>51</v>
      </c>
      <c r="Q1843" s="131">
        <v>23944</v>
      </c>
      <c r="S1843"/>
    </row>
    <row r="1844" spans="1:19" x14ac:dyDescent="0.25">
      <c r="A1844" s="86" t="s">
        <v>1919</v>
      </c>
      <c r="B1844" t="s">
        <v>160</v>
      </c>
      <c r="K1844">
        <v>0</v>
      </c>
      <c r="N1844" s="72" t="s">
        <v>656</v>
      </c>
      <c r="O1844" t="s">
        <v>24</v>
      </c>
      <c r="P1844">
        <v>44</v>
      </c>
      <c r="Q1844" s="131">
        <v>26564</v>
      </c>
      <c r="S1844"/>
    </row>
    <row r="1845" spans="1:19" x14ac:dyDescent="0.25">
      <c r="A1845" s="86" t="s">
        <v>534</v>
      </c>
      <c r="B1845" t="s">
        <v>67</v>
      </c>
      <c r="K1845">
        <v>0</v>
      </c>
      <c r="N1845" s="72" t="s">
        <v>12</v>
      </c>
      <c r="O1845" t="s">
        <v>24</v>
      </c>
      <c r="P1845">
        <v>33</v>
      </c>
      <c r="S1845"/>
    </row>
    <row r="1846" spans="1:19" x14ac:dyDescent="0.25">
      <c r="A1846" s="86" t="s">
        <v>1107</v>
      </c>
      <c r="B1846" t="s">
        <v>67</v>
      </c>
      <c r="K1846">
        <v>0</v>
      </c>
      <c r="N1846" s="72" t="s">
        <v>1108</v>
      </c>
      <c r="O1846" t="s">
        <v>24</v>
      </c>
      <c r="P1846">
        <v>30</v>
      </c>
      <c r="S1846"/>
    </row>
    <row r="1847" spans="1:19" x14ac:dyDescent="0.25">
      <c r="A1847" s="86" t="s">
        <v>450</v>
      </c>
      <c r="B1847" t="s">
        <v>161</v>
      </c>
      <c r="K1847">
        <v>0</v>
      </c>
      <c r="N1847" s="72" t="s">
        <v>1853</v>
      </c>
      <c r="O1847" t="s">
        <v>24</v>
      </c>
      <c r="P1847">
        <v>57</v>
      </c>
      <c r="Q1847" s="131">
        <v>21772</v>
      </c>
      <c r="S1847"/>
    </row>
    <row r="1848" spans="1:19" x14ac:dyDescent="0.25">
      <c r="A1848" s="86" t="s">
        <v>2324</v>
      </c>
      <c r="B1848" t="s">
        <v>67</v>
      </c>
      <c r="E1848">
        <v>46</v>
      </c>
      <c r="F1848">
        <v>29</v>
      </c>
      <c r="K1848">
        <v>75</v>
      </c>
      <c r="N1848" s="72" t="s">
        <v>108</v>
      </c>
      <c r="O1848" t="s">
        <v>24</v>
      </c>
      <c r="P1848">
        <v>25</v>
      </c>
      <c r="Q1848" s="131">
        <v>34141</v>
      </c>
      <c r="S1848"/>
    </row>
    <row r="1849" spans="1:19" x14ac:dyDescent="0.25">
      <c r="A1849" s="86" t="s">
        <v>545</v>
      </c>
      <c r="B1849" t="s">
        <v>162</v>
      </c>
      <c r="K1849">
        <v>0</v>
      </c>
      <c r="N1849" s="72" t="s">
        <v>155</v>
      </c>
      <c r="O1849" t="s">
        <v>24</v>
      </c>
      <c r="P1849">
        <v>74</v>
      </c>
      <c r="Q1849" s="131">
        <v>15563</v>
      </c>
      <c r="S1849"/>
    </row>
    <row r="1850" spans="1:19" x14ac:dyDescent="0.25">
      <c r="A1850" s="86" t="s">
        <v>1674</v>
      </c>
      <c r="B1850" t="s">
        <v>67</v>
      </c>
      <c r="K1850">
        <v>0</v>
      </c>
      <c r="N1850" s="72" t="s">
        <v>10</v>
      </c>
      <c r="O1850" t="s">
        <v>24</v>
      </c>
      <c r="P1850">
        <v>19</v>
      </c>
      <c r="S1850"/>
    </row>
    <row r="1851" spans="1:19" x14ac:dyDescent="0.25">
      <c r="A1851" s="86" t="s">
        <v>1041</v>
      </c>
      <c r="B1851" t="s">
        <v>158</v>
      </c>
      <c r="K1851">
        <v>0</v>
      </c>
      <c r="N1851" s="72" t="s">
        <v>154</v>
      </c>
      <c r="O1851" t="s">
        <v>23</v>
      </c>
      <c r="P1851">
        <v>46</v>
      </c>
      <c r="S1851"/>
    </row>
    <row r="1852" spans="1:19" x14ac:dyDescent="0.25">
      <c r="A1852" s="86" t="s">
        <v>2051</v>
      </c>
      <c r="B1852" t="s">
        <v>156</v>
      </c>
      <c r="E1852">
        <v>31</v>
      </c>
      <c r="K1852">
        <v>31</v>
      </c>
      <c r="N1852" s="72" t="s">
        <v>63</v>
      </c>
      <c r="O1852" t="s">
        <v>23</v>
      </c>
      <c r="P1852">
        <v>28</v>
      </c>
      <c r="Q1852" s="131">
        <v>32881</v>
      </c>
      <c r="S1852"/>
    </row>
    <row r="1853" spans="1:19" x14ac:dyDescent="0.25">
      <c r="A1853" s="86" t="s">
        <v>890</v>
      </c>
      <c r="B1853" t="s">
        <v>157</v>
      </c>
      <c r="K1853">
        <v>0</v>
      </c>
      <c r="N1853" s="72" t="s">
        <v>63</v>
      </c>
      <c r="O1853" t="s">
        <v>23</v>
      </c>
      <c r="P1853">
        <v>35</v>
      </c>
      <c r="S1853"/>
    </row>
    <row r="1854" spans="1:19" x14ac:dyDescent="0.25">
      <c r="A1854" s="86" t="s">
        <v>1355</v>
      </c>
      <c r="B1854" t="s">
        <v>160</v>
      </c>
      <c r="K1854">
        <v>0</v>
      </c>
      <c r="N1854" s="72" t="s">
        <v>63</v>
      </c>
      <c r="O1854" t="s">
        <v>24</v>
      </c>
      <c r="P1854">
        <v>44</v>
      </c>
      <c r="Q1854" s="131">
        <v>26475</v>
      </c>
      <c r="S1854"/>
    </row>
    <row r="1855" spans="1:19" x14ac:dyDescent="0.25">
      <c r="A1855" s="86" t="s">
        <v>2366</v>
      </c>
      <c r="B1855" t="s">
        <v>158</v>
      </c>
      <c r="E1855">
        <v>88</v>
      </c>
      <c r="K1855">
        <v>88</v>
      </c>
      <c r="N1855" s="72" t="s">
        <v>155</v>
      </c>
      <c r="O1855" t="s">
        <v>23</v>
      </c>
      <c r="P1855">
        <v>48</v>
      </c>
      <c r="Q1855" s="131">
        <v>25506</v>
      </c>
      <c r="S1855"/>
    </row>
    <row r="1856" spans="1:19" x14ac:dyDescent="0.25">
      <c r="A1856" s="86" t="s">
        <v>307</v>
      </c>
      <c r="B1856" t="s">
        <v>156</v>
      </c>
      <c r="K1856">
        <v>0</v>
      </c>
      <c r="N1856" s="72" t="s">
        <v>10</v>
      </c>
      <c r="O1856" t="s">
        <v>23</v>
      </c>
      <c r="P1856">
        <v>20</v>
      </c>
      <c r="S1856"/>
    </row>
    <row r="1857" spans="1:19" x14ac:dyDescent="0.25">
      <c r="A1857" s="86" t="s">
        <v>1419</v>
      </c>
      <c r="B1857" t="s">
        <v>159</v>
      </c>
      <c r="K1857">
        <v>0</v>
      </c>
      <c r="N1857" s="72" t="s">
        <v>108</v>
      </c>
      <c r="O1857" t="s">
        <v>23</v>
      </c>
      <c r="P1857">
        <v>58</v>
      </c>
      <c r="Q1857" s="131">
        <v>21339</v>
      </c>
      <c r="S1857"/>
    </row>
    <row r="1858" spans="1:19" x14ac:dyDescent="0.25">
      <c r="A1858" s="86" t="s">
        <v>206</v>
      </c>
      <c r="B1858" s="48" t="s">
        <v>158</v>
      </c>
      <c r="K1858">
        <v>0</v>
      </c>
      <c r="N1858" s="72" t="s">
        <v>38</v>
      </c>
      <c r="O1858" t="s">
        <v>23</v>
      </c>
      <c r="P1858">
        <v>53</v>
      </c>
      <c r="Q1858" s="131">
        <v>22888</v>
      </c>
      <c r="S1858"/>
    </row>
    <row r="1859" spans="1:19" x14ac:dyDescent="0.25">
      <c r="A1859" s="86" t="s">
        <v>2001</v>
      </c>
      <c r="B1859" t="s">
        <v>160</v>
      </c>
      <c r="K1859">
        <v>0</v>
      </c>
      <c r="N1859" s="72" t="s">
        <v>657</v>
      </c>
      <c r="O1859" t="s">
        <v>24</v>
      </c>
      <c r="S1859"/>
    </row>
    <row r="1860" spans="1:19" x14ac:dyDescent="0.25">
      <c r="A1860" s="86" t="s">
        <v>1409</v>
      </c>
      <c r="B1860" t="s">
        <v>67</v>
      </c>
      <c r="K1860">
        <v>0</v>
      </c>
      <c r="N1860" s="72" t="s">
        <v>63</v>
      </c>
      <c r="O1860" t="s">
        <v>24</v>
      </c>
      <c r="P1860">
        <v>36</v>
      </c>
      <c r="Q1860" s="131">
        <v>29266</v>
      </c>
      <c r="S1860"/>
    </row>
    <row r="1861" spans="1:19" x14ac:dyDescent="0.25">
      <c r="A1861" s="86" t="s">
        <v>1174</v>
      </c>
      <c r="B1861" t="s">
        <v>156</v>
      </c>
      <c r="K1861">
        <v>0</v>
      </c>
      <c r="N1861" s="72" t="s">
        <v>505</v>
      </c>
      <c r="O1861" t="s">
        <v>23</v>
      </c>
      <c r="P1861">
        <v>22</v>
      </c>
      <c r="S1861"/>
    </row>
    <row r="1862" spans="1:19" x14ac:dyDescent="0.25">
      <c r="A1862" s="86" t="s">
        <v>373</v>
      </c>
      <c r="B1862" t="s">
        <v>158</v>
      </c>
      <c r="F1862">
        <v>7</v>
      </c>
      <c r="K1862">
        <v>7</v>
      </c>
      <c r="N1862" s="72" t="s">
        <v>154</v>
      </c>
      <c r="O1862" t="s">
        <v>23</v>
      </c>
      <c r="P1862">
        <v>54</v>
      </c>
      <c r="Q1862" s="131">
        <v>23268</v>
      </c>
      <c r="S1862"/>
    </row>
    <row r="1863" spans="1:19" x14ac:dyDescent="0.25">
      <c r="A1863" s="86" t="s">
        <v>571</v>
      </c>
      <c r="B1863" s="48" t="s">
        <v>67</v>
      </c>
      <c r="K1863">
        <v>0</v>
      </c>
      <c r="N1863" s="72" t="s">
        <v>14</v>
      </c>
      <c r="O1863" s="48" t="s">
        <v>24</v>
      </c>
      <c r="P1863">
        <v>37</v>
      </c>
      <c r="S1863"/>
    </row>
    <row r="1864" spans="1:19" x14ac:dyDescent="0.25">
      <c r="A1864" s="86" t="s">
        <v>2368</v>
      </c>
      <c r="B1864" t="s">
        <v>156</v>
      </c>
      <c r="E1864">
        <v>95</v>
      </c>
      <c r="K1864">
        <v>95</v>
      </c>
      <c r="N1864" s="72" t="s">
        <v>155</v>
      </c>
      <c r="O1864" t="s">
        <v>23</v>
      </c>
      <c r="P1864">
        <v>20</v>
      </c>
      <c r="Q1864" s="131">
        <v>35715</v>
      </c>
      <c r="S1864"/>
    </row>
    <row r="1865" spans="1:19" x14ac:dyDescent="0.25">
      <c r="A1865" s="86" t="s">
        <v>1131</v>
      </c>
      <c r="B1865" t="s">
        <v>156</v>
      </c>
      <c r="K1865">
        <v>0</v>
      </c>
      <c r="N1865" s="72" t="s">
        <v>108</v>
      </c>
      <c r="O1865" t="s">
        <v>23</v>
      </c>
      <c r="P1865">
        <v>28</v>
      </c>
      <c r="Q1865" s="131">
        <v>32146</v>
      </c>
      <c r="S1865"/>
    </row>
    <row r="1866" spans="1:19" x14ac:dyDescent="0.25">
      <c r="A1866" s="86" t="s">
        <v>2150</v>
      </c>
      <c r="B1866" t="s">
        <v>157</v>
      </c>
      <c r="D1866">
        <v>45</v>
      </c>
      <c r="E1866">
        <v>76</v>
      </c>
      <c r="K1866">
        <v>121</v>
      </c>
      <c r="N1866" s="72" t="s">
        <v>12</v>
      </c>
      <c r="O1866" t="s">
        <v>23</v>
      </c>
      <c r="P1866">
        <v>38</v>
      </c>
      <c r="Q1866" s="131">
        <v>29291</v>
      </c>
      <c r="S1866"/>
    </row>
    <row r="1867" spans="1:19" x14ac:dyDescent="0.25">
      <c r="A1867" s="86"/>
      <c r="S1867"/>
    </row>
    <row r="1868" spans="1:19" x14ac:dyDescent="0.25">
      <c r="A1868" s="86"/>
      <c r="S1868"/>
    </row>
    <row r="1869" spans="1:19" x14ac:dyDescent="0.25">
      <c r="A1869" s="86"/>
      <c r="S1869"/>
    </row>
    <row r="1870" spans="1:19" x14ac:dyDescent="0.25">
      <c r="A1870" s="86"/>
      <c r="S1870"/>
    </row>
    <row r="1871" spans="1:19" x14ac:dyDescent="0.25">
      <c r="S1871"/>
    </row>
  </sheetData>
  <sheetProtection password="CC06" sheet="1" objects="1" scenarios="1"/>
  <autoFilter ref="A1:AE1871" xr:uid="{00000000-0009-0000-0000-000011000000}"/>
  <sortState xmlns:xlrd2="http://schemas.microsoft.com/office/spreadsheetml/2017/richdata2" ref="U13:AE13">
    <sortCondition ref="A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fitToPage="1"/>
  </sheetPr>
  <dimension ref="A1:S501"/>
  <sheetViews>
    <sheetView showGridLines="0" topLeftCell="A177" zoomScaleNormal="100" workbookViewId="0">
      <selection activeCell="B194" sqref="B194"/>
    </sheetView>
  </sheetViews>
  <sheetFormatPr defaultRowHeight="15.75" x14ac:dyDescent="0.25"/>
  <cols>
    <col min="1" max="1" width="5.875" style="13" customWidth="1"/>
    <col min="2" max="2" width="19.875" style="2" customWidth="1"/>
    <col min="4" max="4" width="22.75" style="2" customWidth="1"/>
    <col min="5" max="5" width="7.125" style="13" customWidth="1"/>
    <col min="6" max="6" width="7.125" style="123" customWidth="1"/>
    <col min="7" max="7" width="4.375" style="13" customWidth="1"/>
    <col min="8" max="8" width="15.375" style="133" customWidth="1"/>
    <col min="9" max="9" width="11.375" style="79" hidden="1" customWidth="1"/>
    <col min="10" max="10" width="11.5" style="79" hidden="1" customWidth="1"/>
    <col min="11" max="11" width="9.25" style="2" hidden="1" customWidth="1"/>
    <col min="12" max="12" width="17.75" style="2" hidden="1" customWidth="1"/>
    <col min="13" max="13" width="9" style="2" hidden="1" customWidth="1"/>
    <col min="14" max="14" width="21.875" style="2" hidden="1" customWidth="1"/>
    <col min="15" max="19" width="9" style="2" hidden="1" customWidth="1"/>
    <col min="20" max="20" width="9" customWidth="1"/>
  </cols>
  <sheetData>
    <row r="1" spans="1:19" ht="16.5" thickBot="1" x14ac:dyDescent="0.3">
      <c r="A1" s="120" t="s">
        <v>6</v>
      </c>
      <c r="B1" s="121" t="s">
        <v>2</v>
      </c>
      <c r="C1" s="102" t="s">
        <v>7</v>
      </c>
      <c r="D1" s="121" t="s">
        <v>3</v>
      </c>
      <c r="E1" s="121" t="s">
        <v>22</v>
      </c>
      <c r="F1" s="185" t="s">
        <v>37</v>
      </c>
      <c r="G1" s="122" t="s">
        <v>1242</v>
      </c>
      <c r="H1" s="132" t="s">
        <v>1240</v>
      </c>
      <c r="I1" s="3"/>
      <c r="J1" s="3"/>
      <c r="K1" s="5"/>
      <c r="Q1" s="2">
        <v>1</v>
      </c>
      <c r="R1" s="2" t="s">
        <v>67</v>
      </c>
      <c r="S1" s="2" t="s">
        <v>156</v>
      </c>
    </row>
    <row r="2" spans="1:19" ht="16.5" thickBot="1" x14ac:dyDescent="0.3">
      <c r="A2" s="175">
        <v>1</v>
      </c>
      <c r="B2" s="170" t="s">
        <v>1122</v>
      </c>
      <c r="C2" s="1" t="str">
        <f t="shared" ref="C2:C65" si="0">IF(AND(E2="M",F2&lt;&gt;""),LOOKUP(F2,$Q$1:$Q$100,$R$1:$R$100),IF(AND(E2="F",F2&lt;&gt;""),LOOKUP(F2,$Q$1:$Q$100,$S$1:$S$100),""))</f>
        <v>VM40</v>
      </c>
      <c r="D2" s="179" t="s">
        <v>43</v>
      </c>
      <c r="E2" s="180" t="s">
        <v>24</v>
      </c>
      <c r="F2" s="186">
        <v>46</v>
      </c>
      <c r="G2" s="180"/>
      <c r="H2" s="181">
        <v>26288</v>
      </c>
      <c r="I2" s="4"/>
      <c r="J2" s="4"/>
      <c r="K2" s="6" t="str">
        <f t="shared" ref="K2:K33" si="1">IF(ISERROR(CONCATENATE(LEFT(L2,3),MID(L2,(FIND(",",L2)+2),3))),"",CONCATENATE(LEFT(L2,3),MID(L2,(FIND(",",L2)+2),3)))</f>
        <v/>
      </c>
      <c r="L2" s="8" t="str">
        <f>IF(LEN(B2)&lt;1,"",B2)</f>
        <v>Diarmuid Mac Donnell</v>
      </c>
      <c r="M2" s="8" t="str">
        <f t="shared" ref="M2:M65" si="2">IF(LEN(C2)&lt;1,"",C2)</f>
        <v>VM40</v>
      </c>
      <c r="N2" s="8" t="str">
        <f t="shared" ref="N2:N65" si="3">D2</f>
        <v>Barking Road Runners</v>
      </c>
      <c r="O2" s="8" t="str">
        <f t="shared" ref="O2:O65" si="4">E2</f>
        <v>M</v>
      </c>
      <c r="P2" s="9">
        <f t="shared" ref="P2:P65" si="5">G2</f>
        <v>0</v>
      </c>
      <c r="Q2" s="2">
        <v>2</v>
      </c>
      <c r="R2" s="2" t="s">
        <v>67</v>
      </c>
      <c r="S2" s="2" t="s">
        <v>156</v>
      </c>
    </row>
    <row r="3" spans="1:19" ht="16.5" thickBot="1" x14ac:dyDescent="0.3">
      <c r="A3" s="175">
        <v>2</v>
      </c>
      <c r="B3" s="170" t="s">
        <v>239</v>
      </c>
      <c r="C3" s="1" t="str">
        <f t="shared" si="0"/>
        <v>VM40</v>
      </c>
      <c r="D3" s="179" t="s">
        <v>43</v>
      </c>
      <c r="E3" s="182" t="s">
        <v>24</v>
      </c>
      <c r="F3" s="186">
        <v>48</v>
      </c>
      <c r="G3" s="180"/>
      <c r="H3" s="181">
        <v>25721</v>
      </c>
      <c r="I3" s="4"/>
      <c r="J3" s="4"/>
      <c r="K3" s="7" t="str">
        <f t="shared" si="1"/>
        <v/>
      </c>
      <c r="L3" s="8" t="str">
        <f t="shared" ref="L3:L65" si="6">IF(LEN(B3)&lt;1,"",B3)</f>
        <v>Dervish Bartlett</v>
      </c>
      <c r="M3" s="8" t="str">
        <f t="shared" si="2"/>
        <v>VM40</v>
      </c>
      <c r="N3" s="8" t="str">
        <f t="shared" si="3"/>
        <v>Barking Road Runners</v>
      </c>
      <c r="O3" s="8" t="str">
        <f t="shared" si="4"/>
        <v>M</v>
      </c>
      <c r="P3" s="9">
        <f t="shared" si="5"/>
        <v>0</v>
      </c>
      <c r="Q3" s="2">
        <v>3</v>
      </c>
      <c r="R3" s="2" t="s">
        <v>67</v>
      </c>
      <c r="S3" s="2" t="s">
        <v>156</v>
      </c>
    </row>
    <row r="4" spans="1:19" ht="16.5" thickBot="1" x14ac:dyDescent="0.3">
      <c r="A4" s="175">
        <v>3</v>
      </c>
      <c r="B4" s="170" t="s">
        <v>1112</v>
      </c>
      <c r="C4" s="1" t="str">
        <f t="shared" si="0"/>
        <v>SM</v>
      </c>
      <c r="D4" s="179" t="s">
        <v>43</v>
      </c>
      <c r="E4" s="180" t="s">
        <v>24</v>
      </c>
      <c r="F4" s="186">
        <v>18</v>
      </c>
      <c r="G4" s="180"/>
      <c r="H4" s="181">
        <v>36643</v>
      </c>
      <c r="I4" s="4"/>
      <c r="J4" s="4"/>
      <c r="K4" s="7" t="str">
        <f t="shared" si="1"/>
        <v/>
      </c>
      <c r="L4" s="8" t="str">
        <f t="shared" si="6"/>
        <v>Philip Ellul</v>
      </c>
      <c r="M4" s="8" t="str">
        <f t="shared" si="2"/>
        <v>SM</v>
      </c>
      <c r="N4" s="8" t="str">
        <f t="shared" si="3"/>
        <v>Barking Road Runners</v>
      </c>
      <c r="O4" s="8" t="str">
        <f t="shared" si="4"/>
        <v>M</v>
      </c>
      <c r="P4" s="9">
        <f t="shared" si="5"/>
        <v>0</v>
      </c>
      <c r="Q4" s="2">
        <v>4</v>
      </c>
      <c r="R4" s="2" t="s">
        <v>67</v>
      </c>
      <c r="S4" s="2" t="s">
        <v>156</v>
      </c>
    </row>
    <row r="5" spans="1:19" ht="16.5" thickBot="1" x14ac:dyDescent="0.3">
      <c r="A5" s="175">
        <v>4</v>
      </c>
      <c r="B5" s="170" t="s">
        <v>1789</v>
      </c>
      <c r="C5" s="1" t="str">
        <f t="shared" si="0"/>
        <v>VM40</v>
      </c>
      <c r="D5" s="179" t="s">
        <v>43</v>
      </c>
      <c r="E5" s="180" t="s">
        <v>24</v>
      </c>
      <c r="F5" s="186">
        <v>46</v>
      </c>
      <c r="G5" s="180"/>
      <c r="H5" s="181">
        <v>26204</v>
      </c>
      <c r="I5" s="4"/>
      <c r="J5" s="4"/>
      <c r="K5" s="7" t="str">
        <f t="shared" si="1"/>
        <v/>
      </c>
      <c r="L5" s="8" t="str">
        <f t="shared" si="6"/>
        <v>Paul Ward</v>
      </c>
      <c r="M5" s="8" t="str">
        <f t="shared" si="2"/>
        <v>VM40</v>
      </c>
      <c r="N5" s="8" t="str">
        <f t="shared" si="3"/>
        <v>Barking Road Runners</v>
      </c>
      <c r="O5" s="8" t="str">
        <f t="shared" si="4"/>
        <v>M</v>
      </c>
      <c r="P5" s="9">
        <f t="shared" si="5"/>
        <v>0</v>
      </c>
      <c r="Q5" s="2">
        <v>5</v>
      </c>
      <c r="R5" s="2" t="s">
        <v>67</v>
      </c>
      <c r="S5" s="2" t="s">
        <v>156</v>
      </c>
    </row>
    <row r="6" spans="1:19" ht="16.5" thickBot="1" x14ac:dyDescent="0.3">
      <c r="A6" s="175">
        <v>5</v>
      </c>
      <c r="B6" s="170" t="s">
        <v>675</v>
      </c>
      <c r="C6" s="1" t="str">
        <f t="shared" si="0"/>
        <v>VF35</v>
      </c>
      <c r="D6" s="188" t="s">
        <v>43</v>
      </c>
      <c r="E6" s="182" t="s">
        <v>23</v>
      </c>
      <c r="F6" s="186">
        <v>39</v>
      </c>
      <c r="G6" s="180"/>
      <c r="H6" s="181">
        <v>28876</v>
      </c>
      <c r="I6" s="4"/>
      <c r="J6" s="4"/>
      <c r="K6" s="7" t="str">
        <f t="shared" si="1"/>
        <v/>
      </c>
      <c r="L6" s="8" t="str">
        <f t="shared" si="6"/>
        <v>Faye Spooner</v>
      </c>
      <c r="M6" s="8" t="str">
        <f t="shared" si="2"/>
        <v>VF35</v>
      </c>
      <c r="N6" s="8" t="str">
        <f t="shared" si="3"/>
        <v>Barking Road Runners</v>
      </c>
      <c r="O6" s="8" t="str">
        <f t="shared" si="4"/>
        <v>F</v>
      </c>
      <c r="P6" s="9">
        <f t="shared" si="5"/>
        <v>0</v>
      </c>
      <c r="Q6" s="2">
        <v>6</v>
      </c>
      <c r="R6" s="2" t="s">
        <v>67</v>
      </c>
      <c r="S6" s="2" t="s">
        <v>156</v>
      </c>
    </row>
    <row r="7" spans="1:19" ht="16.5" thickBot="1" x14ac:dyDescent="0.3">
      <c r="A7" s="175">
        <v>6</v>
      </c>
      <c r="B7" s="170" t="s">
        <v>193</v>
      </c>
      <c r="C7" s="1" t="str">
        <f t="shared" si="0"/>
        <v>VF45</v>
      </c>
      <c r="D7" s="179" t="s">
        <v>43</v>
      </c>
      <c r="E7" s="182" t="s">
        <v>23</v>
      </c>
      <c r="F7" s="186">
        <v>48</v>
      </c>
      <c r="G7" s="180"/>
      <c r="H7" s="181">
        <v>25547</v>
      </c>
      <c r="I7" s="4"/>
      <c r="J7" s="4"/>
      <c r="K7" s="7" t="str">
        <f t="shared" si="1"/>
        <v/>
      </c>
      <c r="L7" s="8" t="str">
        <f t="shared" si="6"/>
        <v>Amanda Heslegrave</v>
      </c>
      <c r="M7" s="8" t="str">
        <f t="shared" si="2"/>
        <v>VF45</v>
      </c>
      <c r="N7" s="8" t="str">
        <f t="shared" si="3"/>
        <v>Barking Road Runners</v>
      </c>
      <c r="O7" s="8" t="str">
        <f t="shared" si="4"/>
        <v>F</v>
      </c>
      <c r="P7" s="9">
        <f t="shared" si="5"/>
        <v>0</v>
      </c>
      <c r="Q7" s="2">
        <v>7</v>
      </c>
      <c r="R7" s="2" t="s">
        <v>67</v>
      </c>
      <c r="S7" s="2" t="s">
        <v>156</v>
      </c>
    </row>
    <row r="8" spans="1:19" ht="16.5" thickBot="1" x14ac:dyDescent="0.3">
      <c r="A8" s="175">
        <v>7</v>
      </c>
      <c r="B8" s="170" t="s">
        <v>269</v>
      </c>
      <c r="C8" s="1" t="str">
        <f t="shared" si="0"/>
        <v>VM60</v>
      </c>
      <c r="D8" s="179" t="s">
        <v>43</v>
      </c>
      <c r="E8" s="182" t="s">
        <v>24</v>
      </c>
      <c r="F8" s="186">
        <v>66</v>
      </c>
      <c r="G8" s="180"/>
      <c r="H8" s="181">
        <v>19111</v>
      </c>
      <c r="I8" s="4"/>
      <c r="J8" s="4"/>
      <c r="K8" s="7" t="str">
        <f t="shared" si="1"/>
        <v/>
      </c>
      <c r="L8" s="8" t="str">
        <f t="shared" si="6"/>
        <v>Ronald Vialls</v>
      </c>
      <c r="M8" s="8" t="str">
        <f t="shared" si="2"/>
        <v>VM60</v>
      </c>
      <c r="N8" s="8" t="str">
        <f t="shared" si="3"/>
        <v>Barking Road Runners</v>
      </c>
      <c r="O8" s="8" t="str">
        <f t="shared" si="4"/>
        <v>M</v>
      </c>
      <c r="P8" s="9">
        <f t="shared" si="5"/>
        <v>0</v>
      </c>
      <c r="Q8" s="2">
        <v>8</v>
      </c>
      <c r="R8" s="2" t="s">
        <v>67</v>
      </c>
      <c r="S8" s="2" t="s">
        <v>156</v>
      </c>
    </row>
    <row r="9" spans="1:19" ht="16.5" thickBot="1" x14ac:dyDescent="0.3">
      <c r="A9" s="175">
        <v>8</v>
      </c>
      <c r="B9" s="170" t="s">
        <v>1899</v>
      </c>
      <c r="C9" s="1" t="str">
        <f t="shared" si="0"/>
        <v>SF</v>
      </c>
      <c r="D9" s="179" t="s">
        <v>43</v>
      </c>
      <c r="E9" s="182" t="s">
        <v>23</v>
      </c>
      <c r="F9" s="186">
        <v>28</v>
      </c>
      <c r="G9" s="180"/>
      <c r="H9" s="181">
        <v>32798</v>
      </c>
      <c r="I9" s="4"/>
      <c r="J9" s="4"/>
      <c r="K9" s="7" t="str">
        <f t="shared" si="1"/>
        <v/>
      </c>
      <c r="L9" s="8" t="str">
        <f t="shared" si="6"/>
        <v>Charlotte Owen</v>
      </c>
      <c r="M9" s="8" t="str">
        <f t="shared" si="2"/>
        <v>SF</v>
      </c>
      <c r="N9" s="8" t="str">
        <f t="shared" si="3"/>
        <v>Barking Road Runners</v>
      </c>
      <c r="O9" s="8" t="str">
        <f t="shared" si="4"/>
        <v>F</v>
      </c>
      <c r="P9" s="9">
        <f t="shared" si="5"/>
        <v>0</v>
      </c>
      <c r="Q9" s="2">
        <v>9</v>
      </c>
      <c r="R9" s="2" t="s">
        <v>67</v>
      </c>
      <c r="S9" s="2" t="s">
        <v>156</v>
      </c>
    </row>
    <row r="10" spans="1:19" ht="16.5" thickBot="1" x14ac:dyDescent="0.3">
      <c r="A10" s="175">
        <v>9</v>
      </c>
      <c r="B10" s="170" t="s">
        <v>1119</v>
      </c>
      <c r="C10" s="1" t="str">
        <f t="shared" si="0"/>
        <v>SM</v>
      </c>
      <c r="D10" s="179" t="s">
        <v>43</v>
      </c>
      <c r="E10" s="182" t="s">
        <v>24</v>
      </c>
      <c r="F10" s="186">
        <v>37</v>
      </c>
      <c r="G10" s="180"/>
      <c r="H10" s="181">
        <v>29682</v>
      </c>
      <c r="I10" s="4"/>
      <c r="J10" s="4"/>
      <c r="K10" s="7" t="str">
        <f t="shared" si="1"/>
        <v/>
      </c>
      <c r="L10" s="8" t="str">
        <f t="shared" si="6"/>
        <v>Paul Withyman</v>
      </c>
      <c r="M10" s="8" t="str">
        <f t="shared" si="2"/>
        <v>SM</v>
      </c>
      <c r="N10" s="8" t="str">
        <f t="shared" si="3"/>
        <v>Barking Road Runners</v>
      </c>
      <c r="O10" s="8" t="str">
        <f t="shared" si="4"/>
        <v>M</v>
      </c>
      <c r="P10" s="9">
        <f t="shared" si="5"/>
        <v>0</v>
      </c>
      <c r="Q10" s="2">
        <v>10</v>
      </c>
      <c r="R10" s="2" t="s">
        <v>67</v>
      </c>
      <c r="S10" s="2" t="s">
        <v>156</v>
      </c>
    </row>
    <row r="11" spans="1:19" ht="16.5" thickBot="1" x14ac:dyDescent="0.3">
      <c r="A11" s="175">
        <v>10</v>
      </c>
      <c r="B11" s="170" t="s">
        <v>1840</v>
      </c>
      <c r="C11" s="1" t="str">
        <f t="shared" si="0"/>
        <v>VF35</v>
      </c>
      <c r="D11" s="188" t="s">
        <v>43</v>
      </c>
      <c r="E11" s="182" t="s">
        <v>23</v>
      </c>
      <c r="F11" s="186">
        <v>37</v>
      </c>
      <c r="G11" s="180"/>
      <c r="H11" s="181">
        <v>29794</v>
      </c>
      <c r="I11" s="4"/>
      <c r="J11" s="4"/>
      <c r="K11" s="7" t="str">
        <f t="shared" si="1"/>
        <v/>
      </c>
      <c r="L11" s="8" t="str">
        <f t="shared" si="6"/>
        <v>Kate Withyman</v>
      </c>
      <c r="M11" s="8" t="str">
        <f t="shared" si="2"/>
        <v>VF35</v>
      </c>
      <c r="N11" s="8" t="str">
        <f t="shared" si="3"/>
        <v>Barking Road Runners</v>
      </c>
      <c r="O11" s="8" t="str">
        <f t="shared" si="4"/>
        <v>F</v>
      </c>
      <c r="P11" s="9">
        <f t="shared" si="5"/>
        <v>0</v>
      </c>
      <c r="Q11" s="2">
        <v>11</v>
      </c>
      <c r="R11" s="2" t="s">
        <v>67</v>
      </c>
      <c r="S11" s="2" t="s">
        <v>156</v>
      </c>
    </row>
    <row r="12" spans="1:19" ht="16.5" thickBot="1" x14ac:dyDescent="0.3">
      <c r="A12" s="175">
        <v>11</v>
      </c>
      <c r="B12" s="170" t="s">
        <v>565</v>
      </c>
      <c r="C12" s="1" t="str">
        <f t="shared" si="0"/>
        <v>SM</v>
      </c>
      <c r="D12" s="188" t="s">
        <v>43</v>
      </c>
      <c r="E12" s="182" t="s">
        <v>24</v>
      </c>
      <c r="F12" s="186">
        <v>28</v>
      </c>
      <c r="G12" s="180"/>
      <c r="H12" s="181">
        <v>33088</v>
      </c>
      <c r="I12" s="4"/>
      <c r="J12" s="4"/>
      <c r="K12" s="7" t="str">
        <f t="shared" si="1"/>
        <v/>
      </c>
      <c r="L12" s="8" t="str">
        <f t="shared" si="6"/>
        <v>Liviu Ionita</v>
      </c>
      <c r="M12" s="8" t="str">
        <f t="shared" si="2"/>
        <v>SM</v>
      </c>
      <c r="N12" s="8" t="str">
        <f t="shared" si="3"/>
        <v>Barking Road Runners</v>
      </c>
      <c r="O12" s="8" t="str">
        <f t="shared" si="4"/>
        <v>M</v>
      </c>
      <c r="P12" s="9">
        <f t="shared" si="5"/>
        <v>0</v>
      </c>
      <c r="Q12" s="2">
        <v>12</v>
      </c>
      <c r="R12" s="2" t="s">
        <v>67</v>
      </c>
      <c r="S12" s="2" t="s">
        <v>156</v>
      </c>
    </row>
    <row r="13" spans="1:19" ht="16.5" thickBot="1" x14ac:dyDescent="0.3">
      <c r="A13" s="175">
        <v>12</v>
      </c>
      <c r="B13" s="170" t="s">
        <v>195</v>
      </c>
      <c r="C13" s="1" t="str">
        <f t="shared" si="0"/>
        <v>VM50</v>
      </c>
      <c r="D13" s="179" t="s">
        <v>108</v>
      </c>
      <c r="E13" s="182" t="s">
        <v>24</v>
      </c>
      <c r="F13" s="186">
        <v>58</v>
      </c>
      <c r="G13" s="180"/>
      <c r="H13" s="181">
        <v>22106</v>
      </c>
      <c r="I13" s="4"/>
      <c r="J13" s="4"/>
      <c r="K13" s="7" t="str">
        <f t="shared" si="1"/>
        <v/>
      </c>
      <c r="L13" s="8" t="str">
        <f t="shared" si="6"/>
        <v>Sukhbindar Jandu</v>
      </c>
      <c r="M13" s="8" t="str">
        <f t="shared" si="2"/>
        <v>VM50</v>
      </c>
      <c r="N13" s="8" t="str">
        <f t="shared" si="3"/>
        <v>Ilford AC</v>
      </c>
      <c r="O13" s="8" t="str">
        <f t="shared" si="4"/>
        <v>M</v>
      </c>
      <c r="P13" s="9">
        <f t="shared" si="5"/>
        <v>0</v>
      </c>
      <c r="Q13" s="2">
        <v>13</v>
      </c>
      <c r="R13" s="2" t="s">
        <v>67</v>
      </c>
      <c r="S13" s="134" t="s">
        <v>156</v>
      </c>
    </row>
    <row r="14" spans="1:19" ht="16.5" thickBot="1" x14ac:dyDescent="0.3">
      <c r="A14" s="175">
        <v>13</v>
      </c>
      <c r="B14" s="170" t="s">
        <v>391</v>
      </c>
      <c r="C14" s="1" t="str">
        <f t="shared" si="0"/>
        <v>VM40</v>
      </c>
      <c r="D14" s="179" t="s">
        <v>39</v>
      </c>
      <c r="E14" s="182" t="s">
        <v>24</v>
      </c>
      <c r="F14" s="186">
        <v>42</v>
      </c>
      <c r="G14" s="180"/>
      <c r="H14" s="181">
        <v>27879</v>
      </c>
      <c r="I14" s="4"/>
      <c r="J14" s="4"/>
      <c r="K14" s="7" t="str">
        <f t="shared" si="1"/>
        <v/>
      </c>
      <c r="L14" s="8" t="str">
        <f t="shared" si="6"/>
        <v>Crispian Bloomfield</v>
      </c>
      <c r="M14" s="8" t="str">
        <f t="shared" si="2"/>
        <v>VM40</v>
      </c>
      <c r="N14" s="8" t="str">
        <f t="shared" si="3"/>
        <v>Billericay Striders</v>
      </c>
      <c r="O14" s="8" t="str">
        <f t="shared" si="4"/>
        <v>M</v>
      </c>
      <c r="P14" s="9">
        <f t="shared" si="5"/>
        <v>0</v>
      </c>
      <c r="Q14" s="2">
        <v>14</v>
      </c>
      <c r="R14" s="2" t="s">
        <v>67</v>
      </c>
      <c r="S14" s="2" t="s">
        <v>156</v>
      </c>
    </row>
    <row r="15" spans="1:19" ht="16.5" thickBot="1" x14ac:dyDescent="0.3">
      <c r="A15" s="175">
        <v>14</v>
      </c>
      <c r="B15" s="170" t="s">
        <v>2208</v>
      </c>
      <c r="C15" s="1" t="str">
        <f t="shared" si="0"/>
        <v>SM</v>
      </c>
      <c r="D15" s="179" t="s">
        <v>12</v>
      </c>
      <c r="E15" s="182" t="s">
        <v>24</v>
      </c>
      <c r="F15" s="186">
        <v>32</v>
      </c>
      <c r="G15" s="180"/>
      <c r="H15" s="181">
        <v>31587</v>
      </c>
      <c r="I15" s="4"/>
      <c r="J15" s="4"/>
      <c r="K15" s="7" t="str">
        <f t="shared" si="1"/>
        <v/>
      </c>
      <c r="L15" s="8" t="str">
        <f t="shared" si="6"/>
        <v>Jimmy Dale</v>
      </c>
      <c r="M15" s="8" t="str">
        <f t="shared" si="2"/>
        <v>SM</v>
      </c>
      <c r="N15" s="8" t="str">
        <f t="shared" si="3"/>
        <v>East London Runners</v>
      </c>
      <c r="O15" s="8" t="str">
        <f t="shared" si="4"/>
        <v>M</v>
      </c>
      <c r="P15" s="9">
        <f t="shared" si="5"/>
        <v>0</v>
      </c>
      <c r="Q15" s="2">
        <v>15</v>
      </c>
      <c r="R15" s="2" t="s">
        <v>67</v>
      </c>
      <c r="S15" s="2" t="s">
        <v>156</v>
      </c>
    </row>
    <row r="16" spans="1:19" ht="16.5" thickBot="1" x14ac:dyDescent="0.3">
      <c r="A16" s="175">
        <v>15</v>
      </c>
      <c r="B16" s="170" t="s">
        <v>2762</v>
      </c>
      <c r="C16" s="1" t="str">
        <f t="shared" si="0"/>
        <v>VM50</v>
      </c>
      <c r="D16" s="179" t="s">
        <v>108</v>
      </c>
      <c r="E16" s="182" t="s">
        <v>24</v>
      </c>
      <c r="F16" s="186">
        <v>52</v>
      </c>
      <c r="G16" s="180"/>
      <c r="H16" s="181">
        <v>24029</v>
      </c>
      <c r="I16" s="4"/>
      <c r="J16" s="4"/>
      <c r="K16" s="7" t="str">
        <f t="shared" si="1"/>
        <v/>
      </c>
      <c r="L16" s="8" t="str">
        <f t="shared" si="6"/>
        <v>stephen philcox</v>
      </c>
      <c r="M16" s="8" t="str">
        <f t="shared" si="2"/>
        <v>VM50</v>
      </c>
      <c r="N16" s="8" t="str">
        <f t="shared" si="3"/>
        <v>Ilford AC</v>
      </c>
      <c r="O16" s="8" t="str">
        <f t="shared" si="4"/>
        <v>M</v>
      </c>
      <c r="P16" s="9">
        <f t="shared" si="5"/>
        <v>0</v>
      </c>
      <c r="Q16" s="2">
        <v>16</v>
      </c>
      <c r="R16" s="2" t="s">
        <v>67</v>
      </c>
      <c r="S16" s="2" t="s">
        <v>156</v>
      </c>
    </row>
    <row r="17" spans="1:19" ht="16.5" thickBot="1" x14ac:dyDescent="0.3">
      <c r="A17" s="175">
        <v>16</v>
      </c>
      <c r="B17" s="170" t="s">
        <v>298</v>
      </c>
      <c r="C17" s="1" t="str">
        <f t="shared" si="0"/>
        <v>VF45</v>
      </c>
      <c r="D17" s="188" t="s">
        <v>108</v>
      </c>
      <c r="E17" s="182" t="s">
        <v>23</v>
      </c>
      <c r="F17" s="186">
        <v>50</v>
      </c>
      <c r="G17" s="180"/>
      <c r="H17" s="181">
        <v>24855</v>
      </c>
      <c r="I17" s="4"/>
      <c r="J17" s="4"/>
      <c r="K17" s="7" t="str">
        <f t="shared" si="1"/>
        <v/>
      </c>
      <c r="L17" s="8" t="str">
        <f>IF(LEN(B17)&lt;1,"",B17)</f>
        <v>Julie Gillender</v>
      </c>
      <c r="M17" s="8" t="str">
        <f t="shared" si="2"/>
        <v>VF45</v>
      </c>
      <c r="N17" s="8" t="str">
        <f t="shared" si="3"/>
        <v>Ilford AC</v>
      </c>
      <c r="O17" s="8" t="str">
        <f t="shared" si="4"/>
        <v>F</v>
      </c>
      <c r="P17" s="9">
        <f t="shared" si="5"/>
        <v>0</v>
      </c>
      <c r="Q17" s="2">
        <v>17</v>
      </c>
      <c r="R17" s="2" t="s">
        <v>67</v>
      </c>
      <c r="S17" s="2" t="s">
        <v>156</v>
      </c>
    </row>
    <row r="18" spans="1:19" ht="16.5" thickBot="1" x14ac:dyDescent="0.3">
      <c r="A18" s="175">
        <v>17</v>
      </c>
      <c r="B18" s="170" t="s">
        <v>1345</v>
      </c>
      <c r="C18" s="1" t="str">
        <f t="shared" si="0"/>
        <v>VM40</v>
      </c>
      <c r="D18" s="179" t="s">
        <v>12</v>
      </c>
      <c r="E18" s="182" t="s">
        <v>24</v>
      </c>
      <c r="F18" s="186">
        <v>42</v>
      </c>
      <c r="G18" s="180"/>
      <c r="H18" s="181">
        <v>27732</v>
      </c>
      <c r="I18" s="4"/>
      <c r="J18" s="4"/>
      <c r="K18" s="7" t="str">
        <f t="shared" si="1"/>
        <v/>
      </c>
      <c r="L18" s="8" t="str">
        <f t="shared" si="6"/>
        <v>Dan Senior</v>
      </c>
      <c r="M18" s="8" t="str">
        <f t="shared" si="2"/>
        <v>VM40</v>
      </c>
      <c r="N18" s="8" t="str">
        <f t="shared" si="3"/>
        <v>East London Runners</v>
      </c>
      <c r="O18" s="8" t="str">
        <f t="shared" si="4"/>
        <v>M</v>
      </c>
      <c r="P18" s="9">
        <f t="shared" si="5"/>
        <v>0</v>
      </c>
      <c r="Q18" s="2">
        <v>18</v>
      </c>
      <c r="R18" s="2" t="s">
        <v>67</v>
      </c>
      <c r="S18" s="2" t="s">
        <v>156</v>
      </c>
    </row>
    <row r="19" spans="1:19" ht="16.5" thickBot="1" x14ac:dyDescent="0.3">
      <c r="A19" s="175">
        <v>18</v>
      </c>
      <c r="B19" s="170" t="s">
        <v>690</v>
      </c>
      <c r="C19" s="1" t="str">
        <f t="shared" si="0"/>
        <v>VM40</v>
      </c>
      <c r="D19" s="188" t="s">
        <v>12</v>
      </c>
      <c r="E19" s="182" t="s">
        <v>24</v>
      </c>
      <c r="F19" s="186">
        <v>45</v>
      </c>
      <c r="G19" s="180"/>
      <c r="H19" s="181">
        <v>26611</v>
      </c>
      <c r="I19" s="4"/>
      <c r="J19" s="4"/>
      <c r="K19" s="7" t="str">
        <f t="shared" si="1"/>
        <v/>
      </c>
      <c r="L19" s="8" t="str">
        <f t="shared" si="6"/>
        <v>Dan Gritton</v>
      </c>
      <c r="M19" s="8" t="str">
        <f t="shared" si="2"/>
        <v>VM40</v>
      </c>
      <c r="N19" s="8" t="str">
        <f t="shared" si="3"/>
        <v>East London Runners</v>
      </c>
      <c r="O19" s="8" t="str">
        <f t="shared" si="4"/>
        <v>M</v>
      </c>
      <c r="P19" s="9">
        <f t="shared" si="5"/>
        <v>0</v>
      </c>
      <c r="Q19" s="2">
        <v>19</v>
      </c>
      <c r="R19" s="2" t="s">
        <v>67</v>
      </c>
      <c r="S19" s="2" t="s">
        <v>156</v>
      </c>
    </row>
    <row r="20" spans="1:19" ht="16.5" thickBot="1" x14ac:dyDescent="0.3">
      <c r="A20" s="175">
        <v>19</v>
      </c>
      <c r="B20" s="170" t="s">
        <v>185</v>
      </c>
      <c r="C20" s="1" t="str">
        <f t="shared" si="0"/>
        <v>VF45</v>
      </c>
      <c r="D20" s="179" t="s">
        <v>12</v>
      </c>
      <c r="E20" s="182" t="s">
        <v>23</v>
      </c>
      <c r="F20" s="186">
        <v>47</v>
      </c>
      <c r="G20" s="180"/>
      <c r="H20" s="181">
        <v>25856</v>
      </c>
      <c r="I20" s="4"/>
      <c r="J20" s="4"/>
      <c r="K20" s="7" t="str">
        <f t="shared" si="1"/>
        <v/>
      </c>
      <c r="L20" s="8" t="str">
        <f t="shared" si="6"/>
        <v>Bernadett Kalmar</v>
      </c>
      <c r="M20" s="8" t="str">
        <f t="shared" si="2"/>
        <v>VF45</v>
      </c>
      <c r="N20" s="8" t="str">
        <f t="shared" si="3"/>
        <v>East London Runners</v>
      </c>
      <c r="O20" s="8" t="str">
        <f t="shared" si="4"/>
        <v>F</v>
      </c>
      <c r="P20" s="9">
        <f t="shared" si="5"/>
        <v>0</v>
      </c>
      <c r="Q20" s="2">
        <v>20</v>
      </c>
      <c r="R20" s="2" t="s">
        <v>67</v>
      </c>
      <c r="S20" s="2" t="s">
        <v>156</v>
      </c>
    </row>
    <row r="21" spans="1:19" ht="16.5" thickBot="1" x14ac:dyDescent="0.3">
      <c r="A21" s="175">
        <v>20</v>
      </c>
      <c r="B21" s="170" t="s">
        <v>544</v>
      </c>
      <c r="C21" s="1" t="str">
        <f t="shared" si="0"/>
        <v>VM60</v>
      </c>
      <c r="D21" s="179" t="s">
        <v>54</v>
      </c>
      <c r="E21" s="182" t="s">
        <v>24</v>
      </c>
      <c r="F21" s="186">
        <v>62</v>
      </c>
      <c r="G21" s="180"/>
      <c r="H21" s="181">
        <v>20693</v>
      </c>
      <c r="I21" s="4"/>
      <c r="J21" s="4"/>
      <c r="K21" s="7" t="str">
        <f t="shared" si="1"/>
        <v/>
      </c>
      <c r="L21" s="8" t="str">
        <f t="shared" si="6"/>
        <v>Phil Hudson</v>
      </c>
      <c r="M21" s="8" t="str">
        <f t="shared" si="2"/>
        <v>VM60</v>
      </c>
      <c r="N21" s="8" t="str">
        <f t="shared" si="3"/>
        <v>Ware Joggers</v>
      </c>
      <c r="O21" s="8" t="str">
        <f t="shared" si="4"/>
        <v>M</v>
      </c>
      <c r="P21" s="9">
        <f t="shared" si="5"/>
        <v>0</v>
      </c>
      <c r="Q21" s="2">
        <v>21</v>
      </c>
      <c r="R21" s="2" t="s">
        <v>67</v>
      </c>
      <c r="S21" s="2" t="s">
        <v>156</v>
      </c>
    </row>
    <row r="22" spans="1:19" ht="16.5" thickBot="1" x14ac:dyDescent="0.3">
      <c r="A22" s="175">
        <v>21</v>
      </c>
      <c r="B22" s="170" t="s">
        <v>2360</v>
      </c>
      <c r="C22" s="1" t="str">
        <f t="shared" si="0"/>
        <v>VM40</v>
      </c>
      <c r="D22" s="179" t="s">
        <v>12</v>
      </c>
      <c r="E22" s="182" t="s">
        <v>24</v>
      </c>
      <c r="F22" s="186">
        <v>44</v>
      </c>
      <c r="G22" s="180"/>
      <c r="H22" s="181">
        <v>27195</v>
      </c>
      <c r="I22" s="4"/>
      <c r="J22" s="4"/>
      <c r="K22" s="7" t="str">
        <f t="shared" si="1"/>
        <v/>
      </c>
      <c r="L22" s="8" t="str">
        <f t="shared" si="6"/>
        <v>Samir Younsi</v>
      </c>
      <c r="M22" s="8" t="str">
        <f t="shared" si="2"/>
        <v>VM40</v>
      </c>
      <c r="N22" s="8" t="str">
        <f t="shared" si="3"/>
        <v>East London Runners</v>
      </c>
      <c r="O22" s="8" t="str">
        <f t="shared" si="4"/>
        <v>M</v>
      </c>
      <c r="P22" s="9">
        <f t="shared" si="5"/>
        <v>0</v>
      </c>
      <c r="Q22" s="2">
        <v>22</v>
      </c>
      <c r="R22" s="2" t="s">
        <v>67</v>
      </c>
      <c r="S22" s="2" t="s">
        <v>156</v>
      </c>
    </row>
    <row r="23" spans="1:19" ht="16.5" thickBot="1" x14ac:dyDescent="0.3">
      <c r="A23" s="175">
        <v>22</v>
      </c>
      <c r="B23" s="170" t="s">
        <v>2315</v>
      </c>
      <c r="C23" s="1" t="str">
        <f t="shared" si="0"/>
        <v>VM40</v>
      </c>
      <c r="D23" s="188" t="s">
        <v>1499</v>
      </c>
      <c r="E23" s="182" t="s">
        <v>24</v>
      </c>
      <c r="F23" s="186">
        <v>44</v>
      </c>
      <c r="G23" s="180"/>
      <c r="H23" s="181">
        <v>27102</v>
      </c>
      <c r="I23" s="4"/>
      <c r="J23" s="4"/>
      <c r="K23" s="7" t="str">
        <f t="shared" si="1"/>
        <v/>
      </c>
      <c r="L23" s="8" t="str">
        <f t="shared" si="6"/>
        <v>Paul Gaimster</v>
      </c>
      <c r="M23" s="8" t="str">
        <f t="shared" si="2"/>
        <v>VM40</v>
      </c>
      <c r="N23" s="8" t="str">
        <f t="shared" si="3"/>
        <v>Victoria Park Harriers and Tower Hamlets AC</v>
      </c>
      <c r="O23" s="8" t="str">
        <f t="shared" si="4"/>
        <v>M</v>
      </c>
      <c r="P23" s="9">
        <f t="shared" si="5"/>
        <v>0</v>
      </c>
      <c r="Q23" s="2">
        <v>23</v>
      </c>
      <c r="R23" s="2" t="s">
        <v>67</v>
      </c>
      <c r="S23" s="2" t="s">
        <v>156</v>
      </c>
    </row>
    <row r="24" spans="1:19" ht="16.5" thickBot="1" x14ac:dyDescent="0.3">
      <c r="A24" s="175">
        <v>23</v>
      </c>
      <c r="B24" s="170" t="s">
        <v>2763</v>
      </c>
      <c r="C24" s="1" t="str">
        <f t="shared" si="0"/>
        <v>SF</v>
      </c>
      <c r="D24" s="179" t="s">
        <v>63</v>
      </c>
      <c r="E24" s="182" t="s">
        <v>23</v>
      </c>
      <c r="F24" s="186">
        <v>23</v>
      </c>
      <c r="G24" s="180"/>
      <c r="H24" s="181">
        <v>34898</v>
      </c>
      <c r="I24" s="4"/>
      <c r="J24" s="4"/>
      <c r="K24" s="7" t="str">
        <f t="shared" si="1"/>
        <v/>
      </c>
      <c r="L24" s="8" t="str">
        <f t="shared" si="6"/>
        <v>Katie Self</v>
      </c>
      <c r="M24" s="8" t="str">
        <f t="shared" si="2"/>
        <v>SF</v>
      </c>
      <c r="N24" s="8" t="str">
        <f t="shared" si="3"/>
        <v>East End Road Runners</v>
      </c>
      <c r="O24" s="8" t="str">
        <f t="shared" si="4"/>
        <v>F</v>
      </c>
      <c r="P24" s="9">
        <f t="shared" si="5"/>
        <v>0</v>
      </c>
      <c r="Q24" s="2">
        <v>24</v>
      </c>
      <c r="R24" s="2" t="s">
        <v>67</v>
      </c>
      <c r="S24" s="2" t="s">
        <v>156</v>
      </c>
    </row>
    <row r="25" spans="1:19" ht="16.5" thickBot="1" x14ac:dyDescent="0.3">
      <c r="A25" s="175">
        <v>24</v>
      </c>
      <c r="B25" s="170" t="s">
        <v>967</v>
      </c>
      <c r="C25" s="1" t="str">
        <f t="shared" si="0"/>
        <v>VF45</v>
      </c>
      <c r="D25" s="179" t="s">
        <v>154</v>
      </c>
      <c r="E25" s="182" t="s">
        <v>23</v>
      </c>
      <c r="F25" s="186">
        <v>47</v>
      </c>
      <c r="G25" s="180"/>
      <c r="H25" s="181">
        <v>26043</v>
      </c>
      <c r="I25" s="4"/>
      <c r="J25" s="4"/>
      <c r="K25" s="7" t="str">
        <f t="shared" si="1"/>
        <v/>
      </c>
      <c r="L25" s="8" t="str">
        <f t="shared" si="6"/>
        <v>Sue Unsworth</v>
      </c>
      <c r="M25" s="8" t="str">
        <f t="shared" si="2"/>
        <v>VF45</v>
      </c>
      <c r="N25" s="8" t="str">
        <f t="shared" si="3"/>
        <v>Eton Manor AC</v>
      </c>
      <c r="O25" s="8" t="str">
        <f t="shared" si="4"/>
        <v>F</v>
      </c>
      <c r="P25" s="9">
        <f t="shared" si="5"/>
        <v>0</v>
      </c>
      <c r="Q25" s="2">
        <v>25</v>
      </c>
      <c r="R25" s="2" t="s">
        <v>67</v>
      </c>
      <c r="S25" s="2" t="s">
        <v>156</v>
      </c>
    </row>
    <row r="26" spans="1:19" ht="16.5" thickBot="1" x14ac:dyDescent="0.3">
      <c r="A26" s="175">
        <v>25</v>
      </c>
      <c r="B26" s="170" t="s">
        <v>2029</v>
      </c>
      <c r="C26" s="1" t="str">
        <f t="shared" si="0"/>
        <v>VF35</v>
      </c>
      <c r="D26" s="179" t="s">
        <v>38</v>
      </c>
      <c r="E26" s="182" t="s">
        <v>23</v>
      </c>
      <c r="F26" s="186">
        <v>39</v>
      </c>
      <c r="G26" s="180"/>
      <c r="H26" s="181">
        <v>28847</v>
      </c>
      <c r="I26" s="4"/>
      <c r="J26" s="4"/>
      <c r="K26" s="7" t="str">
        <f t="shared" si="1"/>
        <v/>
      </c>
      <c r="L26" s="8" t="str">
        <f t="shared" si="6"/>
        <v>Emma Bolton</v>
      </c>
      <c r="M26" s="8" t="str">
        <f t="shared" si="2"/>
        <v>VF35</v>
      </c>
      <c r="N26" s="8" t="str">
        <f t="shared" si="3"/>
        <v>Havering 90 Joggers</v>
      </c>
      <c r="O26" s="8" t="str">
        <f t="shared" si="4"/>
        <v>F</v>
      </c>
      <c r="P26" s="9">
        <f t="shared" si="5"/>
        <v>0</v>
      </c>
      <c r="Q26" s="2">
        <v>26</v>
      </c>
      <c r="R26" s="2" t="s">
        <v>67</v>
      </c>
      <c r="S26" s="2" t="s">
        <v>156</v>
      </c>
    </row>
    <row r="27" spans="1:19" ht="16.5" thickBot="1" x14ac:dyDescent="0.3">
      <c r="A27" s="175">
        <v>26</v>
      </c>
      <c r="B27" s="170" t="s">
        <v>2218</v>
      </c>
      <c r="C27" s="1" t="str">
        <f t="shared" si="0"/>
        <v>VF35</v>
      </c>
      <c r="D27" s="188" t="s">
        <v>1805</v>
      </c>
      <c r="E27" s="182" t="s">
        <v>23</v>
      </c>
      <c r="F27" s="186">
        <v>41</v>
      </c>
      <c r="G27" s="180"/>
      <c r="H27" s="181">
        <v>28149</v>
      </c>
      <c r="I27" s="4"/>
      <c r="J27" s="4"/>
      <c r="K27" s="7" t="str">
        <f t="shared" si="1"/>
        <v/>
      </c>
      <c r="L27" s="8" t="str">
        <f t="shared" si="6"/>
        <v>Ruth Quince</v>
      </c>
      <c r="M27" s="8" t="str">
        <f t="shared" si="2"/>
        <v>VF35</v>
      </c>
      <c r="N27" s="8" t="str">
        <f t="shared" si="3"/>
        <v>Harold Wood Running Club</v>
      </c>
      <c r="O27" s="8" t="str">
        <f t="shared" si="4"/>
        <v>F</v>
      </c>
      <c r="P27" s="9">
        <f t="shared" si="5"/>
        <v>0</v>
      </c>
      <c r="Q27" s="2">
        <v>27</v>
      </c>
      <c r="R27" s="2" t="s">
        <v>67</v>
      </c>
      <c r="S27" s="2" t="s">
        <v>156</v>
      </c>
    </row>
    <row r="28" spans="1:19" ht="16.5" thickBot="1" x14ac:dyDescent="0.3">
      <c r="A28" s="175">
        <v>27</v>
      </c>
      <c r="B28" s="170" t="s">
        <v>2300</v>
      </c>
      <c r="C28" s="1" t="str">
        <f t="shared" si="0"/>
        <v>SM</v>
      </c>
      <c r="D28" s="179" t="s">
        <v>1805</v>
      </c>
      <c r="E28" s="182" t="s">
        <v>24</v>
      </c>
      <c r="F28" s="186">
        <v>39</v>
      </c>
      <c r="G28" s="180"/>
      <c r="H28" s="181">
        <v>28756</v>
      </c>
      <c r="I28" s="4"/>
      <c r="J28" s="4"/>
      <c r="K28" s="7" t="str">
        <f t="shared" si="1"/>
        <v/>
      </c>
      <c r="L28" s="8" t="str">
        <f t="shared" si="6"/>
        <v>Paul Depree</v>
      </c>
      <c r="M28" s="8" t="str">
        <f t="shared" si="2"/>
        <v>SM</v>
      </c>
      <c r="N28" s="8" t="str">
        <f t="shared" si="3"/>
        <v>Harold Wood Running Club</v>
      </c>
      <c r="O28" s="8" t="str">
        <f t="shared" si="4"/>
        <v>M</v>
      </c>
      <c r="P28" s="9">
        <f t="shared" si="5"/>
        <v>0</v>
      </c>
      <c r="Q28" s="2">
        <v>29</v>
      </c>
      <c r="R28" s="2" t="s">
        <v>67</v>
      </c>
      <c r="S28" s="2" t="s">
        <v>156</v>
      </c>
    </row>
    <row r="29" spans="1:19" ht="16.5" thickBot="1" x14ac:dyDescent="0.3">
      <c r="A29" s="175">
        <v>28</v>
      </c>
      <c r="B29" s="170" t="s">
        <v>2316</v>
      </c>
      <c r="C29" s="1" t="str">
        <f t="shared" si="0"/>
        <v>SM</v>
      </c>
      <c r="D29" s="179" t="s">
        <v>12</v>
      </c>
      <c r="E29" s="182" t="s">
        <v>24</v>
      </c>
      <c r="F29" s="186">
        <v>38</v>
      </c>
      <c r="G29" s="180"/>
      <c r="H29" s="181">
        <v>29252</v>
      </c>
      <c r="I29" s="4"/>
      <c r="J29" s="4"/>
      <c r="K29" s="7" t="str">
        <f t="shared" si="1"/>
        <v/>
      </c>
      <c r="L29" s="8" t="str">
        <f t="shared" si="6"/>
        <v>Jose Rodriguez</v>
      </c>
      <c r="M29" s="8" t="str">
        <f t="shared" si="2"/>
        <v>SM</v>
      </c>
      <c r="N29" s="8" t="str">
        <f t="shared" si="3"/>
        <v>East London Runners</v>
      </c>
      <c r="O29" s="8" t="str">
        <f t="shared" si="4"/>
        <v>M</v>
      </c>
      <c r="P29" s="9">
        <f t="shared" si="5"/>
        <v>0</v>
      </c>
      <c r="Q29" s="2">
        <v>30</v>
      </c>
      <c r="R29" s="2" t="s">
        <v>67</v>
      </c>
      <c r="S29" s="2" t="s">
        <v>156</v>
      </c>
    </row>
    <row r="30" spans="1:19" ht="16.5" thickBot="1" x14ac:dyDescent="0.3">
      <c r="A30" s="175">
        <v>29</v>
      </c>
      <c r="B30" s="170" t="s">
        <v>2764</v>
      </c>
      <c r="C30" s="1" t="str">
        <f t="shared" si="0"/>
        <v>SF</v>
      </c>
      <c r="D30" s="188" t="s">
        <v>505</v>
      </c>
      <c r="E30" s="182" t="s">
        <v>23</v>
      </c>
      <c r="F30" s="186">
        <v>34</v>
      </c>
      <c r="G30" s="180"/>
      <c r="H30" s="181">
        <v>30645</v>
      </c>
      <c r="I30" s="4"/>
      <c r="J30" s="4"/>
      <c r="K30" s="7" t="str">
        <f t="shared" si="1"/>
        <v/>
      </c>
      <c r="L30" s="8" t="str">
        <f t="shared" si="6"/>
        <v>Uzma Rehman</v>
      </c>
      <c r="M30" s="8" t="str">
        <f t="shared" si="2"/>
        <v>SF</v>
      </c>
      <c r="N30" s="8" t="str">
        <f t="shared" si="3"/>
        <v>Unattached</v>
      </c>
      <c r="O30" s="8" t="str">
        <f t="shared" si="4"/>
        <v>F</v>
      </c>
      <c r="P30" s="9">
        <f t="shared" si="5"/>
        <v>0</v>
      </c>
      <c r="Q30" s="2">
        <v>31</v>
      </c>
      <c r="R30" s="2" t="s">
        <v>67</v>
      </c>
      <c r="S30" s="2" t="s">
        <v>156</v>
      </c>
    </row>
    <row r="31" spans="1:19" ht="16.5" thickBot="1" x14ac:dyDescent="0.3">
      <c r="A31" s="175">
        <v>30</v>
      </c>
      <c r="B31" s="170" t="s">
        <v>566</v>
      </c>
      <c r="C31" s="1" t="str">
        <f t="shared" si="0"/>
        <v>VF35</v>
      </c>
      <c r="D31" s="179" t="s">
        <v>154</v>
      </c>
      <c r="E31" s="182" t="s">
        <v>23</v>
      </c>
      <c r="F31" s="186">
        <v>44</v>
      </c>
      <c r="G31" s="180"/>
      <c r="H31" s="181">
        <v>27239</v>
      </c>
      <c r="I31" s="4"/>
      <c r="J31" s="4"/>
      <c r="K31" s="7" t="str">
        <f t="shared" si="1"/>
        <v/>
      </c>
      <c r="L31" s="8" t="str">
        <f t="shared" si="6"/>
        <v>Sacha Ackland</v>
      </c>
      <c r="M31" s="8" t="str">
        <f t="shared" si="2"/>
        <v>VF35</v>
      </c>
      <c r="N31" s="8" t="str">
        <f t="shared" si="3"/>
        <v>Eton Manor AC</v>
      </c>
      <c r="O31" s="8" t="str">
        <f t="shared" si="4"/>
        <v>F</v>
      </c>
      <c r="P31" s="9">
        <f t="shared" si="5"/>
        <v>0</v>
      </c>
      <c r="Q31" s="2">
        <v>32</v>
      </c>
      <c r="R31" s="2" t="s">
        <v>67</v>
      </c>
      <c r="S31" s="2" t="s">
        <v>156</v>
      </c>
    </row>
    <row r="32" spans="1:19" ht="16.5" thickBot="1" x14ac:dyDescent="0.3">
      <c r="A32" s="175">
        <v>31</v>
      </c>
      <c r="B32" s="170" t="s">
        <v>1677</v>
      </c>
      <c r="C32" s="1" t="str">
        <f t="shared" si="0"/>
        <v>VF55</v>
      </c>
      <c r="D32" s="179" t="s">
        <v>2756</v>
      </c>
      <c r="E32" s="182" t="s">
        <v>23</v>
      </c>
      <c r="F32" s="186">
        <v>59</v>
      </c>
      <c r="G32" s="180"/>
      <c r="H32" s="181">
        <v>21555</v>
      </c>
      <c r="I32" s="4"/>
      <c r="J32" s="4"/>
      <c r="K32" s="7" t="str">
        <f t="shared" si="1"/>
        <v/>
      </c>
      <c r="L32" s="8" t="str">
        <f t="shared" si="6"/>
        <v>Lisa Smith</v>
      </c>
      <c r="M32" s="8" t="str">
        <f t="shared" si="2"/>
        <v>VF55</v>
      </c>
      <c r="N32" s="8" t="str">
        <f t="shared" si="3"/>
        <v>orion harriers</v>
      </c>
      <c r="O32" s="8" t="str">
        <f t="shared" si="4"/>
        <v>F</v>
      </c>
      <c r="P32" s="9">
        <f t="shared" si="5"/>
        <v>0</v>
      </c>
      <c r="Q32" s="2">
        <v>33</v>
      </c>
      <c r="R32" s="2" t="s">
        <v>67</v>
      </c>
      <c r="S32" s="2" t="s">
        <v>156</v>
      </c>
    </row>
    <row r="33" spans="1:19" ht="16.5" thickBot="1" x14ac:dyDescent="0.3">
      <c r="A33" s="175">
        <v>32</v>
      </c>
      <c r="B33" s="170" t="s">
        <v>1911</v>
      </c>
      <c r="C33" s="1" t="str">
        <f t="shared" si="0"/>
        <v>VM60</v>
      </c>
      <c r="D33" s="179" t="s">
        <v>14</v>
      </c>
      <c r="E33" s="182" t="s">
        <v>24</v>
      </c>
      <c r="F33" s="186">
        <v>60</v>
      </c>
      <c r="G33" s="180"/>
      <c r="H33" s="181">
        <v>21251</v>
      </c>
      <c r="I33" s="4"/>
      <c r="J33" s="4"/>
      <c r="K33" s="7" t="str">
        <f t="shared" si="1"/>
        <v/>
      </c>
      <c r="L33" s="8" t="str">
        <f t="shared" si="6"/>
        <v>John Smith</v>
      </c>
      <c r="M33" s="8" t="str">
        <f t="shared" si="2"/>
        <v>VM60</v>
      </c>
      <c r="N33" s="8" t="str">
        <f t="shared" si="3"/>
        <v>Orion Harriers</v>
      </c>
      <c r="O33" s="8" t="str">
        <f t="shared" si="4"/>
        <v>M</v>
      </c>
      <c r="P33" s="9">
        <f t="shared" si="5"/>
        <v>0</v>
      </c>
      <c r="Q33" s="2">
        <v>34</v>
      </c>
      <c r="R33" s="2" t="s">
        <v>67</v>
      </c>
      <c r="S33" s="2" t="s">
        <v>156</v>
      </c>
    </row>
    <row r="34" spans="1:19" ht="16.5" thickBot="1" x14ac:dyDescent="0.3">
      <c r="A34" s="175">
        <v>33</v>
      </c>
      <c r="B34" s="170" t="s">
        <v>2455</v>
      </c>
      <c r="C34" s="1" t="str">
        <f t="shared" si="0"/>
        <v>VM50</v>
      </c>
      <c r="D34" s="188" t="s">
        <v>14</v>
      </c>
      <c r="E34" s="182" t="s">
        <v>24</v>
      </c>
      <c r="F34" s="186">
        <v>59</v>
      </c>
      <c r="G34" s="180"/>
      <c r="H34" s="181">
        <v>21642</v>
      </c>
      <c r="I34" s="4"/>
      <c r="J34" s="4"/>
      <c r="K34" s="7" t="str">
        <f t="shared" ref="K34:K65" si="7">IF(ISERROR(CONCATENATE(LEFT(L34,3),MID(L34,(FIND(",",L34)+2),3))),"",CONCATENATE(LEFT(L34,3),MID(L34,(FIND(",",L34)+2),3)))</f>
        <v/>
      </c>
      <c r="L34" s="8" t="str">
        <f t="shared" si="6"/>
        <v>Dave Mills</v>
      </c>
      <c r="M34" s="8" t="str">
        <f t="shared" si="2"/>
        <v>VM50</v>
      </c>
      <c r="N34" s="8" t="str">
        <f t="shared" si="3"/>
        <v>Orion Harriers</v>
      </c>
      <c r="O34" s="8" t="str">
        <f t="shared" si="4"/>
        <v>M</v>
      </c>
      <c r="P34" s="9">
        <f t="shared" si="5"/>
        <v>0</v>
      </c>
      <c r="Q34" s="2">
        <v>35</v>
      </c>
      <c r="R34" s="2" t="s">
        <v>67</v>
      </c>
      <c r="S34" s="2" t="s">
        <v>157</v>
      </c>
    </row>
    <row r="35" spans="1:19" ht="16.5" thickBot="1" x14ac:dyDescent="0.3">
      <c r="A35" s="175">
        <v>34</v>
      </c>
      <c r="B35" s="170" t="s">
        <v>174</v>
      </c>
      <c r="C35" s="1" t="str">
        <f t="shared" si="0"/>
        <v>VF55</v>
      </c>
      <c r="D35" s="179" t="s">
        <v>12</v>
      </c>
      <c r="E35" s="182" t="s">
        <v>23</v>
      </c>
      <c r="F35" s="186">
        <v>61</v>
      </c>
      <c r="G35" s="180"/>
      <c r="H35" s="181">
        <v>20853</v>
      </c>
      <c r="I35" s="4"/>
      <c r="J35" s="4"/>
      <c r="K35" s="7" t="str">
        <f t="shared" si="7"/>
        <v/>
      </c>
      <c r="L35" s="8" t="str">
        <f t="shared" si="6"/>
        <v>Fiona Day</v>
      </c>
      <c r="M35" s="8" t="str">
        <f t="shared" si="2"/>
        <v>VF55</v>
      </c>
      <c r="N35" s="8" t="str">
        <f t="shared" si="3"/>
        <v>East London Runners</v>
      </c>
      <c r="O35" s="8" t="str">
        <f t="shared" si="4"/>
        <v>F</v>
      </c>
      <c r="P35" s="9">
        <f t="shared" si="5"/>
        <v>0</v>
      </c>
      <c r="Q35" s="2">
        <v>36</v>
      </c>
      <c r="R35" s="2" t="s">
        <v>67</v>
      </c>
      <c r="S35" s="2" t="s">
        <v>157</v>
      </c>
    </row>
    <row r="36" spans="1:19" ht="16.5" thickBot="1" x14ac:dyDescent="0.3">
      <c r="A36" s="175">
        <v>35</v>
      </c>
      <c r="B36" s="170" t="s">
        <v>2765</v>
      </c>
      <c r="C36" s="1" t="str">
        <f t="shared" si="0"/>
        <v>VM60</v>
      </c>
      <c r="D36" s="179" t="s">
        <v>12</v>
      </c>
      <c r="E36" s="182" t="s">
        <v>24</v>
      </c>
      <c r="F36" s="186">
        <v>60</v>
      </c>
      <c r="G36" s="180"/>
      <c r="H36" s="181">
        <v>21085</v>
      </c>
      <c r="I36" s="4"/>
      <c r="J36" s="4"/>
      <c r="K36" s="7" t="str">
        <f t="shared" si="7"/>
        <v/>
      </c>
      <c r="L36" s="8" t="str">
        <f t="shared" si="6"/>
        <v>kieran brown</v>
      </c>
      <c r="M36" s="8" t="str">
        <f t="shared" si="2"/>
        <v>VM60</v>
      </c>
      <c r="N36" s="8" t="str">
        <f t="shared" si="3"/>
        <v>East London Runners</v>
      </c>
      <c r="O36" s="8" t="str">
        <f t="shared" si="4"/>
        <v>M</v>
      </c>
      <c r="P36" s="9">
        <f t="shared" si="5"/>
        <v>0</v>
      </c>
      <c r="Q36" s="2">
        <v>37</v>
      </c>
      <c r="R36" s="2" t="s">
        <v>67</v>
      </c>
      <c r="S36" s="2" t="s">
        <v>157</v>
      </c>
    </row>
    <row r="37" spans="1:19" ht="16.5" thickBot="1" x14ac:dyDescent="0.3">
      <c r="A37" s="175">
        <v>36</v>
      </c>
      <c r="B37" s="170" t="s">
        <v>1410</v>
      </c>
      <c r="C37" s="1" t="str">
        <f t="shared" si="0"/>
        <v>VM50</v>
      </c>
      <c r="D37" s="179" t="s">
        <v>63</v>
      </c>
      <c r="E37" s="182" t="s">
        <v>24</v>
      </c>
      <c r="F37" s="186">
        <v>56</v>
      </c>
      <c r="G37" s="180"/>
      <c r="H37" s="181">
        <v>22720</v>
      </c>
      <c r="I37" s="4"/>
      <c r="J37" s="4"/>
      <c r="K37" s="7" t="str">
        <f t="shared" si="7"/>
        <v/>
      </c>
      <c r="L37" s="8" t="str">
        <f t="shared" si="6"/>
        <v>Nick Gorman</v>
      </c>
      <c r="M37" s="8" t="str">
        <f t="shared" si="2"/>
        <v>VM50</v>
      </c>
      <c r="N37" s="8" t="str">
        <f t="shared" si="3"/>
        <v>East End Road Runners</v>
      </c>
      <c r="O37" s="8" t="str">
        <f t="shared" si="4"/>
        <v>M</v>
      </c>
      <c r="P37" s="9">
        <f t="shared" si="5"/>
        <v>0</v>
      </c>
      <c r="Q37" s="2">
        <v>38</v>
      </c>
      <c r="R37" s="2" t="s">
        <v>67</v>
      </c>
      <c r="S37" s="2" t="s">
        <v>157</v>
      </c>
    </row>
    <row r="38" spans="1:19" ht="16.5" thickBot="1" x14ac:dyDescent="0.3">
      <c r="A38" s="175">
        <v>37</v>
      </c>
      <c r="B38" s="170" t="s">
        <v>617</v>
      </c>
      <c r="C38" s="1" t="str">
        <f t="shared" si="0"/>
        <v>VF55</v>
      </c>
      <c r="D38" s="179" t="s">
        <v>14</v>
      </c>
      <c r="E38" s="180" t="s">
        <v>23</v>
      </c>
      <c r="F38" s="186">
        <v>60</v>
      </c>
      <c r="G38" s="180"/>
      <c r="H38" s="181">
        <v>21232</v>
      </c>
      <c r="I38" s="4"/>
      <c r="J38" s="4"/>
      <c r="K38" s="7" t="str">
        <f t="shared" si="7"/>
        <v/>
      </c>
      <c r="L38" s="8" t="str">
        <f t="shared" si="6"/>
        <v>Julie Robinson</v>
      </c>
      <c r="M38" s="8" t="str">
        <f t="shared" si="2"/>
        <v>VF55</v>
      </c>
      <c r="N38" s="8" t="str">
        <f t="shared" si="3"/>
        <v>Orion Harriers</v>
      </c>
      <c r="O38" s="8" t="str">
        <f t="shared" si="4"/>
        <v>F</v>
      </c>
      <c r="P38" s="9">
        <f t="shared" si="5"/>
        <v>0</v>
      </c>
      <c r="Q38" s="2">
        <v>39</v>
      </c>
      <c r="R38" s="2" t="s">
        <v>67</v>
      </c>
      <c r="S38" s="2" t="s">
        <v>157</v>
      </c>
    </row>
    <row r="39" spans="1:19" ht="16.5" thickBot="1" x14ac:dyDescent="0.3">
      <c r="A39" s="175">
        <v>38</v>
      </c>
      <c r="B39" s="170" t="s">
        <v>261</v>
      </c>
      <c r="C39" s="1" t="str">
        <f t="shared" si="0"/>
        <v>VM50</v>
      </c>
      <c r="D39" s="188" t="s">
        <v>12</v>
      </c>
      <c r="E39" s="182" t="s">
        <v>24</v>
      </c>
      <c r="F39" s="186">
        <v>56</v>
      </c>
      <c r="G39" s="180"/>
      <c r="H39" s="181">
        <v>22767</v>
      </c>
      <c r="I39" s="4"/>
      <c r="J39" s="4"/>
      <c r="K39" s="7" t="str">
        <f t="shared" si="7"/>
        <v/>
      </c>
      <c r="L39" s="8" t="str">
        <f t="shared" si="6"/>
        <v>Roger Stubbs</v>
      </c>
      <c r="M39" s="8" t="str">
        <f t="shared" si="2"/>
        <v>VM50</v>
      </c>
      <c r="N39" s="8" t="str">
        <f t="shared" si="3"/>
        <v>East London Runners</v>
      </c>
      <c r="O39" s="8" t="str">
        <f t="shared" si="4"/>
        <v>M</v>
      </c>
      <c r="P39" s="9">
        <f t="shared" si="5"/>
        <v>0</v>
      </c>
      <c r="Q39" s="2">
        <v>40</v>
      </c>
      <c r="R39" s="2" t="s">
        <v>160</v>
      </c>
      <c r="S39" s="2" t="s">
        <v>157</v>
      </c>
    </row>
    <row r="40" spans="1:19" ht="16.5" thickBot="1" x14ac:dyDescent="0.3">
      <c r="A40" s="175">
        <v>39</v>
      </c>
      <c r="B40" s="170" t="s">
        <v>2201</v>
      </c>
      <c r="C40" s="1" t="str">
        <f t="shared" si="0"/>
        <v>SM</v>
      </c>
      <c r="D40" s="179" t="s">
        <v>12</v>
      </c>
      <c r="E40" s="182" t="s">
        <v>24</v>
      </c>
      <c r="F40" s="186">
        <v>28</v>
      </c>
      <c r="G40" s="180"/>
      <c r="H40" s="181">
        <v>32870</v>
      </c>
      <c r="I40" s="4"/>
      <c r="J40" s="4"/>
      <c r="K40" s="7" t="str">
        <f t="shared" si="7"/>
        <v/>
      </c>
      <c r="L40" s="8" t="str">
        <f t="shared" si="6"/>
        <v>Tom Howourth</v>
      </c>
      <c r="M40" s="8" t="str">
        <f t="shared" si="2"/>
        <v>SM</v>
      </c>
      <c r="N40" s="8" t="str">
        <f t="shared" si="3"/>
        <v>East London Runners</v>
      </c>
      <c r="O40" s="8" t="str">
        <f t="shared" si="4"/>
        <v>M</v>
      </c>
      <c r="P40" s="9">
        <f t="shared" si="5"/>
        <v>0</v>
      </c>
      <c r="Q40" s="2">
        <v>41</v>
      </c>
      <c r="R40" s="2" t="s">
        <v>160</v>
      </c>
      <c r="S40" s="2" t="s">
        <v>157</v>
      </c>
    </row>
    <row r="41" spans="1:19" ht="16.5" thickBot="1" x14ac:dyDescent="0.3">
      <c r="A41" s="175">
        <v>40</v>
      </c>
      <c r="B41" s="170" t="s">
        <v>475</v>
      </c>
      <c r="C41" s="1" t="str">
        <f t="shared" si="0"/>
        <v>VF45</v>
      </c>
      <c r="D41" s="179" t="s">
        <v>154</v>
      </c>
      <c r="E41" s="180" t="s">
        <v>23</v>
      </c>
      <c r="F41" s="186">
        <v>53</v>
      </c>
      <c r="G41" s="180"/>
      <c r="H41" s="181">
        <v>23788</v>
      </c>
      <c r="I41" s="4"/>
      <c r="J41" s="4"/>
      <c r="K41" s="7" t="str">
        <f t="shared" si="7"/>
        <v/>
      </c>
      <c r="L41" s="8" t="str">
        <f t="shared" si="6"/>
        <v>Jane Stichbury</v>
      </c>
      <c r="M41" s="8" t="str">
        <f t="shared" si="2"/>
        <v>VF45</v>
      </c>
      <c r="N41" s="8" t="str">
        <f t="shared" si="3"/>
        <v>Eton Manor AC</v>
      </c>
      <c r="O41" s="8" t="str">
        <f t="shared" si="4"/>
        <v>F</v>
      </c>
      <c r="P41" s="9">
        <f t="shared" si="5"/>
        <v>0</v>
      </c>
      <c r="Q41" s="2">
        <v>42</v>
      </c>
      <c r="R41" s="2" t="s">
        <v>160</v>
      </c>
      <c r="S41" s="2" t="s">
        <v>157</v>
      </c>
    </row>
    <row r="42" spans="1:19" ht="16.5" thickBot="1" x14ac:dyDescent="0.3">
      <c r="A42" s="175">
        <v>41</v>
      </c>
      <c r="B42" s="170" t="s">
        <v>176</v>
      </c>
      <c r="C42" s="1" t="str">
        <f t="shared" si="0"/>
        <v>SM</v>
      </c>
      <c r="D42" s="188" t="s">
        <v>12</v>
      </c>
      <c r="E42" s="182" t="s">
        <v>24</v>
      </c>
      <c r="F42" s="186">
        <v>27</v>
      </c>
      <c r="G42" s="180"/>
      <c r="H42" s="181">
        <v>33276</v>
      </c>
      <c r="I42" s="4"/>
      <c r="J42" s="4"/>
      <c r="K42" s="7" t="str">
        <f t="shared" si="7"/>
        <v/>
      </c>
      <c r="L42" s="8" t="str">
        <f t="shared" si="6"/>
        <v>Craig Livermore</v>
      </c>
      <c r="M42" s="8" t="str">
        <f t="shared" si="2"/>
        <v>SM</v>
      </c>
      <c r="N42" s="8" t="str">
        <f t="shared" si="3"/>
        <v>East London Runners</v>
      </c>
      <c r="O42" s="8" t="str">
        <f t="shared" si="4"/>
        <v>M</v>
      </c>
      <c r="P42" s="9">
        <f t="shared" si="5"/>
        <v>0</v>
      </c>
      <c r="Q42" s="2">
        <v>43</v>
      </c>
      <c r="R42" s="2" t="s">
        <v>160</v>
      </c>
      <c r="S42" s="2" t="s">
        <v>157</v>
      </c>
    </row>
    <row r="43" spans="1:19" ht="16.5" thickBot="1" x14ac:dyDescent="0.3">
      <c r="A43" s="175">
        <v>42</v>
      </c>
      <c r="B43" s="170" t="s">
        <v>198</v>
      </c>
      <c r="C43" s="1" t="str">
        <f t="shared" si="0"/>
        <v>VF45</v>
      </c>
      <c r="D43" s="179" t="s">
        <v>12</v>
      </c>
      <c r="E43" s="182" t="s">
        <v>23</v>
      </c>
      <c r="F43" s="186">
        <v>47</v>
      </c>
      <c r="G43" s="180"/>
      <c r="H43" s="181">
        <v>25892</v>
      </c>
      <c r="I43" s="4"/>
      <c r="J43" s="4"/>
      <c r="K43" s="7" t="str">
        <f t="shared" si="7"/>
        <v/>
      </c>
      <c r="L43" s="8" t="str">
        <f t="shared" si="6"/>
        <v>Maya Goodwin</v>
      </c>
      <c r="M43" s="8" t="str">
        <f t="shared" si="2"/>
        <v>VF45</v>
      </c>
      <c r="N43" s="8" t="str">
        <f t="shared" si="3"/>
        <v>East London Runners</v>
      </c>
      <c r="O43" s="8" t="str">
        <f t="shared" si="4"/>
        <v>F</v>
      </c>
      <c r="P43" s="9">
        <f t="shared" si="5"/>
        <v>0</v>
      </c>
      <c r="Q43" s="2">
        <v>44</v>
      </c>
      <c r="R43" s="2" t="s">
        <v>160</v>
      </c>
      <c r="S43" s="2" t="s">
        <v>157</v>
      </c>
    </row>
    <row r="44" spans="1:19" ht="16.5" thickBot="1" x14ac:dyDescent="0.3">
      <c r="A44" s="175">
        <v>43</v>
      </c>
      <c r="B44" s="170" t="s">
        <v>2138</v>
      </c>
      <c r="C44" s="1" t="str">
        <f t="shared" si="0"/>
        <v>SM</v>
      </c>
      <c r="D44" s="179" t="s">
        <v>63</v>
      </c>
      <c r="E44" s="182" t="s">
        <v>24</v>
      </c>
      <c r="F44" s="186">
        <v>25</v>
      </c>
      <c r="G44" s="180"/>
      <c r="H44" s="181">
        <v>34156</v>
      </c>
      <c r="I44" s="4"/>
      <c r="J44" s="4"/>
      <c r="K44" s="7" t="str">
        <f t="shared" si="7"/>
        <v/>
      </c>
      <c r="L44" s="8" t="str">
        <f t="shared" si="6"/>
        <v>Callum Millward</v>
      </c>
      <c r="M44" s="8" t="str">
        <f t="shared" si="2"/>
        <v>SM</v>
      </c>
      <c r="N44" s="8" t="str">
        <f t="shared" si="3"/>
        <v>East End Road Runners</v>
      </c>
      <c r="O44" s="8" t="str">
        <f t="shared" si="4"/>
        <v>M</v>
      </c>
      <c r="P44" s="9">
        <f t="shared" si="5"/>
        <v>0</v>
      </c>
      <c r="Q44" s="2">
        <v>45</v>
      </c>
      <c r="R44" s="2" t="s">
        <v>160</v>
      </c>
      <c r="S44" s="2" t="s">
        <v>158</v>
      </c>
    </row>
    <row r="45" spans="1:19" ht="16.5" thickBot="1" x14ac:dyDescent="0.3">
      <c r="A45" s="175">
        <v>44</v>
      </c>
      <c r="B45" s="170" t="s">
        <v>2766</v>
      </c>
      <c r="C45" s="1" t="str">
        <f t="shared" si="0"/>
        <v>VF35</v>
      </c>
      <c r="D45" s="179" t="s">
        <v>154</v>
      </c>
      <c r="E45" s="182" t="s">
        <v>23</v>
      </c>
      <c r="F45" s="186">
        <v>41</v>
      </c>
      <c r="G45" s="180"/>
      <c r="H45" s="181">
        <v>28236</v>
      </c>
      <c r="I45" s="4"/>
      <c r="J45" s="4"/>
      <c r="K45" s="7" t="str">
        <f t="shared" si="7"/>
        <v/>
      </c>
      <c r="L45" s="8" t="str">
        <f t="shared" si="6"/>
        <v>Hameera Darr</v>
      </c>
      <c r="M45" s="8" t="str">
        <f t="shared" si="2"/>
        <v>VF35</v>
      </c>
      <c r="N45" s="8" t="str">
        <f t="shared" si="3"/>
        <v>Eton Manor AC</v>
      </c>
      <c r="O45" s="8" t="str">
        <f t="shared" si="4"/>
        <v>F</v>
      </c>
      <c r="P45" s="9">
        <f t="shared" si="5"/>
        <v>0</v>
      </c>
      <c r="Q45" s="2">
        <v>46</v>
      </c>
      <c r="R45" s="2" t="s">
        <v>160</v>
      </c>
      <c r="S45" s="2" t="s">
        <v>158</v>
      </c>
    </row>
    <row r="46" spans="1:19" ht="16.5" thickBot="1" x14ac:dyDescent="0.3">
      <c r="A46" s="175">
        <v>45</v>
      </c>
      <c r="B46" s="170" t="s">
        <v>1825</v>
      </c>
      <c r="C46" s="1" t="str">
        <f t="shared" si="0"/>
        <v>SM</v>
      </c>
      <c r="D46" s="179" t="s">
        <v>505</v>
      </c>
      <c r="E46" s="182" t="s">
        <v>24</v>
      </c>
      <c r="F46" s="186">
        <v>36</v>
      </c>
      <c r="G46" s="180"/>
      <c r="H46" s="181">
        <v>29966</v>
      </c>
      <c r="I46" s="4"/>
      <c r="J46" s="4"/>
      <c r="K46" s="7" t="str">
        <f t="shared" si="7"/>
        <v/>
      </c>
      <c r="L46" s="8" t="str">
        <f t="shared" si="6"/>
        <v>Lee Patten</v>
      </c>
      <c r="M46" s="8" t="str">
        <f t="shared" si="2"/>
        <v>SM</v>
      </c>
      <c r="N46" s="8" t="str">
        <f t="shared" si="3"/>
        <v>Unattached</v>
      </c>
      <c r="O46" s="8" t="str">
        <f t="shared" si="4"/>
        <v>M</v>
      </c>
      <c r="P46" s="9">
        <f t="shared" si="5"/>
        <v>0</v>
      </c>
      <c r="Q46" s="2">
        <v>47</v>
      </c>
      <c r="R46" s="2" t="s">
        <v>160</v>
      </c>
      <c r="S46" s="2" t="s">
        <v>158</v>
      </c>
    </row>
    <row r="47" spans="1:19" ht="16.5" thickBot="1" x14ac:dyDescent="0.3">
      <c r="A47" s="175">
        <v>46</v>
      </c>
      <c r="B47" s="170" t="s">
        <v>1662</v>
      </c>
      <c r="C47" s="1" t="str">
        <f t="shared" si="0"/>
        <v>VM50</v>
      </c>
      <c r="D47" s="188" t="s">
        <v>14</v>
      </c>
      <c r="E47" s="182" t="s">
        <v>24</v>
      </c>
      <c r="F47" s="186">
        <v>53</v>
      </c>
      <c r="G47" s="180"/>
      <c r="H47" s="181">
        <v>23899</v>
      </c>
      <c r="I47" s="4"/>
      <c r="J47" s="4"/>
      <c r="K47" s="7" t="str">
        <f t="shared" si="7"/>
        <v/>
      </c>
      <c r="L47" s="8" t="str">
        <f t="shared" si="6"/>
        <v>Danny Fitzsimons</v>
      </c>
      <c r="M47" s="8" t="str">
        <f t="shared" si="2"/>
        <v>VM50</v>
      </c>
      <c r="N47" s="8" t="str">
        <f t="shared" si="3"/>
        <v>Orion Harriers</v>
      </c>
      <c r="O47" s="8" t="str">
        <f t="shared" si="4"/>
        <v>M</v>
      </c>
      <c r="P47" s="9">
        <f t="shared" si="5"/>
        <v>0</v>
      </c>
      <c r="Q47" s="2">
        <v>48</v>
      </c>
      <c r="R47" s="2" t="s">
        <v>160</v>
      </c>
      <c r="S47" s="2" t="s">
        <v>158</v>
      </c>
    </row>
    <row r="48" spans="1:19" ht="16.5" thickBot="1" x14ac:dyDescent="0.3">
      <c r="A48" s="175">
        <v>47</v>
      </c>
      <c r="B48" s="170" t="s">
        <v>244</v>
      </c>
      <c r="C48" s="1" t="str">
        <f t="shared" si="0"/>
        <v>SM</v>
      </c>
      <c r="D48" s="179" t="s">
        <v>63</v>
      </c>
      <c r="E48" s="182" t="s">
        <v>24</v>
      </c>
      <c r="F48" s="186">
        <v>34</v>
      </c>
      <c r="G48" s="180"/>
      <c r="H48" s="181">
        <v>30760</v>
      </c>
      <c r="I48" s="4"/>
      <c r="J48" s="4"/>
      <c r="K48" s="7" t="str">
        <f t="shared" si="7"/>
        <v/>
      </c>
      <c r="L48" s="8" t="str">
        <f t="shared" si="6"/>
        <v>Ian Pithouse</v>
      </c>
      <c r="M48" s="8" t="str">
        <f t="shared" si="2"/>
        <v>SM</v>
      </c>
      <c r="N48" s="8" t="str">
        <f t="shared" si="3"/>
        <v>East End Road Runners</v>
      </c>
      <c r="O48" s="8" t="str">
        <f t="shared" si="4"/>
        <v>M</v>
      </c>
      <c r="P48" s="9">
        <f t="shared" si="5"/>
        <v>0</v>
      </c>
      <c r="Q48" s="2">
        <v>49</v>
      </c>
      <c r="R48" s="2" t="s">
        <v>160</v>
      </c>
      <c r="S48" s="2" t="s">
        <v>158</v>
      </c>
    </row>
    <row r="49" spans="1:19" ht="16.5" thickBot="1" x14ac:dyDescent="0.3">
      <c r="A49" s="175">
        <v>48</v>
      </c>
      <c r="B49" s="170" t="s">
        <v>1512</v>
      </c>
      <c r="C49" s="1" t="str">
        <f t="shared" si="0"/>
        <v>VF35</v>
      </c>
      <c r="D49" s="179" t="s">
        <v>63</v>
      </c>
      <c r="E49" s="182" t="s">
        <v>23</v>
      </c>
      <c r="F49" s="186">
        <v>42</v>
      </c>
      <c r="G49" s="180"/>
      <c r="H49" s="181">
        <v>27793</v>
      </c>
      <c r="I49" s="4"/>
      <c r="J49" s="4"/>
      <c r="K49" s="7" t="str">
        <f t="shared" si="7"/>
        <v/>
      </c>
      <c r="L49" s="8" t="str">
        <f t="shared" si="6"/>
        <v>Ravindra Luggah</v>
      </c>
      <c r="M49" s="8" t="str">
        <f t="shared" si="2"/>
        <v>VF35</v>
      </c>
      <c r="N49" s="8" t="str">
        <f t="shared" si="3"/>
        <v>East End Road Runners</v>
      </c>
      <c r="O49" s="8" t="str">
        <f t="shared" si="4"/>
        <v>F</v>
      </c>
      <c r="P49" s="9">
        <f t="shared" si="5"/>
        <v>0</v>
      </c>
      <c r="Q49" s="2">
        <v>50</v>
      </c>
      <c r="R49" s="2" t="s">
        <v>161</v>
      </c>
      <c r="S49" s="2" t="s">
        <v>158</v>
      </c>
    </row>
    <row r="50" spans="1:19" ht="16.5" thickBot="1" x14ac:dyDescent="0.3">
      <c r="A50" s="175">
        <v>49</v>
      </c>
      <c r="B50" s="170" t="s">
        <v>2767</v>
      </c>
      <c r="C50" s="1" t="str">
        <f t="shared" si="0"/>
        <v>SM</v>
      </c>
      <c r="D50" s="179" t="s">
        <v>154</v>
      </c>
      <c r="E50" s="182" t="s">
        <v>24</v>
      </c>
      <c r="F50" s="186">
        <v>38</v>
      </c>
      <c r="G50" s="180"/>
      <c r="H50" s="181">
        <v>29098</v>
      </c>
      <c r="I50" s="4"/>
      <c r="J50" s="4"/>
      <c r="K50" s="7" t="str">
        <f t="shared" si="7"/>
        <v/>
      </c>
      <c r="L50" s="8" t="str">
        <f t="shared" si="6"/>
        <v>david cato</v>
      </c>
      <c r="M50" s="8" t="str">
        <f t="shared" si="2"/>
        <v>SM</v>
      </c>
      <c r="N50" s="8" t="str">
        <f t="shared" si="3"/>
        <v>Eton Manor AC</v>
      </c>
      <c r="O50" s="8" t="str">
        <f t="shared" si="4"/>
        <v>M</v>
      </c>
      <c r="P50" s="9">
        <f t="shared" si="5"/>
        <v>0</v>
      </c>
      <c r="Q50" s="2">
        <v>51</v>
      </c>
      <c r="R50" s="2" t="s">
        <v>161</v>
      </c>
      <c r="S50" s="2" t="s">
        <v>158</v>
      </c>
    </row>
    <row r="51" spans="1:19" ht="16.5" thickBot="1" x14ac:dyDescent="0.3">
      <c r="A51" s="175">
        <v>50</v>
      </c>
      <c r="B51" s="170" t="s">
        <v>2448</v>
      </c>
      <c r="C51" s="1" t="str">
        <f t="shared" si="0"/>
        <v>SF</v>
      </c>
      <c r="D51" s="179" t="s">
        <v>2262</v>
      </c>
      <c r="E51" s="182" t="s">
        <v>23</v>
      </c>
      <c r="F51" s="186">
        <v>34</v>
      </c>
      <c r="G51" s="180"/>
      <c r="H51" s="181">
        <v>30885</v>
      </c>
      <c r="I51" s="4"/>
      <c r="J51" s="4"/>
      <c r="K51" s="7" t="str">
        <f t="shared" si="7"/>
        <v/>
      </c>
      <c r="L51" s="8" t="str">
        <f t="shared" si="6"/>
        <v>emily clarke</v>
      </c>
      <c r="M51" s="8" t="str">
        <f t="shared" si="2"/>
        <v>SF</v>
      </c>
      <c r="N51" s="8" t="str">
        <f t="shared" si="3"/>
        <v>east london runners</v>
      </c>
      <c r="O51" s="8" t="str">
        <f t="shared" si="4"/>
        <v>F</v>
      </c>
      <c r="P51" s="9">
        <f t="shared" si="5"/>
        <v>0</v>
      </c>
      <c r="Q51" s="2">
        <v>52</v>
      </c>
      <c r="R51" s="2" t="s">
        <v>161</v>
      </c>
      <c r="S51" s="2" t="s">
        <v>158</v>
      </c>
    </row>
    <row r="52" spans="1:19" ht="16.5" thickBot="1" x14ac:dyDescent="0.3">
      <c r="A52" s="175">
        <v>51</v>
      </c>
      <c r="B52" s="170" t="s">
        <v>2212</v>
      </c>
      <c r="C52" s="1" t="str">
        <f t="shared" si="0"/>
        <v>VM40</v>
      </c>
      <c r="D52" s="179" t="s">
        <v>38</v>
      </c>
      <c r="E52" s="182" t="s">
        <v>24</v>
      </c>
      <c r="F52" s="186">
        <v>43</v>
      </c>
      <c r="G52" s="180"/>
      <c r="H52" s="181">
        <v>27501</v>
      </c>
      <c r="I52" s="4"/>
      <c r="J52" s="4"/>
      <c r="K52" s="7" t="str">
        <f t="shared" si="7"/>
        <v/>
      </c>
      <c r="L52" s="8" t="str">
        <f t="shared" si="6"/>
        <v>Anthony Maplesden</v>
      </c>
      <c r="M52" s="8" t="str">
        <f t="shared" si="2"/>
        <v>VM40</v>
      </c>
      <c r="N52" s="8" t="str">
        <f t="shared" si="3"/>
        <v>Havering 90 Joggers</v>
      </c>
      <c r="O52" s="8" t="str">
        <f t="shared" si="4"/>
        <v>M</v>
      </c>
      <c r="P52" s="9">
        <f t="shared" si="5"/>
        <v>0</v>
      </c>
      <c r="Q52" s="2">
        <v>53</v>
      </c>
      <c r="R52" s="2" t="s">
        <v>161</v>
      </c>
      <c r="S52" s="2" t="s">
        <v>158</v>
      </c>
    </row>
    <row r="53" spans="1:19" ht="16.5" thickBot="1" x14ac:dyDescent="0.3">
      <c r="A53" s="175">
        <v>52</v>
      </c>
      <c r="B53" s="170" t="s">
        <v>1589</v>
      </c>
      <c r="C53" s="1" t="str">
        <f t="shared" si="0"/>
        <v>SF</v>
      </c>
      <c r="D53" s="179" t="s">
        <v>12</v>
      </c>
      <c r="E53" s="180" t="s">
        <v>23</v>
      </c>
      <c r="F53" s="186">
        <v>28</v>
      </c>
      <c r="G53" s="180"/>
      <c r="H53" s="181">
        <v>32941</v>
      </c>
      <c r="I53" s="4"/>
      <c r="J53" s="4"/>
      <c r="K53" s="7" t="str">
        <f t="shared" si="7"/>
        <v/>
      </c>
      <c r="L53" s="8" t="str">
        <f t="shared" si="6"/>
        <v>Chloe Millan</v>
      </c>
      <c r="M53" s="8" t="str">
        <f t="shared" si="2"/>
        <v>SF</v>
      </c>
      <c r="N53" s="8" t="str">
        <f t="shared" si="3"/>
        <v>East London Runners</v>
      </c>
      <c r="O53" s="8" t="str">
        <f t="shared" si="4"/>
        <v>F</v>
      </c>
      <c r="P53" s="9">
        <f t="shared" si="5"/>
        <v>0</v>
      </c>
      <c r="Q53" s="2">
        <v>54</v>
      </c>
      <c r="R53" s="2" t="s">
        <v>161</v>
      </c>
      <c r="S53" s="2" t="s">
        <v>158</v>
      </c>
    </row>
    <row r="54" spans="1:19" ht="16.5" thickBot="1" x14ac:dyDescent="0.3">
      <c r="A54" s="175">
        <v>53</v>
      </c>
      <c r="B54" s="170" t="s">
        <v>1357</v>
      </c>
      <c r="C54" s="1" t="str">
        <f t="shared" si="0"/>
        <v>SM</v>
      </c>
      <c r="D54" s="179" t="s">
        <v>12</v>
      </c>
      <c r="E54" s="180" t="s">
        <v>24</v>
      </c>
      <c r="F54" s="186">
        <v>33</v>
      </c>
      <c r="G54" s="180"/>
      <c r="H54" s="181">
        <v>31097</v>
      </c>
      <c r="I54" s="4"/>
      <c r="J54" s="4"/>
      <c r="K54" s="7" t="str">
        <f t="shared" si="7"/>
        <v/>
      </c>
      <c r="L54" s="8" t="str">
        <f t="shared" si="6"/>
        <v>Billy Rayner</v>
      </c>
      <c r="M54" s="8" t="str">
        <f t="shared" si="2"/>
        <v>SM</v>
      </c>
      <c r="N54" s="8" t="str">
        <f t="shared" si="3"/>
        <v>East London Runners</v>
      </c>
      <c r="O54" s="8" t="str">
        <f t="shared" si="4"/>
        <v>M</v>
      </c>
      <c r="P54" s="9">
        <f t="shared" si="5"/>
        <v>0</v>
      </c>
      <c r="Q54" s="2">
        <v>55</v>
      </c>
      <c r="R54" s="2" t="s">
        <v>161</v>
      </c>
      <c r="S54" s="2" t="s">
        <v>159</v>
      </c>
    </row>
    <row r="55" spans="1:19" ht="16.5" thickBot="1" x14ac:dyDescent="0.3">
      <c r="A55" s="175">
        <v>54</v>
      </c>
      <c r="B55" s="170" t="s">
        <v>2768</v>
      </c>
      <c r="C55" s="1" t="str">
        <f t="shared" si="0"/>
        <v>VM50</v>
      </c>
      <c r="D55" s="179" t="s">
        <v>155</v>
      </c>
      <c r="E55" s="180" t="s">
        <v>24</v>
      </c>
      <c r="F55" s="186">
        <v>50</v>
      </c>
      <c r="G55" s="180"/>
      <c r="H55" s="181">
        <v>24732</v>
      </c>
      <c r="I55" s="4"/>
      <c r="J55" s="4"/>
      <c r="K55" s="7" t="str">
        <f t="shared" si="7"/>
        <v/>
      </c>
      <c r="L55" s="8" t="str">
        <f t="shared" si="6"/>
        <v>Lee Davis</v>
      </c>
      <c r="M55" s="8" t="str">
        <f t="shared" si="2"/>
        <v>VM50</v>
      </c>
      <c r="N55" s="8" t="str">
        <f t="shared" si="3"/>
        <v>Dagenham 88 Runners</v>
      </c>
      <c r="O55" s="8" t="str">
        <f t="shared" si="4"/>
        <v>M</v>
      </c>
      <c r="P55" s="9">
        <f t="shared" si="5"/>
        <v>0</v>
      </c>
      <c r="Q55" s="2">
        <v>56</v>
      </c>
      <c r="R55" s="2" t="s">
        <v>161</v>
      </c>
      <c r="S55" s="2" t="s">
        <v>159</v>
      </c>
    </row>
    <row r="56" spans="1:19" ht="16.5" thickBot="1" x14ac:dyDescent="0.3">
      <c r="A56" s="175">
        <v>55</v>
      </c>
      <c r="B56" s="170" t="s">
        <v>1351</v>
      </c>
      <c r="C56" s="1" t="str">
        <f t="shared" si="0"/>
        <v>VM40</v>
      </c>
      <c r="D56" s="179" t="s">
        <v>1400</v>
      </c>
      <c r="E56" s="182" t="s">
        <v>24</v>
      </c>
      <c r="F56" s="186">
        <v>45</v>
      </c>
      <c r="G56" s="180"/>
      <c r="H56" s="181">
        <v>26888</v>
      </c>
      <c r="I56" s="4"/>
      <c r="J56" s="4"/>
      <c r="K56" s="7" t="str">
        <f t="shared" si="7"/>
        <v/>
      </c>
      <c r="L56" s="8" t="str">
        <f t="shared" si="6"/>
        <v>Daniel Cogan</v>
      </c>
      <c r="M56" s="8" t="str">
        <f t="shared" si="2"/>
        <v>VM40</v>
      </c>
      <c r="N56" s="8" t="str">
        <f t="shared" si="3"/>
        <v>Drax All Stars</v>
      </c>
      <c r="O56" s="8" t="str">
        <f t="shared" si="4"/>
        <v>M</v>
      </c>
      <c r="P56" s="9">
        <f t="shared" si="5"/>
        <v>0</v>
      </c>
      <c r="Q56" s="2">
        <v>57</v>
      </c>
      <c r="R56" s="2" t="s">
        <v>161</v>
      </c>
      <c r="S56" s="2" t="s">
        <v>159</v>
      </c>
    </row>
    <row r="57" spans="1:19" ht="16.5" thickBot="1" x14ac:dyDescent="0.3">
      <c r="A57" s="175">
        <v>56</v>
      </c>
      <c r="B57" s="170" t="s">
        <v>2769</v>
      </c>
      <c r="C57" s="1" t="str">
        <f t="shared" si="0"/>
        <v>VM60</v>
      </c>
      <c r="D57" s="188" t="s">
        <v>505</v>
      </c>
      <c r="E57" s="182" t="s">
        <v>24</v>
      </c>
      <c r="F57" s="186">
        <v>64</v>
      </c>
      <c r="G57" s="180"/>
      <c r="H57" s="181">
        <v>19676</v>
      </c>
      <c r="I57" s="4"/>
      <c r="J57" s="4"/>
      <c r="K57" s="7" t="str">
        <f t="shared" si="7"/>
        <v/>
      </c>
      <c r="L57" s="8" t="str">
        <f t="shared" si="6"/>
        <v>ALAN COSTAR</v>
      </c>
      <c r="M57" s="8" t="str">
        <f t="shared" si="2"/>
        <v>VM60</v>
      </c>
      <c r="N57" s="8" t="str">
        <f t="shared" si="3"/>
        <v>Unattached</v>
      </c>
      <c r="O57" s="8" t="str">
        <f t="shared" si="4"/>
        <v>M</v>
      </c>
      <c r="P57" s="9">
        <f t="shared" si="5"/>
        <v>0</v>
      </c>
      <c r="Q57" s="2">
        <v>58</v>
      </c>
      <c r="R57" s="2" t="s">
        <v>161</v>
      </c>
      <c r="S57" s="2" t="s">
        <v>159</v>
      </c>
    </row>
    <row r="58" spans="1:19" ht="16.5" thickBot="1" x14ac:dyDescent="0.3">
      <c r="A58" s="175">
        <v>57</v>
      </c>
      <c r="B58" s="170" t="s">
        <v>2206</v>
      </c>
      <c r="C58" s="1" t="str">
        <f t="shared" si="0"/>
        <v>VM40</v>
      </c>
      <c r="D58" s="188" t="s">
        <v>12</v>
      </c>
      <c r="E58" s="180" t="s">
        <v>24</v>
      </c>
      <c r="F58" s="186">
        <v>41</v>
      </c>
      <c r="G58" s="180"/>
      <c r="H58" s="181">
        <v>28194</v>
      </c>
      <c r="I58" s="4"/>
      <c r="J58" s="4"/>
      <c r="K58" s="7" t="str">
        <f t="shared" si="7"/>
        <v/>
      </c>
      <c r="L58" s="8" t="str">
        <f t="shared" si="6"/>
        <v>Terry Lewsey</v>
      </c>
      <c r="M58" s="8" t="str">
        <f t="shared" si="2"/>
        <v>VM40</v>
      </c>
      <c r="N58" s="8" t="str">
        <f t="shared" si="3"/>
        <v>East London Runners</v>
      </c>
      <c r="O58" s="8" t="str">
        <f t="shared" si="4"/>
        <v>M</v>
      </c>
      <c r="P58" s="9">
        <f t="shared" si="5"/>
        <v>0</v>
      </c>
      <c r="Q58" s="2">
        <v>59</v>
      </c>
      <c r="R58" s="2" t="s">
        <v>161</v>
      </c>
      <c r="S58" s="2" t="s">
        <v>159</v>
      </c>
    </row>
    <row r="59" spans="1:19" ht="16.5" thickBot="1" x14ac:dyDescent="0.3">
      <c r="A59" s="175">
        <v>58</v>
      </c>
      <c r="B59" s="170" t="s">
        <v>2770</v>
      </c>
      <c r="C59" s="1" t="str">
        <f t="shared" si="0"/>
        <v>VM40</v>
      </c>
      <c r="D59" s="188" t="s">
        <v>2771</v>
      </c>
      <c r="E59" s="182" t="s">
        <v>24</v>
      </c>
      <c r="F59" s="186">
        <v>47</v>
      </c>
      <c r="G59" s="180"/>
      <c r="H59" s="181">
        <v>26153</v>
      </c>
      <c r="I59" s="4"/>
      <c r="J59" s="4"/>
      <c r="K59" s="7" t="str">
        <f t="shared" si="7"/>
        <v/>
      </c>
      <c r="L59" s="8" t="str">
        <f t="shared" si="6"/>
        <v>Luvvie Darling</v>
      </c>
      <c r="M59" s="8" t="str">
        <f t="shared" si="2"/>
        <v>VM40</v>
      </c>
      <c r="N59" s="8" t="str">
        <f t="shared" si="3"/>
        <v>RaDA</v>
      </c>
      <c r="O59" s="8" t="str">
        <f t="shared" si="4"/>
        <v>M</v>
      </c>
      <c r="P59" s="9">
        <f t="shared" si="5"/>
        <v>0</v>
      </c>
      <c r="Q59" s="2">
        <v>60</v>
      </c>
      <c r="R59" s="2" t="s">
        <v>162</v>
      </c>
      <c r="S59" s="2" t="s">
        <v>159</v>
      </c>
    </row>
    <row r="60" spans="1:19" ht="16.5" thickBot="1" x14ac:dyDescent="0.3">
      <c r="A60" s="175">
        <v>59</v>
      </c>
      <c r="B60" s="170" t="s">
        <v>991</v>
      </c>
      <c r="C60" s="1" t="str">
        <f t="shared" si="0"/>
        <v>VF55</v>
      </c>
      <c r="D60" s="179" t="s">
        <v>14</v>
      </c>
      <c r="E60" s="182" t="s">
        <v>23</v>
      </c>
      <c r="F60" s="186">
        <v>57</v>
      </c>
      <c r="G60" s="180"/>
      <c r="H60" s="181">
        <v>22236</v>
      </c>
      <c r="I60" s="4"/>
      <c r="J60" s="4"/>
      <c r="K60" s="7" t="str">
        <f t="shared" si="7"/>
        <v/>
      </c>
      <c r="L60" s="8" t="str">
        <f t="shared" si="6"/>
        <v>Christine Inch</v>
      </c>
      <c r="M60" s="8" t="str">
        <f t="shared" si="2"/>
        <v>VF55</v>
      </c>
      <c r="N60" s="8" t="str">
        <f t="shared" si="3"/>
        <v>Orion Harriers</v>
      </c>
      <c r="O60" s="8" t="str">
        <f t="shared" si="4"/>
        <v>F</v>
      </c>
      <c r="P60" s="9">
        <f t="shared" si="5"/>
        <v>0</v>
      </c>
      <c r="Q60" s="2">
        <v>61</v>
      </c>
      <c r="R60" s="2" t="s">
        <v>162</v>
      </c>
      <c r="S60" s="2" t="s">
        <v>159</v>
      </c>
    </row>
    <row r="61" spans="1:19" ht="16.5" thickBot="1" x14ac:dyDescent="0.3">
      <c r="A61" s="175">
        <v>60</v>
      </c>
      <c r="B61" s="170" t="s">
        <v>2279</v>
      </c>
      <c r="C61" s="1" t="str">
        <f t="shared" si="0"/>
        <v>VF45</v>
      </c>
      <c r="D61" s="179" t="s">
        <v>38</v>
      </c>
      <c r="E61" s="182" t="s">
        <v>23</v>
      </c>
      <c r="F61" s="186">
        <v>50</v>
      </c>
      <c r="G61" s="180"/>
      <c r="H61" s="181">
        <v>24936</v>
      </c>
      <c r="I61" s="4"/>
      <c r="J61" s="4"/>
      <c r="K61" s="7" t="str">
        <f t="shared" si="7"/>
        <v/>
      </c>
      <c r="L61" s="8" t="str">
        <f t="shared" si="6"/>
        <v>Michele Sullivan</v>
      </c>
      <c r="M61" s="8" t="str">
        <f t="shared" si="2"/>
        <v>VF45</v>
      </c>
      <c r="N61" s="8" t="str">
        <f t="shared" si="3"/>
        <v>Havering 90 Joggers</v>
      </c>
      <c r="O61" s="8" t="str">
        <f t="shared" si="4"/>
        <v>F</v>
      </c>
      <c r="P61" s="9">
        <f t="shared" si="5"/>
        <v>0</v>
      </c>
      <c r="Q61" s="2">
        <v>62</v>
      </c>
      <c r="R61" s="2" t="s">
        <v>162</v>
      </c>
      <c r="S61" s="2" t="s">
        <v>159</v>
      </c>
    </row>
    <row r="62" spans="1:19" ht="16.5" thickBot="1" x14ac:dyDescent="0.3">
      <c r="A62" s="175">
        <v>61</v>
      </c>
      <c r="B62" s="170" t="s">
        <v>1455</v>
      </c>
      <c r="C62" s="1" t="str">
        <f t="shared" si="0"/>
        <v>VF45</v>
      </c>
      <c r="D62" s="179" t="s">
        <v>154</v>
      </c>
      <c r="E62" s="182" t="s">
        <v>23</v>
      </c>
      <c r="F62" s="186">
        <v>47</v>
      </c>
      <c r="G62" s="180"/>
      <c r="H62" s="181">
        <v>25926</v>
      </c>
      <c r="I62" s="4"/>
      <c r="J62" s="4"/>
      <c r="K62" s="7" t="str">
        <f t="shared" si="7"/>
        <v/>
      </c>
      <c r="L62" s="8" t="str">
        <f t="shared" si="6"/>
        <v>Hayley Dalton</v>
      </c>
      <c r="M62" s="8" t="str">
        <f t="shared" si="2"/>
        <v>VF45</v>
      </c>
      <c r="N62" s="8" t="str">
        <f t="shared" si="3"/>
        <v>Eton Manor AC</v>
      </c>
      <c r="O62" s="8" t="str">
        <f t="shared" si="4"/>
        <v>F</v>
      </c>
      <c r="P62" s="9">
        <f t="shared" si="5"/>
        <v>0</v>
      </c>
      <c r="Q62" s="2">
        <v>63</v>
      </c>
      <c r="R62" s="2" t="s">
        <v>162</v>
      </c>
      <c r="S62" s="2" t="s">
        <v>159</v>
      </c>
    </row>
    <row r="63" spans="1:19" ht="16.5" thickBot="1" x14ac:dyDescent="0.3">
      <c r="A63" s="175">
        <v>62</v>
      </c>
      <c r="B63" s="170" t="s">
        <v>1368</v>
      </c>
      <c r="C63" s="1" t="str">
        <f t="shared" si="0"/>
        <v>VF35</v>
      </c>
      <c r="D63" s="179" t="s">
        <v>63</v>
      </c>
      <c r="E63" s="182" t="s">
        <v>23</v>
      </c>
      <c r="F63" s="186">
        <v>37</v>
      </c>
      <c r="G63" s="180"/>
      <c r="H63" s="181">
        <v>29508</v>
      </c>
      <c r="I63" s="4"/>
      <c r="J63" s="4"/>
      <c r="K63" s="7" t="str">
        <f t="shared" si="7"/>
        <v/>
      </c>
      <c r="L63" s="8" t="str">
        <f t="shared" si="6"/>
        <v>Vanessa Lawrence</v>
      </c>
      <c r="M63" s="8" t="str">
        <f t="shared" si="2"/>
        <v>VF35</v>
      </c>
      <c r="N63" s="8" t="str">
        <f t="shared" si="3"/>
        <v>East End Road Runners</v>
      </c>
      <c r="O63" s="8" t="str">
        <f t="shared" si="4"/>
        <v>F</v>
      </c>
      <c r="P63" s="9">
        <f t="shared" si="5"/>
        <v>0</v>
      </c>
      <c r="Q63" s="2">
        <v>64</v>
      </c>
      <c r="R63" s="2" t="s">
        <v>162</v>
      </c>
      <c r="S63" s="2" t="s">
        <v>159</v>
      </c>
    </row>
    <row r="64" spans="1:19" ht="16.5" thickBot="1" x14ac:dyDescent="0.3">
      <c r="A64" s="175">
        <v>63</v>
      </c>
      <c r="B64" s="170" t="s">
        <v>476</v>
      </c>
      <c r="C64" s="1" t="str">
        <f t="shared" si="0"/>
        <v>VF45</v>
      </c>
      <c r="D64" s="179" t="s">
        <v>154</v>
      </c>
      <c r="E64" s="182" t="s">
        <v>23</v>
      </c>
      <c r="F64" s="186">
        <v>48</v>
      </c>
      <c r="G64" s="180"/>
      <c r="H64" s="181">
        <v>25593</v>
      </c>
      <c r="I64" s="4"/>
      <c r="J64" s="4"/>
      <c r="K64" s="7" t="str">
        <f t="shared" si="7"/>
        <v/>
      </c>
      <c r="L64" s="8" t="str">
        <f t="shared" si="6"/>
        <v>Fen Coles</v>
      </c>
      <c r="M64" s="8" t="str">
        <f t="shared" si="2"/>
        <v>VF45</v>
      </c>
      <c r="N64" s="8" t="str">
        <f t="shared" si="3"/>
        <v>Eton Manor AC</v>
      </c>
      <c r="O64" s="8" t="str">
        <f t="shared" si="4"/>
        <v>F</v>
      </c>
      <c r="P64" s="9">
        <f t="shared" si="5"/>
        <v>0</v>
      </c>
      <c r="Q64" s="2">
        <v>65</v>
      </c>
      <c r="R64" s="2" t="s">
        <v>162</v>
      </c>
      <c r="S64" s="134" t="s">
        <v>1818</v>
      </c>
    </row>
    <row r="65" spans="1:19" ht="16.5" thickBot="1" x14ac:dyDescent="0.3">
      <c r="A65" s="175">
        <v>64</v>
      </c>
      <c r="B65" s="170" t="s">
        <v>1575</v>
      </c>
      <c r="C65" s="1" t="str">
        <f t="shared" si="0"/>
        <v>VM50</v>
      </c>
      <c r="D65" s="179" t="s">
        <v>12</v>
      </c>
      <c r="E65" s="180" t="s">
        <v>24</v>
      </c>
      <c r="F65" s="186">
        <v>56</v>
      </c>
      <c r="G65" s="180"/>
      <c r="H65" s="181">
        <v>22797</v>
      </c>
      <c r="I65" s="4"/>
      <c r="J65" s="4"/>
      <c r="K65" s="7" t="str">
        <f t="shared" si="7"/>
        <v/>
      </c>
      <c r="L65" s="8" t="str">
        <f t="shared" si="6"/>
        <v>Lance Fuller</v>
      </c>
      <c r="M65" s="8" t="str">
        <f t="shared" si="2"/>
        <v>VM50</v>
      </c>
      <c r="N65" s="8" t="str">
        <f t="shared" si="3"/>
        <v>East London Runners</v>
      </c>
      <c r="O65" s="8" t="str">
        <f t="shared" si="4"/>
        <v>M</v>
      </c>
      <c r="P65" s="9">
        <f t="shared" si="5"/>
        <v>0</v>
      </c>
      <c r="Q65" s="2">
        <v>66</v>
      </c>
      <c r="R65" s="2" t="s">
        <v>162</v>
      </c>
      <c r="S65" s="134" t="s">
        <v>1818</v>
      </c>
    </row>
    <row r="66" spans="1:19" ht="16.5" thickBot="1" x14ac:dyDescent="0.3">
      <c r="A66" s="175">
        <v>65</v>
      </c>
      <c r="B66" s="170" t="s">
        <v>1918</v>
      </c>
      <c r="C66" s="1" t="str">
        <f t="shared" ref="C66:C129" si="8">IF(AND(E66="M",F66&lt;&gt;""),LOOKUP(F66,$Q$1:$Q$100,$R$1:$R$100),IF(AND(E66="F",F66&lt;&gt;""),LOOKUP(F66,$Q$1:$Q$100,$S$1:$S$100),""))</f>
        <v>VF35</v>
      </c>
      <c r="D66" s="179" t="s">
        <v>155</v>
      </c>
      <c r="E66" s="182" t="s">
        <v>23</v>
      </c>
      <c r="F66" s="186">
        <v>38</v>
      </c>
      <c r="G66" s="180"/>
      <c r="H66" s="181">
        <v>29230</v>
      </c>
      <c r="I66" s="4"/>
      <c r="J66" s="4"/>
      <c r="K66" s="7" t="str">
        <f t="shared" ref="K66:K97" si="9">IF(ISERROR(CONCATENATE(LEFT(L66,3),MID(L66,(FIND(",",L66)+2),3))),"",CONCATENATE(LEFT(L66,3),MID(L66,(FIND(",",L66)+2),3)))</f>
        <v/>
      </c>
      <c r="L66" s="8" t="str">
        <f t="shared" ref="L66:L129" si="10">IF(LEN(B66)&lt;1,"",B66)</f>
        <v>Sonya Veerasamy</v>
      </c>
      <c r="M66" s="8" t="str">
        <f t="shared" ref="M66:M129" si="11">IF(LEN(C66)&lt;1,"",C66)</f>
        <v>VF35</v>
      </c>
      <c r="N66" s="8" t="str">
        <f t="shared" ref="N66:N129" si="12">D66</f>
        <v>Dagenham 88 Runners</v>
      </c>
      <c r="O66" s="8" t="str">
        <f t="shared" ref="O66:O129" si="13">E66</f>
        <v>F</v>
      </c>
      <c r="P66" s="9">
        <f t="shared" ref="P66:P129" si="14">G66</f>
        <v>0</v>
      </c>
      <c r="Q66" s="2">
        <v>67</v>
      </c>
      <c r="R66" s="2" t="s">
        <v>162</v>
      </c>
      <c r="S66" s="134" t="s">
        <v>1818</v>
      </c>
    </row>
    <row r="67" spans="1:19" ht="16.5" thickBot="1" x14ac:dyDescent="0.3">
      <c r="A67" s="175">
        <v>66</v>
      </c>
      <c r="B67" s="170" t="s">
        <v>2772</v>
      </c>
      <c r="C67" s="1" t="str">
        <f t="shared" si="8"/>
        <v>VM50</v>
      </c>
      <c r="D67" s="179" t="s">
        <v>2773</v>
      </c>
      <c r="E67" s="182" t="s">
        <v>24</v>
      </c>
      <c r="F67" s="186">
        <v>56</v>
      </c>
      <c r="G67" s="180"/>
      <c r="H67" s="181">
        <v>22540</v>
      </c>
      <c r="I67" s="4"/>
      <c r="J67" s="4"/>
      <c r="K67" s="7" t="str">
        <f t="shared" si="9"/>
        <v/>
      </c>
      <c r="L67" s="8" t="str">
        <f t="shared" si="10"/>
        <v>Dougie Barber</v>
      </c>
      <c r="M67" s="8" t="str">
        <f t="shared" si="11"/>
        <v>VM50</v>
      </c>
      <c r="N67" s="8" t="str">
        <f t="shared" si="12"/>
        <v>Coltishall Jaguars RC</v>
      </c>
      <c r="O67" s="8" t="str">
        <f t="shared" si="13"/>
        <v>M</v>
      </c>
      <c r="P67" s="9">
        <f t="shared" si="14"/>
        <v>0</v>
      </c>
      <c r="Q67" s="2">
        <v>68</v>
      </c>
      <c r="R67" s="2" t="s">
        <v>162</v>
      </c>
      <c r="S67" s="134" t="s">
        <v>1818</v>
      </c>
    </row>
    <row r="68" spans="1:19" ht="16.5" thickBot="1" x14ac:dyDescent="0.3">
      <c r="A68" s="175">
        <v>67</v>
      </c>
      <c r="B68" s="170" t="s">
        <v>355</v>
      </c>
      <c r="C68" s="1" t="str">
        <f t="shared" si="8"/>
        <v>VM40</v>
      </c>
      <c r="D68" s="179" t="s">
        <v>63</v>
      </c>
      <c r="E68" s="182" t="s">
        <v>24</v>
      </c>
      <c r="F68" s="186">
        <v>49</v>
      </c>
      <c r="G68" s="180"/>
      <c r="H68" s="181">
        <v>25325</v>
      </c>
      <c r="I68" s="4"/>
      <c r="J68" s="4"/>
      <c r="K68" s="7" t="str">
        <f t="shared" si="9"/>
        <v/>
      </c>
      <c r="L68" s="8" t="str">
        <f t="shared" si="10"/>
        <v>Paul Dennis</v>
      </c>
      <c r="M68" s="8" t="str">
        <f t="shared" si="11"/>
        <v>VM40</v>
      </c>
      <c r="N68" s="8" t="str">
        <f t="shared" si="12"/>
        <v>East End Road Runners</v>
      </c>
      <c r="O68" s="8" t="str">
        <f t="shared" si="13"/>
        <v>M</v>
      </c>
      <c r="P68" s="9">
        <f t="shared" si="14"/>
        <v>0</v>
      </c>
      <c r="Q68" s="2">
        <v>69</v>
      </c>
      <c r="R68" s="2" t="s">
        <v>162</v>
      </c>
      <c r="S68" s="134" t="s">
        <v>1818</v>
      </c>
    </row>
    <row r="69" spans="1:19" ht="16.5" thickBot="1" x14ac:dyDescent="0.3">
      <c r="A69" s="175">
        <v>68</v>
      </c>
      <c r="B69" s="170" t="s">
        <v>354</v>
      </c>
      <c r="C69" s="1" t="str">
        <f t="shared" si="8"/>
        <v>SM</v>
      </c>
      <c r="D69" s="179" t="s">
        <v>12</v>
      </c>
      <c r="E69" s="182" t="s">
        <v>24</v>
      </c>
      <c r="F69" s="186">
        <v>28</v>
      </c>
      <c r="G69" s="180"/>
      <c r="H69" s="181">
        <v>32968</v>
      </c>
      <c r="I69" s="4"/>
      <c r="J69" s="4"/>
      <c r="K69" s="7" t="str">
        <f t="shared" si="9"/>
        <v/>
      </c>
      <c r="L69" s="8" t="str">
        <f t="shared" si="10"/>
        <v>Euan Brown</v>
      </c>
      <c r="M69" s="8" t="str">
        <f t="shared" si="11"/>
        <v>SM</v>
      </c>
      <c r="N69" s="8" t="str">
        <f t="shared" si="12"/>
        <v>East London Runners</v>
      </c>
      <c r="O69" s="8" t="str">
        <f t="shared" si="13"/>
        <v>M</v>
      </c>
      <c r="P69" s="9">
        <f t="shared" si="14"/>
        <v>0</v>
      </c>
      <c r="Q69" s="2">
        <v>70</v>
      </c>
      <c r="R69" s="134" t="s">
        <v>1817</v>
      </c>
      <c r="S69" s="134" t="s">
        <v>1818</v>
      </c>
    </row>
    <row r="70" spans="1:19" ht="16.5" thickBot="1" x14ac:dyDescent="0.3">
      <c r="A70" s="175">
        <v>69</v>
      </c>
      <c r="B70" s="170" t="s">
        <v>2199</v>
      </c>
      <c r="C70" s="1" t="str">
        <f t="shared" si="8"/>
        <v>SM</v>
      </c>
      <c r="D70" s="179" t="s">
        <v>63</v>
      </c>
      <c r="E70" s="182" t="s">
        <v>24</v>
      </c>
      <c r="F70" s="186">
        <v>29</v>
      </c>
      <c r="G70" s="180"/>
      <c r="H70" s="181">
        <v>32388</v>
      </c>
      <c r="I70" s="4"/>
      <c r="J70" s="4"/>
      <c r="K70" s="7" t="str">
        <f t="shared" si="9"/>
        <v/>
      </c>
      <c r="L70" s="8" t="str">
        <f t="shared" si="10"/>
        <v>In-Yong Hwang</v>
      </c>
      <c r="M70" s="8" t="str">
        <f t="shared" si="11"/>
        <v>SM</v>
      </c>
      <c r="N70" s="8" t="str">
        <f t="shared" si="12"/>
        <v>East End Road Runners</v>
      </c>
      <c r="O70" s="8" t="str">
        <f t="shared" si="13"/>
        <v>M</v>
      </c>
      <c r="P70" s="9">
        <f t="shared" si="14"/>
        <v>0</v>
      </c>
      <c r="Q70" s="2">
        <v>71</v>
      </c>
      <c r="R70" s="134" t="s">
        <v>1817</v>
      </c>
      <c r="S70" s="134" t="s">
        <v>1818</v>
      </c>
    </row>
    <row r="71" spans="1:19" ht="16.5" thickBot="1" x14ac:dyDescent="0.3">
      <c r="A71" s="175">
        <v>70</v>
      </c>
      <c r="B71" s="170" t="s">
        <v>2774</v>
      </c>
      <c r="C71" s="1" t="str">
        <f t="shared" si="8"/>
        <v>SF</v>
      </c>
      <c r="D71" s="188" t="s">
        <v>2745</v>
      </c>
      <c r="E71" s="182" t="s">
        <v>23</v>
      </c>
      <c r="F71" s="186">
        <v>31</v>
      </c>
      <c r="G71" s="180"/>
      <c r="H71" s="181">
        <v>31931</v>
      </c>
      <c r="I71" s="4"/>
      <c r="J71" s="4"/>
      <c r="K71" s="7" t="str">
        <f t="shared" si="9"/>
        <v/>
      </c>
      <c r="L71" s="8" t="str">
        <f t="shared" si="10"/>
        <v>Katie McInnes</v>
      </c>
      <c r="M71" s="8" t="str">
        <f t="shared" si="11"/>
        <v>SF</v>
      </c>
      <c r="N71" s="8" t="str">
        <f t="shared" si="12"/>
        <v>Chorlton Runners</v>
      </c>
      <c r="O71" s="8" t="str">
        <f t="shared" si="13"/>
        <v>F</v>
      </c>
      <c r="P71" s="9">
        <f t="shared" si="14"/>
        <v>0</v>
      </c>
      <c r="Q71" s="2">
        <v>72</v>
      </c>
      <c r="R71" s="134" t="s">
        <v>1817</v>
      </c>
      <c r="S71" s="134" t="s">
        <v>1818</v>
      </c>
    </row>
    <row r="72" spans="1:19" ht="16.5" thickBot="1" x14ac:dyDescent="0.3">
      <c r="A72" s="175">
        <v>71</v>
      </c>
      <c r="B72" s="170" t="s">
        <v>1361</v>
      </c>
      <c r="C72" s="1" t="str">
        <f t="shared" si="8"/>
        <v>VM40</v>
      </c>
      <c r="D72" s="179" t="s">
        <v>63</v>
      </c>
      <c r="E72" s="182" t="s">
        <v>24</v>
      </c>
      <c r="F72" s="186">
        <v>45</v>
      </c>
      <c r="G72" s="180"/>
      <c r="H72" s="181">
        <v>26591</v>
      </c>
      <c r="I72" s="4"/>
      <c r="J72" s="4"/>
      <c r="K72" s="7" t="str">
        <f t="shared" si="9"/>
        <v/>
      </c>
      <c r="L72" s="8" t="str">
        <f t="shared" si="10"/>
        <v>Simon Leung-Chester</v>
      </c>
      <c r="M72" s="8" t="str">
        <f t="shared" si="11"/>
        <v>VM40</v>
      </c>
      <c r="N72" s="8" t="str">
        <f t="shared" si="12"/>
        <v>East End Road Runners</v>
      </c>
      <c r="O72" s="8" t="str">
        <f t="shared" si="13"/>
        <v>M</v>
      </c>
      <c r="P72" s="9">
        <f t="shared" si="14"/>
        <v>0</v>
      </c>
      <c r="Q72" s="2">
        <v>73</v>
      </c>
      <c r="R72" s="134" t="s">
        <v>1817</v>
      </c>
      <c r="S72" s="134" t="s">
        <v>1818</v>
      </c>
    </row>
    <row r="73" spans="1:19" ht="16.5" thickBot="1" x14ac:dyDescent="0.3">
      <c r="A73" s="175">
        <v>72</v>
      </c>
      <c r="B73" s="170" t="s">
        <v>2275</v>
      </c>
      <c r="C73" s="1" t="str">
        <f t="shared" si="8"/>
        <v>SM</v>
      </c>
      <c r="D73" s="179" t="s">
        <v>43</v>
      </c>
      <c r="E73" s="182" t="s">
        <v>24</v>
      </c>
      <c r="F73" s="186">
        <v>16</v>
      </c>
      <c r="G73" s="180"/>
      <c r="H73" s="181">
        <v>37219</v>
      </c>
      <c r="I73" s="4"/>
      <c r="J73" s="4"/>
      <c r="K73" s="7" t="str">
        <f t="shared" si="9"/>
        <v/>
      </c>
      <c r="L73" s="8" t="str">
        <f t="shared" si="10"/>
        <v>Rory Burr</v>
      </c>
      <c r="M73" s="8" t="str">
        <f t="shared" si="11"/>
        <v>SM</v>
      </c>
      <c r="N73" s="8" t="str">
        <f t="shared" si="12"/>
        <v>Barking Road Runners</v>
      </c>
      <c r="O73" s="8" t="str">
        <f t="shared" si="13"/>
        <v>M</v>
      </c>
      <c r="P73" s="9">
        <f t="shared" si="14"/>
        <v>0</v>
      </c>
      <c r="Q73" s="2">
        <v>74</v>
      </c>
      <c r="R73" s="134" t="s">
        <v>1817</v>
      </c>
      <c r="S73" s="134" t="s">
        <v>1818</v>
      </c>
    </row>
    <row r="74" spans="1:19" ht="16.5" thickBot="1" x14ac:dyDescent="0.3">
      <c r="A74" s="175">
        <v>73</v>
      </c>
      <c r="B74" s="170" t="s">
        <v>1773</v>
      </c>
      <c r="C74" s="1" t="str">
        <f t="shared" si="8"/>
        <v>SM</v>
      </c>
      <c r="D74" s="179" t="s">
        <v>1805</v>
      </c>
      <c r="E74" s="182" t="s">
        <v>24</v>
      </c>
      <c r="F74" s="186">
        <v>32</v>
      </c>
      <c r="G74" s="180"/>
      <c r="H74" s="181">
        <v>31469</v>
      </c>
      <c r="I74" s="4"/>
      <c r="J74" s="4"/>
      <c r="K74" s="7" t="str">
        <f t="shared" si="9"/>
        <v/>
      </c>
      <c r="L74" s="8" t="str">
        <f t="shared" si="10"/>
        <v>Craig Brown</v>
      </c>
      <c r="M74" s="8" t="str">
        <f t="shared" si="11"/>
        <v>SM</v>
      </c>
      <c r="N74" s="8" t="str">
        <f t="shared" si="12"/>
        <v>Harold Wood Running Club</v>
      </c>
      <c r="O74" s="8" t="str">
        <f t="shared" si="13"/>
        <v>M</v>
      </c>
      <c r="P74" s="9">
        <f t="shared" si="14"/>
        <v>0</v>
      </c>
      <c r="Q74" s="2">
        <v>75</v>
      </c>
      <c r="R74" s="134" t="s">
        <v>1817</v>
      </c>
      <c r="S74" s="134" t="s">
        <v>1818</v>
      </c>
    </row>
    <row r="75" spans="1:19" ht="16.5" thickBot="1" x14ac:dyDescent="0.3">
      <c r="A75" s="175">
        <v>74</v>
      </c>
      <c r="B75" s="170" t="s">
        <v>2459</v>
      </c>
      <c r="C75" s="1" t="str">
        <f t="shared" si="8"/>
        <v>VM40</v>
      </c>
      <c r="D75" s="179" t="s">
        <v>63</v>
      </c>
      <c r="E75" s="182" t="s">
        <v>24</v>
      </c>
      <c r="F75" s="186">
        <v>43</v>
      </c>
      <c r="G75" s="180"/>
      <c r="H75" s="181">
        <v>27543</v>
      </c>
      <c r="I75" s="4"/>
      <c r="J75" s="4"/>
      <c r="K75" s="7" t="str">
        <f t="shared" si="9"/>
        <v/>
      </c>
      <c r="L75" s="8" t="str">
        <f t="shared" si="10"/>
        <v>Chinthana Amarasinghe</v>
      </c>
      <c r="M75" s="8" t="str">
        <f t="shared" si="11"/>
        <v>VM40</v>
      </c>
      <c r="N75" s="8" t="str">
        <f t="shared" si="12"/>
        <v>East End Road Runners</v>
      </c>
      <c r="O75" s="8" t="str">
        <f t="shared" si="13"/>
        <v>M</v>
      </c>
      <c r="P75" s="9">
        <f t="shared" si="14"/>
        <v>0</v>
      </c>
      <c r="Q75" s="2">
        <v>76</v>
      </c>
      <c r="R75" s="134" t="s">
        <v>1817</v>
      </c>
      <c r="S75" s="134" t="s">
        <v>1818</v>
      </c>
    </row>
    <row r="76" spans="1:19" ht="16.5" thickBot="1" x14ac:dyDescent="0.3">
      <c r="A76" s="175">
        <v>75</v>
      </c>
      <c r="B76" s="170" t="s">
        <v>2387</v>
      </c>
      <c r="C76" s="1" t="str">
        <f t="shared" si="8"/>
        <v>SM</v>
      </c>
      <c r="D76" s="179" t="s">
        <v>1805</v>
      </c>
      <c r="E76" s="182" t="s">
        <v>24</v>
      </c>
      <c r="F76" s="186">
        <v>34</v>
      </c>
      <c r="G76" s="180"/>
      <c r="H76" s="181">
        <v>30887</v>
      </c>
      <c r="I76" s="4"/>
      <c r="J76" s="4"/>
      <c r="K76" s="7" t="str">
        <f t="shared" si="9"/>
        <v/>
      </c>
      <c r="L76" s="8" t="str">
        <f t="shared" si="10"/>
        <v>Abhishek Anand</v>
      </c>
      <c r="M76" s="8" t="str">
        <f t="shared" si="11"/>
        <v>SM</v>
      </c>
      <c r="N76" s="8" t="str">
        <f t="shared" si="12"/>
        <v>Harold Wood Running Club</v>
      </c>
      <c r="O76" s="8" t="str">
        <f t="shared" si="13"/>
        <v>M</v>
      </c>
      <c r="P76" s="9">
        <f t="shared" si="14"/>
        <v>0</v>
      </c>
      <c r="Q76" s="2">
        <v>77</v>
      </c>
      <c r="R76" s="134" t="s">
        <v>1817</v>
      </c>
      <c r="S76" s="134" t="s">
        <v>1818</v>
      </c>
    </row>
    <row r="77" spans="1:19" ht="16.5" thickBot="1" x14ac:dyDescent="0.3">
      <c r="A77" s="175">
        <v>76</v>
      </c>
      <c r="B77" s="170" t="s">
        <v>2392</v>
      </c>
      <c r="C77" s="1" t="str">
        <f t="shared" si="8"/>
        <v>SF</v>
      </c>
      <c r="D77" s="179" t="s">
        <v>1805</v>
      </c>
      <c r="E77" s="182" t="s">
        <v>23</v>
      </c>
      <c r="F77" s="186">
        <v>33</v>
      </c>
      <c r="G77" s="180"/>
      <c r="H77" s="181">
        <v>31160</v>
      </c>
      <c r="I77" s="4"/>
      <c r="J77" s="4"/>
      <c r="K77" s="7" t="str">
        <f t="shared" si="9"/>
        <v/>
      </c>
      <c r="L77" s="8" t="str">
        <f t="shared" si="10"/>
        <v>Shweta Tiwari</v>
      </c>
      <c r="M77" s="8" t="str">
        <f t="shared" si="11"/>
        <v>SF</v>
      </c>
      <c r="N77" s="8" t="str">
        <f t="shared" si="12"/>
        <v>Harold Wood Running Club</v>
      </c>
      <c r="O77" s="8" t="str">
        <f t="shared" si="13"/>
        <v>F</v>
      </c>
      <c r="P77" s="9">
        <f t="shared" si="14"/>
        <v>0</v>
      </c>
      <c r="Q77" s="2">
        <v>78</v>
      </c>
      <c r="R77" s="134" t="s">
        <v>1817</v>
      </c>
      <c r="S77" s="134" t="s">
        <v>1818</v>
      </c>
    </row>
    <row r="78" spans="1:19" ht="16.5" thickBot="1" x14ac:dyDescent="0.3">
      <c r="A78" s="175">
        <v>77</v>
      </c>
      <c r="B78" s="170" t="s">
        <v>380</v>
      </c>
      <c r="C78" s="1" t="str">
        <f t="shared" si="8"/>
        <v>VF35</v>
      </c>
      <c r="D78" s="188" t="s">
        <v>43</v>
      </c>
      <c r="E78" s="180" t="s">
        <v>23</v>
      </c>
      <c r="F78" s="186">
        <v>43</v>
      </c>
      <c r="G78" s="180"/>
      <c r="H78" s="181">
        <v>27388</v>
      </c>
      <c r="I78" s="4"/>
      <c r="J78" s="4"/>
      <c r="K78" s="7" t="str">
        <f t="shared" si="9"/>
        <v/>
      </c>
      <c r="L78" s="8" t="str">
        <f t="shared" si="10"/>
        <v>Natalie Traylen</v>
      </c>
      <c r="M78" s="8" t="str">
        <f t="shared" si="11"/>
        <v>VF35</v>
      </c>
      <c r="N78" s="8" t="str">
        <f t="shared" si="12"/>
        <v>Barking Road Runners</v>
      </c>
      <c r="O78" s="8" t="str">
        <f t="shared" si="13"/>
        <v>F</v>
      </c>
      <c r="P78" s="9">
        <f t="shared" si="14"/>
        <v>0</v>
      </c>
      <c r="Q78" s="2">
        <v>79</v>
      </c>
      <c r="R78" s="134" t="s">
        <v>1817</v>
      </c>
      <c r="S78" s="134" t="s">
        <v>1818</v>
      </c>
    </row>
    <row r="79" spans="1:19" ht="16.5" thickBot="1" x14ac:dyDescent="0.3">
      <c r="A79" s="175">
        <v>78</v>
      </c>
      <c r="B79" s="170" t="s">
        <v>1105</v>
      </c>
      <c r="C79" s="1" t="str">
        <f t="shared" si="8"/>
        <v>VM60</v>
      </c>
      <c r="D79" s="179" t="s">
        <v>43</v>
      </c>
      <c r="E79" s="182" t="s">
        <v>24</v>
      </c>
      <c r="F79" s="186">
        <v>68</v>
      </c>
      <c r="G79" s="180"/>
      <c r="H79" s="181">
        <v>18325</v>
      </c>
      <c r="I79" s="4"/>
      <c r="J79" s="4"/>
      <c r="K79" s="7" t="str">
        <f t="shared" si="9"/>
        <v/>
      </c>
      <c r="L79" s="8" t="str">
        <f t="shared" si="10"/>
        <v>Martin Mason</v>
      </c>
      <c r="M79" s="8" t="str">
        <f t="shared" si="11"/>
        <v>VM60</v>
      </c>
      <c r="N79" s="8" t="str">
        <f t="shared" si="12"/>
        <v>Barking Road Runners</v>
      </c>
      <c r="O79" s="8" t="str">
        <f t="shared" si="13"/>
        <v>M</v>
      </c>
      <c r="P79" s="9">
        <f t="shared" si="14"/>
        <v>0</v>
      </c>
      <c r="Q79" s="2">
        <v>80</v>
      </c>
      <c r="R79" s="134" t="s">
        <v>1817</v>
      </c>
      <c r="S79" s="134" t="s">
        <v>1818</v>
      </c>
    </row>
    <row r="80" spans="1:19" ht="16.5" thickBot="1" x14ac:dyDescent="0.3">
      <c r="A80" s="175">
        <v>79</v>
      </c>
      <c r="B80" s="170" t="s">
        <v>436</v>
      </c>
      <c r="C80" s="1" t="str">
        <f t="shared" si="8"/>
        <v>VF55</v>
      </c>
      <c r="D80" s="179" t="s">
        <v>14</v>
      </c>
      <c r="E80" s="182" t="s">
        <v>23</v>
      </c>
      <c r="F80" s="186">
        <v>55</v>
      </c>
      <c r="G80" s="180"/>
      <c r="H80" s="181">
        <v>23058</v>
      </c>
      <c r="I80" s="4"/>
      <c r="J80" s="4"/>
      <c r="K80" s="7" t="str">
        <f t="shared" si="9"/>
        <v/>
      </c>
      <c r="L80" s="8" t="str">
        <f t="shared" si="10"/>
        <v>Mary Armitage</v>
      </c>
      <c r="M80" s="8" t="str">
        <f t="shared" si="11"/>
        <v>VF55</v>
      </c>
      <c r="N80" s="8" t="str">
        <f t="shared" si="12"/>
        <v>Orion Harriers</v>
      </c>
      <c r="O80" s="8" t="str">
        <f t="shared" si="13"/>
        <v>F</v>
      </c>
      <c r="P80" s="9">
        <f t="shared" si="14"/>
        <v>0</v>
      </c>
      <c r="Q80" s="2">
        <v>81</v>
      </c>
      <c r="R80" s="134" t="s">
        <v>1817</v>
      </c>
      <c r="S80" s="134" t="s">
        <v>1818</v>
      </c>
    </row>
    <row r="81" spans="1:19" ht="16.5" thickBot="1" x14ac:dyDescent="0.3">
      <c r="A81" s="175">
        <v>80</v>
      </c>
      <c r="B81" s="170" t="s">
        <v>2925</v>
      </c>
      <c r="C81" s="1" t="str">
        <f t="shared" si="8"/>
        <v>SM</v>
      </c>
      <c r="D81" s="179" t="s">
        <v>505</v>
      </c>
      <c r="E81" s="182" t="s">
        <v>24</v>
      </c>
      <c r="F81" s="186">
        <v>33</v>
      </c>
      <c r="G81" s="180"/>
      <c r="H81" s="181">
        <v>30984</v>
      </c>
      <c r="I81" s="4"/>
      <c r="J81" s="4"/>
      <c r="K81" s="7" t="str">
        <f t="shared" si="9"/>
        <v/>
      </c>
      <c r="L81" s="8" t="str">
        <f t="shared" si="10"/>
        <v>Radoslaw Michalczuk</v>
      </c>
      <c r="M81" s="8" t="str">
        <f t="shared" si="11"/>
        <v>SM</v>
      </c>
      <c r="N81" s="8" t="str">
        <f t="shared" si="12"/>
        <v>Unattached</v>
      </c>
      <c r="O81" s="8" t="str">
        <f t="shared" si="13"/>
        <v>M</v>
      </c>
      <c r="P81" s="9">
        <f t="shared" si="14"/>
        <v>0</v>
      </c>
      <c r="Q81" s="2">
        <v>82</v>
      </c>
      <c r="R81" s="134" t="s">
        <v>1817</v>
      </c>
      <c r="S81" s="134" t="s">
        <v>1818</v>
      </c>
    </row>
    <row r="82" spans="1:19" ht="16.5" thickBot="1" x14ac:dyDescent="0.3">
      <c r="A82" s="175">
        <v>81</v>
      </c>
      <c r="B82" s="170" t="s">
        <v>2926</v>
      </c>
      <c r="C82" s="1" t="str">
        <f t="shared" si="8"/>
        <v>VM50</v>
      </c>
      <c r="D82" s="179" t="s">
        <v>14</v>
      </c>
      <c r="E82" s="182" t="s">
        <v>24</v>
      </c>
      <c r="F82" s="186">
        <v>53</v>
      </c>
      <c r="G82" s="180"/>
      <c r="H82" s="181">
        <v>23880</v>
      </c>
      <c r="I82" s="4"/>
      <c r="J82" s="4"/>
      <c r="K82" s="7" t="str">
        <f t="shared" si="9"/>
        <v/>
      </c>
      <c r="L82" s="8" t="str">
        <f t="shared" si="10"/>
        <v>Rob Moore</v>
      </c>
      <c r="M82" s="8" t="str">
        <f t="shared" si="11"/>
        <v>VM50</v>
      </c>
      <c r="N82" s="8" t="str">
        <f t="shared" si="12"/>
        <v>Orion Harriers</v>
      </c>
      <c r="O82" s="8" t="str">
        <f t="shared" si="13"/>
        <v>M</v>
      </c>
      <c r="P82" s="9">
        <f t="shared" si="14"/>
        <v>0</v>
      </c>
      <c r="Q82" s="2">
        <v>83</v>
      </c>
      <c r="R82" s="134" t="s">
        <v>1817</v>
      </c>
      <c r="S82" s="134" t="s">
        <v>1818</v>
      </c>
    </row>
    <row r="83" spans="1:19" ht="16.5" thickBot="1" x14ac:dyDescent="0.3">
      <c r="A83" s="175">
        <v>82</v>
      </c>
      <c r="B83" s="170" t="s">
        <v>2927</v>
      </c>
      <c r="C83" s="1" t="str">
        <f t="shared" si="8"/>
        <v>VM40</v>
      </c>
      <c r="D83" s="188" t="s">
        <v>63</v>
      </c>
      <c r="E83" s="182" t="s">
        <v>24</v>
      </c>
      <c r="F83" s="186">
        <v>48</v>
      </c>
      <c r="G83" s="180"/>
      <c r="H83" s="181">
        <v>25807</v>
      </c>
      <c r="I83" s="4"/>
      <c r="J83" s="4"/>
      <c r="K83" s="7" t="str">
        <f t="shared" si="9"/>
        <v/>
      </c>
      <c r="L83" s="8" t="str">
        <f t="shared" si="10"/>
        <v>Marc Taffy Upton</v>
      </c>
      <c r="M83" s="8" t="str">
        <f t="shared" si="11"/>
        <v>VM40</v>
      </c>
      <c r="N83" s="8" t="str">
        <f t="shared" si="12"/>
        <v>East End Road Runners</v>
      </c>
      <c r="O83" s="8" t="str">
        <f t="shared" si="13"/>
        <v>M</v>
      </c>
      <c r="P83" s="9">
        <f t="shared" si="14"/>
        <v>0</v>
      </c>
      <c r="Q83" s="2">
        <v>84</v>
      </c>
      <c r="R83" s="134" t="s">
        <v>1817</v>
      </c>
      <c r="S83" s="134" t="s">
        <v>1818</v>
      </c>
    </row>
    <row r="84" spans="1:19" ht="16.5" thickBot="1" x14ac:dyDescent="0.3">
      <c r="A84" s="175">
        <v>83</v>
      </c>
      <c r="B84" s="170" t="s">
        <v>2928</v>
      </c>
      <c r="C84" s="1" t="str">
        <f t="shared" si="8"/>
        <v>VM40</v>
      </c>
      <c r="D84" s="179" t="s">
        <v>12</v>
      </c>
      <c r="E84" s="182" t="s">
        <v>24</v>
      </c>
      <c r="F84" s="186">
        <v>48</v>
      </c>
      <c r="G84" s="180"/>
      <c r="H84" s="181">
        <v>25677</v>
      </c>
      <c r="I84" s="4"/>
      <c r="J84" s="4"/>
      <c r="K84" s="7" t="str">
        <f t="shared" si="9"/>
        <v/>
      </c>
      <c r="L84" s="8" t="str">
        <f t="shared" si="10"/>
        <v>Prabhakaran Sukumar</v>
      </c>
      <c r="M84" s="8" t="str">
        <f t="shared" si="11"/>
        <v>VM40</v>
      </c>
      <c r="N84" s="8" t="str">
        <f t="shared" si="12"/>
        <v>East London Runners</v>
      </c>
      <c r="O84" s="8" t="str">
        <f t="shared" si="13"/>
        <v>M</v>
      </c>
      <c r="P84" s="9">
        <f t="shared" si="14"/>
        <v>0</v>
      </c>
      <c r="Q84" s="2">
        <v>85</v>
      </c>
      <c r="R84" s="134" t="s">
        <v>1817</v>
      </c>
      <c r="S84" s="134" t="s">
        <v>1818</v>
      </c>
    </row>
    <row r="85" spans="1:19" ht="16.5" thickBot="1" x14ac:dyDescent="0.3">
      <c r="A85" s="175">
        <v>84</v>
      </c>
      <c r="B85" s="170" t="s">
        <v>2929</v>
      </c>
      <c r="C85" s="1" t="str">
        <f t="shared" si="8"/>
        <v>VF35</v>
      </c>
      <c r="D85" s="179" t="s">
        <v>12</v>
      </c>
      <c r="E85" s="182" t="s">
        <v>23</v>
      </c>
      <c r="F85" s="186">
        <v>43</v>
      </c>
      <c r="G85" s="180"/>
      <c r="H85" s="181">
        <v>27295</v>
      </c>
      <c r="I85" s="4"/>
      <c r="J85" s="4"/>
      <c r="K85" s="7" t="str">
        <f t="shared" si="9"/>
        <v/>
      </c>
      <c r="L85" s="8" t="str">
        <f t="shared" si="10"/>
        <v>Gowri Sukumar</v>
      </c>
      <c r="M85" s="8" t="str">
        <f t="shared" si="11"/>
        <v>VF35</v>
      </c>
      <c r="N85" s="8" t="str">
        <f t="shared" si="12"/>
        <v>East London Runners</v>
      </c>
      <c r="O85" s="8" t="str">
        <f t="shared" si="13"/>
        <v>F</v>
      </c>
      <c r="P85" s="9">
        <f t="shared" si="14"/>
        <v>0</v>
      </c>
      <c r="Q85" s="2">
        <v>86</v>
      </c>
      <c r="R85" s="134" t="s">
        <v>1817</v>
      </c>
      <c r="S85" s="134" t="s">
        <v>1818</v>
      </c>
    </row>
    <row r="86" spans="1:19" ht="16.5" thickBot="1" x14ac:dyDescent="0.3">
      <c r="A86" s="175">
        <v>85</v>
      </c>
      <c r="B86" s="170" t="s">
        <v>2298</v>
      </c>
      <c r="C86" s="1" t="str">
        <f t="shared" si="8"/>
        <v>VF35</v>
      </c>
      <c r="D86" s="188" t="s">
        <v>12</v>
      </c>
      <c r="E86" s="182" t="s">
        <v>23</v>
      </c>
      <c r="F86" s="186">
        <v>36</v>
      </c>
      <c r="G86" s="180"/>
      <c r="H86" s="181">
        <v>29936</v>
      </c>
      <c r="I86" s="4"/>
      <c r="J86" s="4"/>
      <c r="K86" s="7" t="str">
        <f t="shared" si="9"/>
        <v/>
      </c>
      <c r="L86" s="8" t="str">
        <f t="shared" si="10"/>
        <v>Rachel Le Roux</v>
      </c>
      <c r="M86" s="8" t="str">
        <f t="shared" si="11"/>
        <v>VF35</v>
      </c>
      <c r="N86" s="8" t="str">
        <f t="shared" si="12"/>
        <v>East London Runners</v>
      </c>
      <c r="O86" s="8" t="str">
        <f t="shared" si="13"/>
        <v>F</v>
      </c>
      <c r="P86" s="9">
        <f t="shared" si="14"/>
        <v>0</v>
      </c>
      <c r="Q86" s="2">
        <v>87</v>
      </c>
      <c r="R86" s="134" t="s">
        <v>1817</v>
      </c>
      <c r="S86" s="134" t="s">
        <v>1818</v>
      </c>
    </row>
    <row r="87" spans="1:19" ht="16.5" thickBot="1" x14ac:dyDescent="0.3">
      <c r="A87" s="175">
        <v>86</v>
      </c>
      <c r="B87" s="170" t="s">
        <v>2930</v>
      </c>
      <c r="C87" s="1" t="str">
        <f t="shared" si="8"/>
        <v>SF</v>
      </c>
      <c r="D87" s="188" t="s">
        <v>63</v>
      </c>
      <c r="E87" s="182" t="s">
        <v>23</v>
      </c>
      <c r="F87" s="186">
        <v>28</v>
      </c>
      <c r="G87" s="180"/>
      <c r="H87" s="181">
        <v>32956</v>
      </c>
      <c r="I87" s="4"/>
      <c r="J87" s="4"/>
      <c r="K87" s="7" t="str">
        <f t="shared" si="9"/>
        <v/>
      </c>
      <c r="L87" s="8" t="str">
        <f t="shared" si="10"/>
        <v>Megan Davies</v>
      </c>
      <c r="M87" s="8" t="str">
        <f t="shared" si="11"/>
        <v>SF</v>
      </c>
      <c r="N87" s="8" t="str">
        <f t="shared" si="12"/>
        <v>East End Road Runners</v>
      </c>
      <c r="O87" s="8" t="str">
        <f t="shared" si="13"/>
        <v>F</v>
      </c>
      <c r="P87" s="9">
        <f t="shared" si="14"/>
        <v>0</v>
      </c>
      <c r="Q87" s="2">
        <v>88</v>
      </c>
      <c r="R87" s="134" t="s">
        <v>1817</v>
      </c>
      <c r="S87" s="134" t="s">
        <v>1818</v>
      </c>
    </row>
    <row r="88" spans="1:19" ht="16.5" thickBot="1" x14ac:dyDescent="0.3">
      <c r="A88" s="175">
        <v>87</v>
      </c>
      <c r="B88" s="170" t="s">
        <v>1929</v>
      </c>
      <c r="C88" s="1" t="str">
        <f t="shared" si="8"/>
        <v>VF55</v>
      </c>
      <c r="D88" s="188" t="s">
        <v>63</v>
      </c>
      <c r="E88" s="182" t="s">
        <v>23</v>
      </c>
      <c r="F88" s="186">
        <v>62</v>
      </c>
      <c r="G88" s="180"/>
      <c r="H88" s="181">
        <v>20353</v>
      </c>
      <c r="I88" s="4"/>
      <c r="J88" s="4"/>
      <c r="K88" s="7" t="str">
        <f t="shared" si="9"/>
        <v/>
      </c>
      <c r="L88" s="8" t="str">
        <f t="shared" si="10"/>
        <v>Esther Shifra</v>
      </c>
      <c r="M88" s="8" t="str">
        <f t="shared" si="11"/>
        <v>VF55</v>
      </c>
      <c r="N88" s="8" t="str">
        <f t="shared" si="12"/>
        <v>East End Road Runners</v>
      </c>
      <c r="O88" s="8" t="str">
        <f t="shared" si="13"/>
        <v>F</v>
      </c>
      <c r="P88" s="9">
        <f t="shared" si="14"/>
        <v>0</v>
      </c>
      <c r="Q88" s="2">
        <v>89</v>
      </c>
      <c r="R88" s="134" t="s">
        <v>1817</v>
      </c>
      <c r="S88" s="134" t="s">
        <v>1818</v>
      </c>
    </row>
    <row r="89" spans="1:19" ht="16.5" thickBot="1" x14ac:dyDescent="0.3">
      <c r="A89" s="175">
        <v>88</v>
      </c>
      <c r="B89" s="170" t="s">
        <v>626</v>
      </c>
      <c r="C89" s="1" t="str">
        <f t="shared" si="8"/>
        <v>VF45</v>
      </c>
      <c r="D89" s="188" t="s">
        <v>63</v>
      </c>
      <c r="E89" s="182" t="s">
        <v>23</v>
      </c>
      <c r="F89" s="186">
        <v>51</v>
      </c>
      <c r="G89" s="180"/>
      <c r="H89" s="181">
        <v>24621</v>
      </c>
      <c r="I89" s="4"/>
      <c r="J89" s="4"/>
      <c r="K89" s="7" t="str">
        <f t="shared" si="9"/>
        <v/>
      </c>
      <c r="L89" s="8" t="str">
        <f t="shared" si="10"/>
        <v>Bisi Imafidon</v>
      </c>
      <c r="M89" s="8" t="str">
        <f t="shared" si="11"/>
        <v>VF45</v>
      </c>
      <c r="N89" s="8" t="str">
        <f t="shared" si="12"/>
        <v>East End Road Runners</v>
      </c>
      <c r="O89" s="8" t="str">
        <f t="shared" si="13"/>
        <v>F</v>
      </c>
      <c r="P89" s="9">
        <f t="shared" si="14"/>
        <v>0</v>
      </c>
      <c r="Q89" s="2">
        <v>90</v>
      </c>
      <c r="R89" s="134" t="s">
        <v>1817</v>
      </c>
      <c r="S89" s="134" t="s">
        <v>1818</v>
      </c>
    </row>
    <row r="90" spans="1:19" ht="16.5" thickBot="1" x14ac:dyDescent="0.3">
      <c r="A90" s="175">
        <v>89</v>
      </c>
      <c r="B90" s="170" t="s">
        <v>1411</v>
      </c>
      <c r="C90" s="1" t="str">
        <f t="shared" si="8"/>
        <v>SF</v>
      </c>
      <c r="D90" s="188" t="s">
        <v>63</v>
      </c>
      <c r="E90" s="182" t="s">
        <v>23</v>
      </c>
      <c r="F90" s="186">
        <v>29</v>
      </c>
      <c r="G90" s="180"/>
      <c r="H90" s="181">
        <v>32567</v>
      </c>
      <c r="I90" s="4"/>
      <c r="J90" s="4"/>
      <c r="K90" s="7" t="str">
        <f t="shared" si="9"/>
        <v/>
      </c>
      <c r="L90" s="8" t="str">
        <f t="shared" si="10"/>
        <v>Alice Ridgway</v>
      </c>
      <c r="M90" s="8" t="str">
        <f t="shared" si="11"/>
        <v>SF</v>
      </c>
      <c r="N90" s="8" t="str">
        <f t="shared" si="12"/>
        <v>East End Road Runners</v>
      </c>
      <c r="O90" s="8" t="str">
        <f t="shared" si="13"/>
        <v>F</v>
      </c>
      <c r="P90" s="9">
        <f t="shared" si="14"/>
        <v>0</v>
      </c>
      <c r="Q90" s="2">
        <v>91</v>
      </c>
      <c r="R90" s="134" t="s">
        <v>1817</v>
      </c>
      <c r="S90" s="134" t="s">
        <v>1818</v>
      </c>
    </row>
    <row r="91" spans="1:19" ht="16.5" thickBot="1" x14ac:dyDescent="0.3">
      <c r="A91" s="175">
        <v>90</v>
      </c>
      <c r="B91" s="170" t="s">
        <v>466</v>
      </c>
      <c r="C91" s="1" t="str">
        <f t="shared" si="8"/>
        <v>VF35</v>
      </c>
      <c r="D91" s="188" t="s">
        <v>63</v>
      </c>
      <c r="E91" s="180" t="s">
        <v>23</v>
      </c>
      <c r="F91" s="186">
        <v>42</v>
      </c>
      <c r="G91" s="180"/>
      <c r="H91" s="181">
        <v>27985</v>
      </c>
      <c r="I91" s="4"/>
      <c r="J91" s="4"/>
      <c r="K91" s="7" t="str">
        <f t="shared" si="9"/>
        <v/>
      </c>
      <c r="L91" s="8" t="str">
        <f t="shared" si="10"/>
        <v>Claire Adamson</v>
      </c>
      <c r="M91" s="8" t="str">
        <f t="shared" si="11"/>
        <v>VF35</v>
      </c>
      <c r="N91" s="8" t="str">
        <f t="shared" si="12"/>
        <v>East End Road Runners</v>
      </c>
      <c r="O91" s="8" t="str">
        <f t="shared" si="13"/>
        <v>F</v>
      </c>
      <c r="P91" s="9">
        <f t="shared" si="14"/>
        <v>0</v>
      </c>
      <c r="Q91" s="2">
        <v>92</v>
      </c>
      <c r="R91" s="134" t="s">
        <v>1817</v>
      </c>
      <c r="S91" s="134" t="s">
        <v>1818</v>
      </c>
    </row>
    <row r="92" spans="1:19" ht="16.5" thickBot="1" x14ac:dyDescent="0.3">
      <c r="A92" s="175">
        <v>91</v>
      </c>
      <c r="B92" s="170" t="s">
        <v>279</v>
      </c>
      <c r="C92" s="1" t="str">
        <f t="shared" si="8"/>
        <v>VF55</v>
      </c>
      <c r="D92" s="188" t="s">
        <v>108</v>
      </c>
      <c r="E92" s="180" t="s">
        <v>23</v>
      </c>
      <c r="F92" s="186">
        <v>61</v>
      </c>
      <c r="G92" s="180"/>
      <c r="H92" s="181">
        <v>20906</v>
      </c>
      <c r="I92" s="4"/>
      <c r="J92" s="4"/>
      <c r="K92" s="7" t="str">
        <f t="shared" si="9"/>
        <v/>
      </c>
      <c r="L92" s="8" t="str">
        <f t="shared" si="10"/>
        <v>Sharon Honey</v>
      </c>
      <c r="M92" s="8" t="str">
        <f t="shared" si="11"/>
        <v>VF55</v>
      </c>
      <c r="N92" s="8" t="str">
        <f t="shared" si="12"/>
        <v>Ilford AC</v>
      </c>
      <c r="O92" s="8" t="str">
        <f t="shared" si="13"/>
        <v>F</v>
      </c>
      <c r="P92" s="9">
        <f t="shared" si="14"/>
        <v>0</v>
      </c>
      <c r="Q92" s="2">
        <v>93</v>
      </c>
      <c r="R92" s="134" t="s">
        <v>1817</v>
      </c>
      <c r="S92" s="134" t="s">
        <v>1818</v>
      </c>
    </row>
    <row r="93" spans="1:19" ht="16.5" thickBot="1" x14ac:dyDescent="0.3">
      <c r="A93" s="175">
        <v>92</v>
      </c>
      <c r="B93" s="170" t="s">
        <v>2461</v>
      </c>
      <c r="C93" s="1" t="str">
        <f t="shared" si="8"/>
        <v>VM50</v>
      </c>
      <c r="D93" s="188" t="s">
        <v>12</v>
      </c>
      <c r="E93" s="180" t="s">
        <v>24</v>
      </c>
      <c r="F93" s="186">
        <v>53</v>
      </c>
      <c r="G93" s="180"/>
      <c r="H93" s="181">
        <v>23766</v>
      </c>
      <c r="I93" s="4"/>
      <c r="J93" s="4"/>
      <c r="K93" s="7" t="str">
        <f t="shared" si="9"/>
        <v/>
      </c>
      <c r="L93" s="8" t="str">
        <f t="shared" si="10"/>
        <v>Steven Bywater</v>
      </c>
      <c r="M93" s="8" t="str">
        <f t="shared" si="11"/>
        <v>VM50</v>
      </c>
      <c r="N93" s="8" t="str">
        <f t="shared" si="12"/>
        <v>East London Runners</v>
      </c>
      <c r="O93" s="8" t="str">
        <f t="shared" si="13"/>
        <v>M</v>
      </c>
      <c r="P93" s="9">
        <f t="shared" si="14"/>
        <v>0</v>
      </c>
      <c r="Q93" s="2">
        <v>94</v>
      </c>
      <c r="R93" s="134" t="s">
        <v>1817</v>
      </c>
      <c r="S93" s="134" t="s">
        <v>1818</v>
      </c>
    </row>
    <row r="94" spans="1:19" ht="16.5" thickBot="1" x14ac:dyDescent="0.3">
      <c r="A94" s="175">
        <v>93</v>
      </c>
      <c r="B94" s="170" t="s">
        <v>330</v>
      </c>
      <c r="C94" s="1" t="str">
        <f t="shared" si="8"/>
        <v>SM</v>
      </c>
      <c r="D94" s="188" t="s">
        <v>12</v>
      </c>
      <c r="E94" s="180" t="s">
        <v>24</v>
      </c>
      <c r="F94" s="186">
        <v>25</v>
      </c>
      <c r="G94" s="180"/>
      <c r="H94" s="181">
        <v>34024</v>
      </c>
      <c r="I94" s="4"/>
      <c r="J94" s="4"/>
      <c r="K94" s="7" t="str">
        <f t="shared" si="9"/>
        <v/>
      </c>
      <c r="L94" s="8" t="str">
        <f t="shared" si="10"/>
        <v>Aaron Browne</v>
      </c>
      <c r="M94" s="8" t="str">
        <f t="shared" si="11"/>
        <v>SM</v>
      </c>
      <c r="N94" s="8" t="str">
        <f t="shared" si="12"/>
        <v>East London Runners</v>
      </c>
      <c r="O94" s="8" t="str">
        <f t="shared" si="13"/>
        <v>M</v>
      </c>
      <c r="P94" s="9">
        <f t="shared" si="14"/>
        <v>0</v>
      </c>
      <c r="Q94" s="2">
        <v>95</v>
      </c>
      <c r="R94" s="134" t="s">
        <v>1817</v>
      </c>
      <c r="S94" s="134" t="s">
        <v>1818</v>
      </c>
    </row>
    <row r="95" spans="1:19" ht="16.5" thickBot="1" x14ac:dyDescent="0.3">
      <c r="A95" s="175">
        <v>94</v>
      </c>
      <c r="B95" s="170" t="s">
        <v>1897</v>
      </c>
      <c r="C95" s="1" t="str">
        <f t="shared" si="8"/>
        <v>VM40</v>
      </c>
      <c r="D95" s="188" t="s">
        <v>1400</v>
      </c>
      <c r="E95" s="180" t="s">
        <v>24</v>
      </c>
      <c r="F95" s="186">
        <v>46</v>
      </c>
      <c r="G95" s="180"/>
      <c r="H95" s="181">
        <v>26310</v>
      </c>
      <c r="I95" s="4"/>
      <c r="J95" s="4"/>
      <c r="K95" s="7" t="str">
        <f t="shared" si="9"/>
        <v/>
      </c>
      <c r="L95" s="8" t="str">
        <f t="shared" si="10"/>
        <v>Michael Newman</v>
      </c>
      <c r="M95" s="8" t="str">
        <f t="shared" si="11"/>
        <v>VM40</v>
      </c>
      <c r="N95" s="8" t="str">
        <f t="shared" si="12"/>
        <v>Drax All Stars</v>
      </c>
      <c r="O95" s="8" t="str">
        <f t="shared" si="13"/>
        <v>M</v>
      </c>
      <c r="P95" s="9">
        <f t="shared" si="14"/>
        <v>0</v>
      </c>
      <c r="Q95" s="2">
        <v>96</v>
      </c>
      <c r="R95" s="134" t="s">
        <v>1817</v>
      </c>
      <c r="S95" s="134" t="s">
        <v>1818</v>
      </c>
    </row>
    <row r="96" spans="1:19" ht="16.5" thickBot="1" x14ac:dyDescent="0.3">
      <c r="A96" s="175">
        <v>95</v>
      </c>
      <c r="B96" s="170" t="s">
        <v>999</v>
      </c>
      <c r="C96" s="1" t="str">
        <f t="shared" si="8"/>
        <v>VM60</v>
      </c>
      <c r="D96" s="188" t="s">
        <v>12</v>
      </c>
      <c r="E96" s="180" t="s">
        <v>24</v>
      </c>
      <c r="F96" s="186">
        <v>63</v>
      </c>
      <c r="G96" s="180"/>
      <c r="H96" s="181">
        <v>20228</v>
      </c>
      <c r="I96" s="4"/>
      <c r="J96" s="4"/>
      <c r="K96" s="7" t="str">
        <f t="shared" si="9"/>
        <v/>
      </c>
      <c r="L96" s="8" t="str">
        <f t="shared" si="10"/>
        <v>Calvin Bobin</v>
      </c>
      <c r="M96" s="8" t="str">
        <f t="shared" si="11"/>
        <v>VM60</v>
      </c>
      <c r="N96" s="8" t="str">
        <f t="shared" si="12"/>
        <v>East London Runners</v>
      </c>
      <c r="O96" s="8" t="str">
        <f t="shared" si="13"/>
        <v>M</v>
      </c>
      <c r="P96" s="9">
        <f t="shared" si="14"/>
        <v>0</v>
      </c>
      <c r="Q96" s="2">
        <v>97</v>
      </c>
      <c r="R96" s="134" t="s">
        <v>1817</v>
      </c>
      <c r="S96" s="134" t="s">
        <v>1818</v>
      </c>
    </row>
    <row r="97" spans="1:19" ht="16.5" thickBot="1" x14ac:dyDescent="0.3">
      <c r="A97" s="175">
        <v>96</v>
      </c>
      <c r="B97" s="170" t="s">
        <v>1688</v>
      </c>
      <c r="C97" s="1" t="str">
        <f t="shared" si="8"/>
        <v>VF35</v>
      </c>
      <c r="D97" s="188" t="s">
        <v>14</v>
      </c>
      <c r="E97" s="180" t="s">
        <v>23</v>
      </c>
      <c r="F97" s="186">
        <v>39</v>
      </c>
      <c r="G97" s="180"/>
      <c r="H97" s="181">
        <v>28848</v>
      </c>
      <c r="I97" s="4"/>
      <c r="J97" s="4"/>
      <c r="K97" s="7" t="str">
        <f t="shared" si="9"/>
        <v/>
      </c>
      <c r="L97" s="8" t="str">
        <f t="shared" si="10"/>
        <v>Alison Taylor</v>
      </c>
      <c r="M97" s="8" t="str">
        <f t="shared" si="11"/>
        <v>VF35</v>
      </c>
      <c r="N97" s="8" t="str">
        <f t="shared" si="12"/>
        <v>Orion Harriers</v>
      </c>
      <c r="O97" s="8" t="str">
        <f t="shared" si="13"/>
        <v>F</v>
      </c>
      <c r="P97" s="9">
        <f t="shared" si="14"/>
        <v>0</v>
      </c>
      <c r="Q97" s="2">
        <v>98</v>
      </c>
      <c r="R97" s="134" t="s">
        <v>1817</v>
      </c>
      <c r="S97" s="134" t="s">
        <v>1818</v>
      </c>
    </row>
    <row r="98" spans="1:19" ht="16.5" thickBot="1" x14ac:dyDescent="0.3">
      <c r="A98" s="175">
        <v>97</v>
      </c>
      <c r="B98" s="170" t="s">
        <v>2239</v>
      </c>
      <c r="C98" s="1" t="str">
        <f t="shared" si="8"/>
        <v>SF</v>
      </c>
      <c r="D98" s="188" t="s">
        <v>63</v>
      </c>
      <c r="E98" s="180" t="s">
        <v>23</v>
      </c>
      <c r="F98" s="186">
        <v>32</v>
      </c>
      <c r="G98" s="180"/>
      <c r="H98" s="181">
        <v>31402</v>
      </c>
      <c r="I98" s="4"/>
      <c r="J98" s="4"/>
      <c r="K98" s="7" t="str">
        <f>IF(ISERROR(CONCATENATE(LEFT(L98,3),MID(L98,(FIND(",",L98)+2),3))),"",CONCATENATE(LEFT(L98,3),MID(L98,(FIND(",",L98)+2),3)))</f>
        <v/>
      </c>
      <c r="L98" s="8" t="str">
        <f t="shared" si="10"/>
        <v>Sarah Pepper</v>
      </c>
      <c r="M98" s="8" t="str">
        <f t="shared" si="11"/>
        <v>SF</v>
      </c>
      <c r="N98" s="8" t="str">
        <f t="shared" si="12"/>
        <v>East End Road Runners</v>
      </c>
      <c r="O98" s="8" t="str">
        <f t="shared" si="13"/>
        <v>F</v>
      </c>
      <c r="P98" s="9">
        <f t="shared" si="14"/>
        <v>0</v>
      </c>
      <c r="Q98" s="2">
        <v>99</v>
      </c>
      <c r="R98" s="134" t="s">
        <v>1817</v>
      </c>
      <c r="S98" s="134" t="s">
        <v>1818</v>
      </c>
    </row>
    <row r="99" spans="1:19" ht="16.5" thickBot="1" x14ac:dyDescent="0.3">
      <c r="A99" s="175">
        <v>98</v>
      </c>
      <c r="B99" s="170" t="s">
        <v>246</v>
      </c>
      <c r="C99" s="1" t="str">
        <f t="shared" si="8"/>
        <v>VM70</v>
      </c>
      <c r="D99" s="188" t="s">
        <v>63</v>
      </c>
      <c r="E99" s="182" t="s">
        <v>24</v>
      </c>
      <c r="F99" s="186">
        <v>77</v>
      </c>
      <c r="G99" s="180"/>
      <c r="H99" s="181">
        <v>15132</v>
      </c>
      <c r="I99" s="4"/>
      <c r="J99" s="4"/>
      <c r="K99" s="7"/>
      <c r="L99" s="8" t="str">
        <f t="shared" si="10"/>
        <v>David Thurtle</v>
      </c>
      <c r="M99" s="8" t="str">
        <f t="shared" si="11"/>
        <v>VM70</v>
      </c>
      <c r="N99" s="8" t="str">
        <f t="shared" si="12"/>
        <v>East End Road Runners</v>
      </c>
      <c r="O99" s="8" t="str">
        <f t="shared" si="13"/>
        <v>M</v>
      </c>
      <c r="P99" s="9">
        <f t="shared" si="14"/>
        <v>0</v>
      </c>
      <c r="Q99" s="2">
        <v>100</v>
      </c>
      <c r="R99" s="134" t="s">
        <v>1817</v>
      </c>
      <c r="S99" s="134" t="s">
        <v>1818</v>
      </c>
    </row>
    <row r="100" spans="1:19" ht="16.5" thickBot="1" x14ac:dyDescent="0.3">
      <c r="A100" s="175">
        <v>99</v>
      </c>
      <c r="B100" s="170" t="s">
        <v>1713</v>
      </c>
      <c r="C100" s="1" t="str">
        <f t="shared" si="8"/>
        <v>SF</v>
      </c>
      <c r="D100" s="188" t="s">
        <v>108</v>
      </c>
      <c r="E100" s="180" t="s">
        <v>23</v>
      </c>
      <c r="F100" s="186">
        <v>28</v>
      </c>
      <c r="G100" s="180"/>
      <c r="H100" s="181">
        <v>33043</v>
      </c>
      <c r="I100" s="4"/>
      <c r="J100" s="4"/>
      <c r="K100" s="7" t="str">
        <f t="shared" ref="K100:K105" si="15">IF(ISERROR(CONCATENATE(LEFT(L100,3),MID(L100,(FIND(",",L100)+2),3))),"",CONCATENATE(LEFT(L100,3),MID(L100,(FIND(",",L100)+2),3)))</f>
        <v/>
      </c>
      <c r="L100" s="8" t="str">
        <f t="shared" si="10"/>
        <v>Anna Crawley</v>
      </c>
      <c r="M100" s="8" t="str">
        <f t="shared" si="11"/>
        <v>SF</v>
      </c>
      <c r="N100" s="8" t="str">
        <f t="shared" si="12"/>
        <v>Ilford AC</v>
      </c>
      <c r="O100" s="8" t="str">
        <f t="shared" si="13"/>
        <v>F</v>
      </c>
      <c r="P100" s="9">
        <f t="shared" si="14"/>
        <v>0</v>
      </c>
    </row>
    <row r="101" spans="1:19" ht="16.5" thickBot="1" x14ac:dyDescent="0.3">
      <c r="A101" s="175">
        <v>100</v>
      </c>
      <c r="B101" s="170" t="s">
        <v>379</v>
      </c>
      <c r="C101" s="1" t="str">
        <f t="shared" si="8"/>
        <v>VF35</v>
      </c>
      <c r="D101" s="188" t="s">
        <v>12</v>
      </c>
      <c r="E101" s="180" t="s">
        <v>23</v>
      </c>
      <c r="F101" s="186">
        <v>42</v>
      </c>
      <c r="G101" s="180"/>
      <c r="H101" s="181">
        <v>27771</v>
      </c>
      <c r="I101" s="4"/>
      <c r="J101" s="4"/>
      <c r="K101" s="7" t="str">
        <f t="shared" si="15"/>
        <v/>
      </c>
      <c r="L101" s="8" t="str">
        <f t="shared" si="10"/>
        <v>Sarah Burns</v>
      </c>
      <c r="M101" s="8" t="str">
        <f t="shared" si="11"/>
        <v>VF35</v>
      </c>
      <c r="N101" s="8" t="str">
        <f t="shared" si="12"/>
        <v>East London Runners</v>
      </c>
      <c r="O101" s="8" t="str">
        <f t="shared" si="13"/>
        <v>F</v>
      </c>
      <c r="P101" s="9">
        <f t="shared" si="14"/>
        <v>0</v>
      </c>
    </row>
    <row r="102" spans="1:19" ht="16.5" thickBot="1" x14ac:dyDescent="0.3">
      <c r="A102" s="175">
        <v>101</v>
      </c>
      <c r="B102" s="170" t="s">
        <v>2040</v>
      </c>
      <c r="C102" s="1" t="str">
        <f t="shared" si="8"/>
        <v>VM40</v>
      </c>
      <c r="D102" s="188" t="s">
        <v>505</v>
      </c>
      <c r="E102" s="180" t="s">
        <v>24</v>
      </c>
      <c r="F102" s="186">
        <v>45</v>
      </c>
      <c r="G102" s="180"/>
      <c r="H102" s="181">
        <v>26725</v>
      </c>
      <c r="I102" s="4"/>
      <c r="J102" s="4"/>
      <c r="K102" s="7" t="str">
        <f t="shared" si="15"/>
        <v/>
      </c>
      <c r="L102" s="8" t="str">
        <f t="shared" si="10"/>
        <v>Peter Goodwin</v>
      </c>
      <c r="M102" s="8" t="str">
        <f t="shared" si="11"/>
        <v>VM40</v>
      </c>
      <c r="N102" s="8" t="str">
        <f t="shared" si="12"/>
        <v>Unattached</v>
      </c>
      <c r="O102" s="8" t="str">
        <f t="shared" si="13"/>
        <v>M</v>
      </c>
      <c r="P102" s="9">
        <f t="shared" si="14"/>
        <v>0</v>
      </c>
    </row>
    <row r="103" spans="1:19" ht="16.5" thickBot="1" x14ac:dyDescent="0.3">
      <c r="A103" s="175">
        <v>102</v>
      </c>
      <c r="B103" s="170" t="s">
        <v>370</v>
      </c>
      <c r="C103" s="1" t="str">
        <f t="shared" si="8"/>
        <v>SM</v>
      </c>
      <c r="D103" s="188" t="s">
        <v>63</v>
      </c>
      <c r="E103" s="180" t="s">
        <v>24</v>
      </c>
      <c r="F103" s="186">
        <v>36</v>
      </c>
      <c r="G103" s="180"/>
      <c r="H103" s="181">
        <v>30001</v>
      </c>
      <c r="I103" s="4"/>
      <c r="J103" s="4"/>
      <c r="K103" s="7" t="str">
        <f t="shared" si="15"/>
        <v/>
      </c>
      <c r="L103" s="8" t="str">
        <f t="shared" si="10"/>
        <v>Rodney Baldwin</v>
      </c>
      <c r="M103" s="8" t="str">
        <f t="shared" si="11"/>
        <v>SM</v>
      </c>
      <c r="N103" s="8" t="str">
        <f t="shared" si="12"/>
        <v>East End Road Runners</v>
      </c>
      <c r="O103" s="8" t="str">
        <f t="shared" si="13"/>
        <v>M</v>
      </c>
      <c r="P103" s="9">
        <f t="shared" si="14"/>
        <v>0</v>
      </c>
    </row>
    <row r="104" spans="1:19" ht="16.5" thickBot="1" x14ac:dyDescent="0.3">
      <c r="A104" s="175">
        <v>103</v>
      </c>
      <c r="B104" s="170" t="s">
        <v>2137</v>
      </c>
      <c r="C104" s="1" t="str">
        <f t="shared" si="8"/>
        <v>VM40</v>
      </c>
      <c r="D104" s="188" t="s">
        <v>12</v>
      </c>
      <c r="E104" s="180" t="s">
        <v>24</v>
      </c>
      <c r="F104" s="186">
        <v>41</v>
      </c>
      <c r="G104" s="180"/>
      <c r="H104" s="181">
        <v>28054</v>
      </c>
      <c r="I104" s="4"/>
      <c r="J104" s="4"/>
      <c r="K104" s="7" t="str">
        <f t="shared" si="15"/>
        <v/>
      </c>
      <c r="L104" s="8" t="str">
        <f t="shared" si="10"/>
        <v>Amit Marks</v>
      </c>
      <c r="M104" s="8" t="str">
        <f t="shared" si="11"/>
        <v>VM40</v>
      </c>
      <c r="N104" s="8" t="str">
        <f t="shared" si="12"/>
        <v>East London Runners</v>
      </c>
      <c r="O104" s="8" t="str">
        <f t="shared" si="13"/>
        <v>M</v>
      </c>
      <c r="P104" s="9">
        <f t="shared" si="14"/>
        <v>0</v>
      </c>
    </row>
    <row r="105" spans="1:19" ht="16.5" thickBot="1" x14ac:dyDescent="0.3">
      <c r="A105" s="175">
        <v>104</v>
      </c>
      <c r="B105" s="170" t="s">
        <v>2341</v>
      </c>
      <c r="C105" s="1" t="str">
        <f t="shared" si="8"/>
        <v>SM</v>
      </c>
      <c r="D105" s="188" t="s">
        <v>14</v>
      </c>
      <c r="E105" s="180" t="s">
        <v>24</v>
      </c>
      <c r="F105" s="186">
        <v>37</v>
      </c>
      <c r="G105" s="180"/>
      <c r="H105" s="181">
        <v>29475</v>
      </c>
      <c r="I105" s="4"/>
      <c r="J105" s="4"/>
      <c r="K105" s="7" t="str">
        <f t="shared" si="15"/>
        <v/>
      </c>
      <c r="L105" s="8" t="str">
        <f t="shared" si="10"/>
        <v>Daniel Carroll</v>
      </c>
      <c r="M105" s="8" t="str">
        <f t="shared" si="11"/>
        <v>SM</v>
      </c>
      <c r="N105" s="8" t="str">
        <f t="shared" si="12"/>
        <v>Orion Harriers</v>
      </c>
      <c r="O105" s="8" t="str">
        <f t="shared" si="13"/>
        <v>M</v>
      </c>
      <c r="P105" s="9">
        <f t="shared" si="14"/>
        <v>0</v>
      </c>
    </row>
    <row r="106" spans="1:19" ht="16.5" thickBot="1" x14ac:dyDescent="0.3">
      <c r="A106" s="175">
        <v>105</v>
      </c>
      <c r="B106" s="170" t="s">
        <v>1452</v>
      </c>
      <c r="C106" s="1" t="str">
        <f t="shared" si="8"/>
        <v>VF45</v>
      </c>
      <c r="D106" s="188" t="s">
        <v>14</v>
      </c>
      <c r="E106" s="180" t="s">
        <v>23</v>
      </c>
      <c r="F106" s="186">
        <v>45</v>
      </c>
      <c r="G106" s="180"/>
      <c r="H106" s="181">
        <v>26894</v>
      </c>
      <c r="I106" s="4"/>
      <c r="J106" s="4"/>
      <c r="K106" s="7"/>
      <c r="L106" s="8" t="str">
        <f t="shared" si="10"/>
        <v>Vanessa Clyne</v>
      </c>
      <c r="M106" s="8" t="str">
        <f t="shared" si="11"/>
        <v>VF45</v>
      </c>
      <c r="N106" s="8" t="str">
        <f t="shared" si="12"/>
        <v>Orion Harriers</v>
      </c>
      <c r="O106" s="8" t="str">
        <f t="shared" si="13"/>
        <v>F</v>
      </c>
      <c r="P106" s="9">
        <f t="shared" si="14"/>
        <v>0</v>
      </c>
    </row>
    <row r="107" spans="1:19" ht="16.5" thickBot="1" x14ac:dyDescent="0.3">
      <c r="A107" s="175">
        <v>106</v>
      </c>
      <c r="B107" s="170" t="s">
        <v>547</v>
      </c>
      <c r="C107" s="1" t="str">
        <f t="shared" si="8"/>
        <v>VM70</v>
      </c>
      <c r="D107" s="188" t="s">
        <v>654</v>
      </c>
      <c r="E107" s="180" t="s">
        <v>24</v>
      </c>
      <c r="F107" s="186">
        <v>70</v>
      </c>
      <c r="G107" s="180"/>
      <c r="H107" s="181">
        <v>17475</v>
      </c>
      <c r="I107" s="4"/>
      <c r="J107" s="4"/>
      <c r="K107" s="7" t="str">
        <f t="shared" ref="K107:K125" si="16">IF(ISERROR(CONCATENATE(LEFT(L107,3),MID(L107,(FIND(",",L107)+2),3))),"",CONCATENATE(LEFT(L107,3),MID(L107,(FIND(",",L107)+2),3)))</f>
        <v/>
      </c>
      <c r="L107" s="8" t="str">
        <f t="shared" si="10"/>
        <v>Roger Green</v>
      </c>
      <c r="M107" s="8" t="str">
        <f t="shared" si="11"/>
        <v>VM70</v>
      </c>
      <c r="N107" s="8" t="str">
        <f t="shared" si="12"/>
        <v>Woodford Green</v>
      </c>
      <c r="O107" s="8" t="str">
        <f t="shared" si="13"/>
        <v>M</v>
      </c>
      <c r="P107" s="9">
        <f t="shared" si="14"/>
        <v>0</v>
      </c>
    </row>
    <row r="108" spans="1:19" ht="16.5" thickBot="1" x14ac:dyDescent="0.3">
      <c r="A108" s="175">
        <v>107</v>
      </c>
      <c r="B108" s="170" t="s">
        <v>248</v>
      </c>
      <c r="C108" s="1" t="str">
        <f t="shared" si="8"/>
        <v>VM40</v>
      </c>
      <c r="D108" s="188" t="s">
        <v>63</v>
      </c>
      <c r="E108" s="180" t="s">
        <v>24</v>
      </c>
      <c r="F108" s="186">
        <v>40</v>
      </c>
      <c r="G108" s="180"/>
      <c r="H108" s="181">
        <v>28637</v>
      </c>
      <c r="I108" s="4"/>
      <c r="J108" s="4"/>
      <c r="K108" s="7" t="str">
        <f t="shared" si="16"/>
        <v/>
      </c>
      <c r="L108" s="8" t="str">
        <f t="shared" si="10"/>
        <v>Patrick Seaman</v>
      </c>
      <c r="M108" s="8" t="str">
        <f t="shared" si="11"/>
        <v>VM40</v>
      </c>
      <c r="N108" s="8" t="str">
        <f t="shared" si="12"/>
        <v>East End Road Runners</v>
      </c>
      <c r="O108" s="8" t="str">
        <f t="shared" si="13"/>
        <v>M</v>
      </c>
      <c r="P108" s="9">
        <f t="shared" si="14"/>
        <v>0</v>
      </c>
    </row>
    <row r="109" spans="1:19" ht="16.5" thickBot="1" x14ac:dyDescent="0.3">
      <c r="A109" s="175">
        <v>108</v>
      </c>
      <c r="B109" s="170" t="s">
        <v>2931</v>
      </c>
      <c r="C109" s="1" t="str">
        <f t="shared" si="8"/>
        <v>SM</v>
      </c>
      <c r="D109" s="188" t="s">
        <v>649</v>
      </c>
      <c r="E109" s="180" t="s">
        <v>24</v>
      </c>
      <c r="F109" s="186">
        <v>32</v>
      </c>
      <c r="G109" s="180"/>
      <c r="H109" s="181">
        <v>31437</v>
      </c>
      <c r="I109" s="4"/>
      <c r="J109" s="4"/>
      <c r="K109" s="7" t="str">
        <f t="shared" si="16"/>
        <v/>
      </c>
      <c r="L109" s="8" t="str">
        <f t="shared" si="10"/>
        <v>Neil Kirkham</v>
      </c>
      <c r="M109" s="8" t="str">
        <f t="shared" si="11"/>
        <v>SM</v>
      </c>
      <c r="N109" s="8" t="str">
        <f t="shared" si="12"/>
        <v>Victoria Park Harriers</v>
      </c>
      <c r="O109" s="8" t="str">
        <f t="shared" si="13"/>
        <v>M</v>
      </c>
      <c r="P109" s="9">
        <f t="shared" si="14"/>
        <v>0</v>
      </c>
    </row>
    <row r="110" spans="1:19" ht="16.5" thickBot="1" x14ac:dyDescent="0.3">
      <c r="A110" s="175">
        <v>109</v>
      </c>
      <c r="B110" s="170" t="s">
        <v>462</v>
      </c>
      <c r="C110" s="1" t="str">
        <f t="shared" si="8"/>
        <v>VM60</v>
      </c>
      <c r="D110" s="188" t="s">
        <v>505</v>
      </c>
      <c r="E110" s="180" t="s">
        <v>24</v>
      </c>
      <c r="F110" s="186">
        <v>62</v>
      </c>
      <c r="G110" s="180"/>
      <c r="H110" s="181">
        <v>20392</v>
      </c>
      <c r="I110" s="4"/>
      <c r="J110" s="4"/>
      <c r="K110" s="7" t="str">
        <f t="shared" si="16"/>
        <v/>
      </c>
      <c r="L110" s="8" t="str">
        <f t="shared" si="10"/>
        <v>Alan Woodroof</v>
      </c>
      <c r="M110" s="8" t="str">
        <f t="shared" si="11"/>
        <v>VM60</v>
      </c>
      <c r="N110" s="8" t="str">
        <f t="shared" si="12"/>
        <v>Unattached</v>
      </c>
      <c r="O110" s="8" t="str">
        <f t="shared" si="13"/>
        <v>M</v>
      </c>
      <c r="P110" s="9">
        <f t="shared" si="14"/>
        <v>0</v>
      </c>
    </row>
    <row r="111" spans="1:19" ht="16.5" thickBot="1" x14ac:dyDescent="0.3">
      <c r="A111" s="175">
        <v>110</v>
      </c>
      <c r="B111" s="170" t="s">
        <v>2932</v>
      </c>
      <c r="C111" s="1" t="str">
        <f t="shared" si="8"/>
        <v>VF35</v>
      </c>
      <c r="D111" s="188" t="s">
        <v>1805</v>
      </c>
      <c r="E111" s="180" t="s">
        <v>23</v>
      </c>
      <c r="F111" s="186">
        <v>37</v>
      </c>
      <c r="G111" s="180"/>
      <c r="H111" s="181">
        <v>29478</v>
      </c>
      <c r="I111" s="4"/>
      <c r="J111" s="4"/>
      <c r="K111" s="7" t="str">
        <f t="shared" si="16"/>
        <v/>
      </c>
      <c r="L111" s="8" t="str">
        <f t="shared" si="10"/>
        <v>Taruna Sharma</v>
      </c>
      <c r="M111" s="8" t="str">
        <f t="shared" si="11"/>
        <v>VF35</v>
      </c>
      <c r="N111" s="8" t="str">
        <f t="shared" si="12"/>
        <v>Harold Wood Running Club</v>
      </c>
      <c r="O111" s="8" t="str">
        <f t="shared" si="13"/>
        <v>F</v>
      </c>
      <c r="P111" s="9">
        <f t="shared" si="14"/>
        <v>0</v>
      </c>
    </row>
    <row r="112" spans="1:19" ht="16.5" thickBot="1" x14ac:dyDescent="0.3">
      <c r="A112" s="175">
        <v>111</v>
      </c>
      <c r="B112" s="170" t="s">
        <v>1553</v>
      </c>
      <c r="C112" s="1" t="str">
        <f t="shared" si="8"/>
        <v>VM40</v>
      </c>
      <c r="D112" s="188" t="s">
        <v>14</v>
      </c>
      <c r="E112" s="180" t="s">
        <v>24</v>
      </c>
      <c r="F112" s="186">
        <v>47</v>
      </c>
      <c r="G112" s="180"/>
      <c r="H112" s="181">
        <v>25829</v>
      </c>
      <c r="I112" s="4"/>
      <c r="J112" s="4"/>
      <c r="K112" s="7" t="str">
        <f t="shared" si="16"/>
        <v/>
      </c>
      <c r="L112" s="8" t="str">
        <f t="shared" si="10"/>
        <v>Stephen Bennett</v>
      </c>
      <c r="M112" s="8" t="str">
        <f t="shared" si="11"/>
        <v>VM40</v>
      </c>
      <c r="N112" s="8" t="str">
        <f t="shared" si="12"/>
        <v>Orion Harriers</v>
      </c>
      <c r="O112" s="8" t="str">
        <f t="shared" si="13"/>
        <v>M</v>
      </c>
      <c r="P112" s="9">
        <f t="shared" si="14"/>
        <v>0</v>
      </c>
    </row>
    <row r="113" spans="1:19" ht="16.5" thickBot="1" x14ac:dyDescent="0.3">
      <c r="A113" s="175">
        <v>112</v>
      </c>
      <c r="B113" s="170" t="s">
        <v>1777</v>
      </c>
      <c r="C113" s="1" t="str">
        <f t="shared" si="8"/>
        <v>SF</v>
      </c>
      <c r="D113" s="188" t="s">
        <v>12</v>
      </c>
      <c r="E113" s="180" t="s">
        <v>23</v>
      </c>
      <c r="F113" s="186">
        <v>33</v>
      </c>
      <c r="G113" s="180"/>
      <c r="H113" s="181">
        <v>31172</v>
      </c>
      <c r="I113" s="4"/>
      <c r="J113" s="4"/>
      <c r="K113" s="7" t="str">
        <f t="shared" si="16"/>
        <v/>
      </c>
      <c r="L113" s="8" t="str">
        <f t="shared" si="10"/>
        <v>Kathryn Hertzberg</v>
      </c>
      <c r="M113" s="8" t="str">
        <f t="shared" si="11"/>
        <v>SF</v>
      </c>
      <c r="N113" s="8" t="str">
        <f t="shared" si="12"/>
        <v>East London Runners</v>
      </c>
      <c r="O113" s="8" t="str">
        <f t="shared" si="13"/>
        <v>F</v>
      </c>
      <c r="P113" s="9">
        <f t="shared" si="14"/>
        <v>0</v>
      </c>
      <c r="Q113"/>
      <c r="R113"/>
      <c r="S113"/>
    </row>
    <row r="114" spans="1:19" ht="16.5" thickBot="1" x14ac:dyDescent="0.3">
      <c r="A114" s="175">
        <v>113</v>
      </c>
      <c r="B114" s="170" t="s">
        <v>1164</v>
      </c>
      <c r="C114" s="1" t="str">
        <f t="shared" si="8"/>
        <v>VM60</v>
      </c>
      <c r="D114" s="188" t="s">
        <v>2480</v>
      </c>
      <c r="E114" s="180" t="s">
        <v>24</v>
      </c>
      <c r="F114" s="186">
        <v>61</v>
      </c>
      <c r="G114" s="180"/>
      <c r="H114" s="181">
        <v>20840</v>
      </c>
      <c r="I114" s="4"/>
      <c r="J114" s="4"/>
      <c r="K114" s="7" t="str">
        <f t="shared" si="16"/>
        <v/>
      </c>
      <c r="L114" s="8" t="str">
        <f t="shared" si="10"/>
        <v>David Godfrey</v>
      </c>
      <c r="M114" s="8" t="str">
        <f t="shared" si="11"/>
        <v>VM60</v>
      </c>
      <c r="N114" s="8" t="str">
        <f t="shared" si="12"/>
        <v>drax allstars</v>
      </c>
      <c r="O114" s="8" t="str">
        <f t="shared" si="13"/>
        <v>M</v>
      </c>
      <c r="P114" s="9">
        <f t="shared" si="14"/>
        <v>0</v>
      </c>
      <c r="Q114"/>
      <c r="R114"/>
      <c r="S114"/>
    </row>
    <row r="115" spans="1:19" ht="16.5" thickBot="1" x14ac:dyDescent="0.3">
      <c r="A115" s="175">
        <v>114</v>
      </c>
      <c r="B115" s="170" t="s">
        <v>270</v>
      </c>
      <c r="C115" s="1" t="str">
        <f t="shared" si="8"/>
        <v>VM50</v>
      </c>
      <c r="D115" s="188" t="s">
        <v>43</v>
      </c>
      <c r="E115" s="180" t="s">
        <v>24</v>
      </c>
      <c r="F115" s="186">
        <v>52</v>
      </c>
      <c r="G115" s="180"/>
      <c r="H115" s="181">
        <v>23992</v>
      </c>
      <c r="I115" s="4"/>
      <c r="J115" s="4"/>
      <c r="K115" s="7" t="str">
        <f t="shared" si="16"/>
        <v/>
      </c>
      <c r="L115" s="8" t="str">
        <f t="shared" si="10"/>
        <v>Colin Jones</v>
      </c>
      <c r="M115" s="8" t="str">
        <f t="shared" si="11"/>
        <v>VM50</v>
      </c>
      <c r="N115" s="8" t="str">
        <f t="shared" si="12"/>
        <v>Barking Road Runners</v>
      </c>
      <c r="O115" s="8" t="str">
        <f t="shared" si="13"/>
        <v>M</v>
      </c>
      <c r="P115" s="9">
        <f t="shared" si="14"/>
        <v>0</v>
      </c>
      <c r="Q115"/>
      <c r="R115"/>
      <c r="S115"/>
    </row>
    <row r="116" spans="1:19" ht="16.5" thickBot="1" x14ac:dyDescent="0.3">
      <c r="A116" s="175">
        <v>115</v>
      </c>
      <c r="B116" s="170" t="s">
        <v>767</v>
      </c>
      <c r="C116" s="1" t="str">
        <f t="shared" si="8"/>
        <v>SM</v>
      </c>
      <c r="D116" s="188" t="s">
        <v>43</v>
      </c>
      <c r="E116" s="180" t="s">
        <v>24</v>
      </c>
      <c r="F116" s="186">
        <v>39</v>
      </c>
      <c r="G116" s="180"/>
      <c r="H116" s="181">
        <v>28757</v>
      </c>
      <c r="I116" s="4"/>
      <c r="J116" s="4"/>
      <c r="K116" s="7" t="str">
        <f t="shared" si="16"/>
        <v/>
      </c>
      <c r="L116" s="8" t="str">
        <f t="shared" si="10"/>
        <v>James Lowndes</v>
      </c>
      <c r="M116" s="8" t="str">
        <f t="shared" si="11"/>
        <v>SM</v>
      </c>
      <c r="N116" s="8" t="str">
        <f t="shared" si="12"/>
        <v>Barking Road Runners</v>
      </c>
      <c r="O116" s="8" t="str">
        <f t="shared" si="13"/>
        <v>M</v>
      </c>
      <c r="P116" s="9">
        <f t="shared" si="14"/>
        <v>0</v>
      </c>
      <c r="Q116"/>
      <c r="R116"/>
      <c r="S116"/>
    </row>
    <row r="117" spans="1:19" ht="16.5" thickBot="1" x14ac:dyDescent="0.3">
      <c r="A117" s="175">
        <v>116</v>
      </c>
      <c r="B117" s="170" t="s">
        <v>1836</v>
      </c>
      <c r="C117" s="1" t="str">
        <f t="shared" si="8"/>
        <v>VF35</v>
      </c>
      <c r="D117" s="188" t="s">
        <v>43</v>
      </c>
      <c r="E117" s="180" t="s">
        <v>23</v>
      </c>
      <c r="F117" s="186">
        <v>40</v>
      </c>
      <c r="G117" s="180"/>
      <c r="H117" s="181">
        <v>28627</v>
      </c>
      <c r="I117" s="4"/>
      <c r="J117" s="4"/>
      <c r="K117" s="7" t="str">
        <f t="shared" si="16"/>
        <v/>
      </c>
      <c r="L117" s="8" t="str">
        <f t="shared" si="10"/>
        <v>Sally Bridge</v>
      </c>
      <c r="M117" s="8" t="str">
        <f t="shared" si="11"/>
        <v>VF35</v>
      </c>
      <c r="N117" s="8" t="str">
        <f t="shared" si="12"/>
        <v>Barking Road Runners</v>
      </c>
      <c r="O117" s="8" t="str">
        <f t="shared" si="13"/>
        <v>F</v>
      </c>
      <c r="P117" s="9">
        <f t="shared" si="14"/>
        <v>0</v>
      </c>
      <c r="Q117"/>
      <c r="R117"/>
      <c r="S117"/>
    </row>
    <row r="118" spans="1:19" ht="16.5" thickBot="1" x14ac:dyDescent="0.3">
      <c r="A118" s="175">
        <v>117</v>
      </c>
      <c r="B118" s="170" t="s">
        <v>368</v>
      </c>
      <c r="C118" s="1" t="str">
        <f t="shared" si="8"/>
        <v>VM40</v>
      </c>
      <c r="D118" s="188" t="s">
        <v>108</v>
      </c>
      <c r="E118" s="180" t="s">
        <v>24</v>
      </c>
      <c r="F118" s="186">
        <v>45</v>
      </c>
      <c r="G118" s="180"/>
      <c r="H118" s="181">
        <v>26763</v>
      </c>
      <c r="I118" s="4"/>
      <c r="J118" s="4"/>
      <c r="K118" s="7" t="str">
        <f t="shared" si="16"/>
        <v/>
      </c>
      <c r="L118" s="8" t="str">
        <f t="shared" si="10"/>
        <v>Bradley Brown</v>
      </c>
      <c r="M118" s="8" t="str">
        <f t="shared" si="11"/>
        <v>VM40</v>
      </c>
      <c r="N118" s="8" t="str">
        <f t="shared" si="12"/>
        <v>Ilford AC</v>
      </c>
      <c r="O118" s="8" t="str">
        <f t="shared" si="13"/>
        <v>M</v>
      </c>
      <c r="P118" s="9">
        <f t="shared" si="14"/>
        <v>0</v>
      </c>
      <c r="Q118"/>
      <c r="R118"/>
      <c r="S118"/>
    </row>
    <row r="119" spans="1:19" ht="16.5" thickBot="1" x14ac:dyDescent="0.3">
      <c r="A119" s="175">
        <v>118</v>
      </c>
      <c r="B119" s="170" t="s">
        <v>2933</v>
      </c>
      <c r="C119" s="1" t="str">
        <f t="shared" si="8"/>
        <v>VM60</v>
      </c>
      <c r="D119" s="188" t="s">
        <v>10</v>
      </c>
      <c r="E119" s="180" t="s">
        <v>24</v>
      </c>
      <c r="F119" s="186">
        <v>60</v>
      </c>
      <c r="G119" s="180"/>
      <c r="H119" s="181">
        <v>21375</v>
      </c>
      <c r="I119" s="4"/>
      <c r="J119" s="4"/>
      <c r="K119" s="7" t="str">
        <f t="shared" si="16"/>
        <v/>
      </c>
      <c r="L119" s="8" t="str">
        <f t="shared" si="10"/>
        <v>Adrain frost</v>
      </c>
      <c r="M119" s="8" t="str">
        <f t="shared" si="11"/>
        <v>VM60</v>
      </c>
      <c r="N119" s="8" t="str">
        <f t="shared" si="12"/>
        <v>U/A</v>
      </c>
      <c r="O119" s="8" t="str">
        <f t="shared" si="13"/>
        <v>M</v>
      </c>
      <c r="P119" s="9">
        <f t="shared" si="14"/>
        <v>0</v>
      </c>
      <c r="Q119"/>
      <c r="R119"/>
      <c r="S119"/>
    </row>
    <row r="120" spans="1:19" ht="16.5" thickBot="1" x14ac:dyDescent="0.3">
      <c r="A120" s="175">
        <v>119</v>
      </c>
      <c r="B120" s="170" t="s">
        <v>2079</v>
      </c>
      <c r="C120" s="1" t="str">
        <f t="shared" si="8"/>
        <v>SM</v>
      </c>
      <c r="D120" s="188" t="s">
        <v>108</v>
      </c>
      <c r="E120" s="180" t="s">
        <v>24</v>
      </c>
      <c r="F120" s="186">
        <v>15</v>
      </c>
      <c r="G120" s="180"/>
      <c r="H120" s="181">
        <v>37778</v>
      </c>
      <c r="I120" s="4"/>
      <c r="J120" s="4"/>
      <c r="K120" s="7" t="str">
        <f t="shared" si="16"/>
        <v/>
      </c>
      <c r="L120" s="8" t="str">
        <f t="shared" si="10"/>
        <v>Aaron Samuel</v>
      </c>
      <c r="M120" s="8" t="str">
        <f t="shared" si="11"/>
        <v>SM</v>
      </c>
      <c r="N120" s="8" t="str">
        <f t="shared" si="12"/>
        <v>Ilford AC</v>
      </c>
      <c r="O120" s="8" t="str">
        <f t="shared" si="13"/>
        <v>M</v>
      </c>
      <c r="P120" s="9">
        <f t="shared" si="14"/>
        <v>0</v>
      </c>
      <c r="Q120"/>
      <c r="R120"/>
      <c r="S120"/>
    </row>
    <row r="121" spans="1:19" ht="16.5" thickBot="1" x14ac:dyDescent="0.3">
      <c r="A121" s="175">
        <v>120</v>
      </c>
      <c r="B121" s="170" t="s">
        <v>638</v>
      </c>
      <c r="C121" s="1" t="str">
        <f t="shared" si="8"/>
        <v>VF55</v>
      </c>
      <c r="D121" s="188" t="s">
        <v>155</v>
      </c>
      <c r="E121" s="180" t="s">
        <v>23</v>
      </c>
      <c r="F121" s="186">
        <v>58</v>
      </c>
      <c r="G121" s="180"/>
      <c r="H121" s="181">
        <v>22140</v>
      </c>
      <c r="I121" s="4"/>
      <c r="J121" s="4"/>
      <c r="K121" s="7" t="str">
        <f t="shared" si="16"/>
        <v/>
      </c>
      <c r="L121" s="8" t="str">
        <f t="shared" si="10"/>
        <v>Julie Cardnell</v>
      </c>
      <c r="M121" s="8" t="str">
        <f t="shared" si="11"/>
        <v>VF55</v>
      </c>
      <c r="N121" s="8" t="str">
        <f t="shared" si="12"/>
        <v>Dagenham 88 Runners</v>
      </c>
      <c r="O121" s="8" t="str">
        <f t="shared" si="13"/>
        <v>F</v>
      </c>
      <c r="P121" s="9">
        <f t="shared" si="14"/>
        <v>0</v>
      </c>
      <c r="Q121"/>
      <c r="R121"/>
      <c r="S121"/>
    </row>
    <row r="122" spans="1:19" ht="16.5" thickBot="1" x14ac:dyDescent="0.3">
      <c r="A122" s="175">
        <v>121</v>
      </c>
      <c r="B122" s="170" t="s">
        <v>2934</v>
      </c>
      <c r="C122" s="1" t="str">
        <f t="shared" si="8"/>
        <v>SF</v>
      </c>
      <c r="D122" s="188" t="s">
        <v>65</v>
      </c>
      <c r="E122" s="180" t="s">
        <v>23</v>
      </c>
      <c r="F122" s="186">
        <v>22</v>
      </c>
      <c r="G122" s="180"/>
      <c r="H122" s="181">
        <v>35045</v>
      </c>
      <c r="I122" s="4"/>
      <c r="J122" s="4"/>
      <c r="K122" s="7" t="str">
        <f t="shared" si="16"/>
        <v/>
      </c>
      <c r="L122" s="8" t="str">
        <f t="shared" si="10"/>
        <v xml:space="preserve">Emily Bullis	</v>
      </c>
      <c r="M122" s="8" t="str">
        <f t="shared" si="11"/>
        <v>SF</v>
      </c>
      <c r="N122" s="8" t="str">
        <f t="shared" si="12"/>
        <v>Basildon AC</v>
      </c>
      <c r="O122" s="8" t="str">
        <f t="shared" si="13"/>
        <v>F</v>
      </c>
      <c r="P122" s="9">
        <f t="shared" si="14"/>
        <v>0</v>
      </c>
      <c r="Q122"/>
      <c r="R122"/>
      <c r="S122"/>
    </row>
    <row r="123" spans="1:19" ht="16.5" thickBot="1" x14ac:dyDescent="0.3">
      <c r="A123" s="175">
        <v>122</v>
      </c>
      <c r="B123" s="170" t="s">
        <v>2935</v>
      </c>
      <c r="C123" s="1" t="str">
        <f t="shared" si="8"/>
        <v>SF</v>
      </c>
      <c r="D123" s="188" t="s">
        <v>65</v>
      </c>
      <c r="E123" s="180" t="s">
        <v>23</v>
      </c>
      <c r="F123" s="186">
        <v>26</v>
      </c>
      <c r="G123" s="180"/>
      <c r="H123" s="181">
        <v>33640</v>
      </c>
      <c r="I123" s="4"/>
      <c r="J123" s="4"/>
      <c r="K123" s="7" t="str">
        <f t="shared" si="16"/>
        <v/>
      </c>
      <c r="L123" s="8" t="str">
        <f t="shared" si="10"/>
        <v>Gemma Kersey</v>
      </c>
      <c r="M123" s="8" t="str">
        <f t="shared" si="11"/>
        <v>SF</v>
      </c>
      <c r="N123" s="8" t="str">
        <f t="shared" si="12"/>
        <v>Basildon AC</v>
      </c>
      <c r="O123" s="8" t="str">
        <f t="shared" si="13"/>
        <v>F</v>
      </c>
      <c r="P123" s="9">
        <f t="shared" si="14"/>
        <v>0</v>
      </c>
      <c r="Q123"/>
      <c r="R123"/>
      <c r="S123"/>
    </row>
    <row r="124" spans="1:19" ht="16.5" thickBot="1" x14ac:dyDescent="0.3">
      <c r="A124" s="175">
        <v>123</v>
      </c>
      <c r="B124" s="170" t="s">
        <v>772</v>
      </c>
      <c r="C124" s="1" t="str">
        <f t="shared" si="8"/>
        <v>SM</v>
      </c>
      <c r="D124" s="188" t="s">
        <v>38</v>
      </c>
      <c r="E124" s="180" t="s">
        <v>24</v>
      </c>
      <c r="F124" s="186">
        <v>26</v>
      </c>
      <c r="G124" s="180"/>
      <c r="H124" s="181">
        <v>33575</v>
      </c>
      <c r="I124" s="4"/>
      <c r="J124" s="4"/>
      <c r="K124" s="7" t="str">
        <f t="shared" si="16"/>
        <v/>
      </c>
      <c r="L124" s="8" t="str">
        <f t="shared" si="10"/>
        <v>Neill Collins</v>
      </c>
      <c r="M124" s="8" t="str">
        <f t="shared" si="11"/>
        <v>SM</v>
      </c>
      <c r="N124" s="8" t="str">
        <f t="shared" si="12"/>
        <v>Havering 90 Joggers</v>
      </c>
      <c r="O124" s="8" t="str">
        <f t="shared" si="13"/>
        <v>M</v>
      </c>
      <c r="P124" s="9">
        <f t="shared" si="14"/>
        <v>0</v>
      </c>
      <c r="Q124"/>
      <c r="R124"/>
      <c r="S124"/>
    </row>
    <row r="125" spans="1:19" ht="16.5" thickBot="1" x14ac:dyDescent="0.3">
      <c r="A125" s="175">
        <v>124</v>
      </c>
      <c r="B125" s="170" t="s">
        <v>812</v>
      </c>
      <c r="C125" s="1" t="str">
        <f t="shared" si="8"/>
        <v>VM60</v>
      </c>
      <c r="D125" s="188" t="s">
        <v>505</v>
      </c>
      <c r="E125" s="180" t="s">
        <v>24</v>
      </c>
      <c r="F125" s="186">
        <v>69</v>
      </c>
      <c r="G125" s="180"/>
      <c r="H125" s="181">
        <v>17960</v>
      </c>
      <c r="I125" s="4"/>
      <c r="J125" s="4"/>
      <c r="K125" s="7" t="str">
        <f t="shared" si="16"/>
        <v/>
      </c>
      <c r="L125" s="8" t="str">
        <f t="shared" si="10"/>
        <v>Irving Bell</v>
      </c>
      <c r="M125" s="8" t="str">
        <f t="shared" si="11"/>
        <v>VM60</v>
      </c>
      <c r="N125" s="8" t="str">
        <f t="shared" si="12"/>
        <v>Unattached</v>
      </c>
      <c r="O125" s="8" t="str">
        <f t="shared" si="13"/>
        <v>M</v>
      </c>
      <c r="P125" s="9">
        <f t="shared" si="14"/>
        <v>0</v>
      </c>
      <c r="Q125"/>
      <c r="R125"/>
      <c r="S125"/>
    </row>
    <row r="126" spans="1:19" ht="16.5" thickBot="1" x14ac:dyDescent="0.3">
      <c r="A126" s="175">
        <v>125</v>
      </c>
      <c r="B126" s="170" t="s">
        <v>2936</v>
      </c>
      <c r="C126" s="1" t="str">
        <f t="shared" si="8"/>
        <v>VF65</v>
      </c>
      <c r="D126" s="188" t="s">
        <v>155</v>
      </c>
      <c r="E126" s="180" t="s">
        <v>23</v>
      </c>
      <c r="F126" s="186">
        <v>66</v>
      </c>
      <c r="G126" s="180"/>
      <c r="H126" s="181">
        <v>19218</v>
      </c>
      <c r="I126" s="4"/>
      <c r="J126" s="4"/>
      <c r="K126" s="184"/>
      <c r="L126" s="8" t="str">
        <f t="shared" si="10"/>
        <v>Veronica Waller</v>
      </c>
      <c r="M126" s="8" t="str">
        <f t="shared" si="11"/>
        <v>VF65</v>
      </c>
      <c r="N126" s="8" t="str">
        <f t="shared" si="12"/>
        <v>Dagenham 88 Runners</v>
      </c>
      <c r="O126" s="8" t="str">
        <f t="shared" si="13"/>
        <v>F</v>
      </c>
      <c r="P126" s="9">
        <f t="shared" si="14"/>
        <v>0</v>
      </c>
      <c r="Q126"/>
      <c r="R126"/>
      <c r="S126"/>
    </row>
    <row r="127" spans="1:19" ht="16.5" thickBot="1" x14ac:dyDescent="0.3">
      <c r="A127" s="175">
        <v>126</v>
      </c>
      <c r="B127" s="170" t="s">
        <v>2937</v>
      </c>
      <c r="C127" s="1" t="str">
        <f t="shared" si="8"/>
        <v>VF45</v>
      </c>
      <c r="D127" s="188" t="s">
        <v>10</v>
      </c>
      <c r="E127" s="180" t="s">
        <v>23</v>
      </c>
      <c r="F127" s="186">
        <v>53</v>
      </c>
      <c r="G127" s="180"/>
      <c r="H127" s="181">
        <v>23959</v>
      </c>
      <c r="I127" s="4"/>
      <c r="J127" s="4"/>
      <c r="K127" s="7" t="str">
        <f t="shared" ref="K127:K190" si="17">IF(ISERROR(CONCATENATE(LEFT(L127,3),MID(L127,(FIND(",",L127)+2),3))),"",CONCATENATE(LEFT(L127,3),MID(L127,(FIND(",",L127)+2),3)))</f>
        <v/>
      </c>
      <c r="L127" s="8" t="str">
        <f t="shared" si="10"/>
        <v>Sunander Sarker-Bell</v>
      </c>
      <c r="M127" s="8" t="str">
        <f t="shared" si="11"/>
        <v>VF45</v>
      </c>
      <c r="N127" s="8" t="str">
        <f t="shared" si="12"/>
        <v>U/A</v>
      </c>
      <c r="O127" s="8" t="str">
        <f t="shared" si="13"/>
        <v>F</v>
      </c>
      <c r="P127" s="9">
        <f t="shared" si="14"/>
        <v>0</v>
      </c>
      <c r="Q127"/>
      <c r="R127"/>
      <c r="S127"/>
    </row>
    <row r="128" spans="1:19" ht="16.5" thickBot="1" x14ac:dyDescent="0.3">
      <c r="A128" s="175">
        <v>127</v>
      </c>
      <c r="B128" s="170" t="s">
        <v>2938</v>
      </c>
      <c r="C128" s="1" t="str">
        <f t="shared" si="8"/>
        <v>SF</v>
      </c>
      <c r="D128" s="188" t="s">
        <v>10</v>
      </c>
      <c r="E128" s="180" t="s">
        <v>23</v>
      </c>
      <c r="F128" s="186">
        <v>21</v>
      </c>
      <c r="G128" s="180"/>
      <c r="H128" s="181">
        <v>35426</v>
      </c>
      <c r="I128" s="4"/>
      <c r="J128" s="4"/>
      <c r="K128" s="7" t="str">
        <f t="shared" si="17"/>
        <v/>
      </c>
      <c r="L128" s="8" t="str">
        <f t="shared" si="10"/>
        <v>Jasmine Bell</v>
      </c>
      <c r="M128" s="8" t="str">
        <f t="shared" si="11"/>
        <v>SF</v>
      </c>
      <c r="N128" s="8" t="str">
        <f t="shared" si="12"/>
        <v>U/A</v>
      </c>
      <c r="O128" s="8" t="str">
        <f t="shared" si="13"/>
        <v>F</v>
      </c>
      <c r="P128" s="9">
        <f t="shared" si="14"/>
        <v>0</v>
      </c>
      <c r="Q128"/>
      <c r="R128"/>
      <c r="S128"/>
    </row>
    <row r="129" spans="1:19" ht="16.5" thickBot="1" x14ac:dyDescent="0.3">
      <c r="A129" s="175">
        <v>128</v>
      </c>
      <c r="B129" s="170" t="s">
        <v>2940</v>
      </c>
      <c r="C129" s="1" t="str">
        <f t="shared" si="8"/>
        <v>SM</v>
      </c>
      <c r="D129" s="188" t="s">
        <v>14</v>
      </c>
      <c r="E129" s="180" t="s">
        <v>24</v>
      </c>
      <c r="F129" s="186">
        <v>24</v>
      </c>
      <c r="G129" s="180"/>
      <c r="H129" s="181">
        <v>34281</v>
      </c>
      <c r="I129" s="4"/>
      <c r="J129" s="4"/>
      <c r="K129" s="7" t="str">
        <f t="shared" si="17"/>
        <v/>
      </c>
      <c r="L129" s="8" t="str">
        <f t="shared" si="10"/>
        <v>Buddy Green</v>
      </c>
      <c r="M129" s="8" t="str">
        <f t="shared" si="11"/>
        <v>SM</v>
      </c>
      <c r="N129" s="8" t="str">
        <f t="shared" si="12"/>
        <v>Orion Harriers</v>
      </c>
      <c r="O129" s="8" t="str">
        <f t="shared" si="13"/>
        <v>M</v>
      </c>
      <c r="P129" s="9">
        <f t="shared" si="14"/>
        <v>0</v>
      </c>
      <c r="Q129"/>
      <c r="R129"/>
      <c r="S129"/>
    </row>
    <row r="130" spans="1:19" ht="16.5" thickBot="1" x14ac:dyDescent="0.3">
      <c r="A130" s="175">
        <v>129</v>
      </c>
      <c r="B130" s="170" t="s">
        <v>1526</v>
      </c>
      <c r="C130" s="1" t="str">
        <f t="shared" ref="C130:C193" si="18">IF(AND(E130="M",F130&lt;&gt;""),LOOKUP(F130,$Q$1:$Q$100,$R$1:$R$100),IF(AND(E130="F",F130&lt;&gt;""),LOOKUP(F130,$Q$1:$Q$100,$S$1:$S$100),""))</f>
        <v>SM</v>
      </c>
      <c r="D130" s="188" t="s">
        <v>108</v>
      </c>
      <c r="E130" s="180" t="s">
        <v>24</v>
      </c>
      <c r="F130" s="186">
        <v>24</v>
      </c>
      <c r="G130" s="180"/>
      <c r="H130" s="181">
        <v>34286</v>
      </c>
      <c r="I130" s="4"/>
      <c r="J130" s="4"/>
      <c r="K130" s="7" t="str">
        <f t="shared" si="17"/>
        <v/>
      </c>
      <c r="L130" s="8" t="str">
        <f t="shared" ref="L130:L193" si="19">IF(LEN(B130)&lt;1,"",B130)</f>
        <v>Alex Richards</v>
      </c>
      <c r="M130" s="8" t="str">
        <f t="shared" ref="M130:M193" si="20">IF(LEN(C130)&lt;1,"",C130)</f>
        <v>SM</v>
      </c>
      <c r="N130" s="8" t="str">
        <f t="shared" ref="N130:N193" si="21">D130</f>
        <v>Ilford AC</v>
      </c>
      <c r="O130" s="8" t="str">
        <f t="shared" ref="O130:O193" si="22">E130</f>
        <v>M</v>
      </c>
      <c r="P130" s="9">
        <f t="shared" ref="P130:P193" si="23">G130</f>
        <v>0</v>
      </c>
      <c r="Q130"/>
      <c r="R130"/>
      <c r="S130"/>
    </row>
    <row r="131" spans="1:19" ht="16.5" thickBot="1" x14ac:dyDescent="0.3">
      <c r="A131" s="175">
        <v>130</v>
      </c>
      <c r="B131" s="170" t="s">
        <v>2941</v>
      </c>
      <c r="C131" s="1" t="str">
        <f t="shared" si="18"/>
        <v>VM50</v>
      </c>
      <c r="D131" s="188" t="s">
        <v>10</v>
      </c>
      <c r="E131" s="180" t="s">
        <v>24</v>
      </c>
      <c r="F131" s="186">
        <v>50</v>
      </c>
      <c r="G131" s="180"/>
      <c r="H131" s="181">
        <v>24998</v>
      </c>
      <c r="I131" s="4"/>
      <c r="J131" s="4"/>
      <c r="K131" s="7" t="str">
        <f t="shared" si="17"/>
        <v/>
      </c>
      <c r="L131" s="8" t="str">
        <f t="shared" si="19"/>
        <v>Mark Pearce</v>
      </c>
      <c r="M131" s="8" t="str">
        <f t="shared" si="20"/>
        <v>VM50</v>
      </c>
      <c r="N131" s="8" t="str">
        <f t="shared" si="21"/>
        <v>U/A</v>
      </c>
      <c r="O131" s="8" t="str">
        <f t="shared" si="22"/>
        <v>M</v>
      </c>
      <c r="P131" s="9">
        <f t="shared" si="23"/>
        <v>0</v>
      </c>
      <c r="Q131"/>
      <c r="R131"/>
      <c r="S131"/>
    </row>
    <row r="132" spans="1:19" ht="16.5" thickBot="1" x14ac:dyDescent="0.3">
      <c r="A132" s="175">
        <v>131</v>
      </c>
      <c r="B132" s="170" t="s">
        <v>1130</v>
      </c>
      <c r="C132" s="1" t="str">
        <f t="shared" si="18"/>
        <v>VM40</v>
      </c>
      <c r="D132" s="179" t="s">
        <v>108</v>
      </c>
      <c r="E132" s="180" t="s">
        <v>24</v>
      </c>
      <c r="F132" s="186">
        <v>48</v>
      </c>
      <c r="G132" s="180"/>
      <c r="H132" s="181">
        <v>25573</v>
      </c>
      <c r="I132" s="4"/>
      <c r="J132" s="4"/>
      <c r="K132" s="7" t="str">
        <f t="shared" si="17"/>
        <v/>
      </c>
      <c r="L132" s="8" t="str">
        <f t="shared" si="19"/>
        <v>Amin Koikai</v>
      </c>
      <c r="M132" s="8" t="str">
        <f t="shared" si="20"/>
        <v>VM40</v>
      </c>
      <c r="N132" s="8" t="str">
        <f t="shared" si="21"/>
        <v>Ilford AC</v>
      </c>
      <c r="O132" s="8" t="str">
        <f t="shared" si="22"/>
        <v>M</v>
      </c>
      <c r="P132" s="9">
        <f t="shared" si="23"/>
        <v>0</v>
      </c>
      <c r="Q132"/>
      <c r="R132"/>
      <c r="S132"/>
    </row>
    <row r="133" spans="1:19" ht="16.5" thickBot="1" x14ac:dyDescent="0.3">
      <c r="A133" s="175">
        <v>132</v>
      </c>
      <c r="B133" s="170" t="s">
        <v>1969</v>
      </c>
      <c r="C133" s="1" t="str">
        <f t="shared" si="18"/>
        <v>SM</v>
      </c>
      <c r="D133" s="179" t="s">
        <v>108</v>
      </c>
      <c r="E133" s="180" t="s">
        <v>24</v>
      </c>
      <c r="F133" s="186">
        <v>15</v>
      </c>
      <c r="G133" s="180"/>
      <c r="H133" s="181">
        <v>37855</v>
      </c>
      <c r="I133" s="4"/>
      <c r="J133" s="4"/>
      <c r="K133" s="7" t="str">
        <f t="shared" si="17"/>
        <v/>
      </c>
      <c r="L133" s="8" t="str">
        <f t="shared" si="19"/>
        <v>Bradley Deacon</v>
      </c>
      <c r="M133" s="8" t="str">
        <f t="shared" si="20"/>
        <v>SM</v>
      </c>
      <c r="N133" s="8" t="str">
        <f t="shared" si="21"/>
        <v>Ilford AC</v>
      </c>
      <c r="O133" s="8" t="str">
        <f t="shared" si="22"/>
        <v>M</v>
      </c>
      <c r="P133" s="9">
        <f t="shared" si="23"/>
        <v>0</v>
      </c>
      <c r="Q133"/>
      <c r="R133"/>
      <c r="S133"/>
    </row>
    <row r="134" spans="1:19" ht="16.5" thickBot="1" x14ac:dyDescent="0.3">
      <c r="A134" s="175">
        <v>133</v>
      </c>
      <c r="B134" s="170" t="s">
        <v>2119</v>
      </c>
      <c r="C134" s="1" t="str">
        <f t="shared" si="18"/>
        <v>VF55</v>
      </c>
      <c r="D134" s="179" t="s">
        <v>505</v>
      </c>
      <c r="E134" s="180" t="s">
        <v>23</v>
      </c>
      <c r="F134" s="186">
        <v>60</v>
      </c>
      <c r="G134" s="180"/>
      <c r="H134" s="181">
        <v>21291</v>
      </c>
      <c r="I134" s="4"/>
      <c r="J134" s="4"/>
      <c r="K134" s="7" t="str">
        <f t="shared" si="17"/>
        <v/>
      </c>
      <c r="L134" s="8" t="str">
        <f t="shared" si="19"/>
        <v>Maggie Bavington</v>
      </c>
      <c r="M134" s="8" t="str">
        <f t="shared" si="20"/>
        <v>VF55</v>
      </c>
      <c r="N134" s="8" t="str">
        <f t="shared" si="21"/>
        <v>Unattached</v>
      </c>
      <c r="O134" s="8" t="str">
        <f t="shared" si="22"/>
        <v>F</v>
      </c>
      <c r="P134" s="9">
        <f t="shared" si="23"/>
        <v>0</v>
      </c>
      <c r="Q134"/>
      <c r="R134"/>
      <c r="S134"/>
    </row>
    <row r="135" spans="1:19" ht="16.5" thickBot="1" x14ac:dyDescent="0.3">
      <c r="A135" s="175">
        <v>134</v>
      </c>
      <c r="B135" s="170" t="s">
        <v>275</v>
      </c>
      <c r="C135" s="1" t="str">
        <f t="shared" si="18"/>
        <v>SM</v>
      </c>
      <c r="D135" s="179" t="s">
        <v>63</v>
      </c>
      <c r="E135" s="180" t="s">
        <v>24</v>
      </c>
      <c r="F135" s="186">
        <v>25</v>
      </c>
      <c r="G135" s="180"/>
      <c r="H135" s="181">
        <v>34074</v>
      </c>
      <c r="I135" s="4"/>
      <c r="J135" s="4"/>
      <c r="K135" s="7" t="str">
        <f t="shared" si="17"/>
        <v/>
      </c>
      <c r="L135" s="8" t="str">
        <f t="shared" si="19"/>
        <v>George Sceats</v>
      </c>
      <c r="M135" s="8" t="str">
        <f t="shared" si="20"/>
        <v>SM</v>
      </c>
      <c r="N135" s="8" t="str">
        <f t="shared" si="21"/>
        <v>East End Road Runners</v>
      </c>
      <c r="O135" s="8" t="str">
        <f t="shared" si="22"/>
        <v>M</v>
      </c>
      <c r="P135" s="9">
        <f t="shared" si="23"/>
        <v>0</v>
      </c>
      <c r="Q135"/>
      <c r="R135"/>
      <c r="S135"/>
    </row>
    <row r="136" spans="1:19" ht="16.5" thickBot="1" x14ac:dyDescent="0.3">
      <c r="A136" s="175">
        <v>135</v>
      </c>
      <c r="B136" s="170" t="s">
        <v>1826</v>
      </c>
      <c r="C136" s="1" t="str">
        <f t="shared" si="18"/>
        <v>VM40</v>
      </c>
      <c r="D136" s="179" t="s">
        <v>63</v>
      </c>
      <c r="E136" s="180" t="s">
        <v>24</v>
      </c>
      <c r="F136" s="186">
        <v>40</v>
      </c>
      <c r="G136" s="180"/>
      <c r="H136" s="181">
        <v>28520</v>
      </c>
      <c r="I136" s="4"/>
      <c r="J136" s="4"/>
      <c r="K136" s="7" t="str">
        <f t="shared" si="17"/>
        <v/>
      </c>
      <c r="L136" s="8" t="str">
        <f t="shared" si="19"/>
        <v>Remi Kubar</v>
      </c>
      <c r="M136" s="8" t="str">
        <f t="shared" si="20"/>
        <v>VM40</v>
      </c>
      <c r="N136" s="8" t="str">
        <f t="shared" si="21"/>
        <v>East End Road Runners</v>
      </c>
      <c r="O136" s="8" t="str">
        <f t="shared" si="22"/>
        <v>M</v>
      </c>
      <c r="P136" s="9">
        <f t="shared" si="23"/>
        <v>0</v>
      </c>
      <c r="Q136"/>
      <c r="R136"/>
      <c r="S136"/>
    </row>
    <row r="137" spans="1:19" ht="16.5" thickBot="1" x14ac:dyDescent="0.3">
      <c r="A137" s="175">
        <v>136</v>
      </c>
      <c r="B137" s="170" t="s">
        <v>1905</v>
      </c>
      <c r="C137" s="1" t="str">
        <f t="shared" si="18"/>
        <v>SM</v>
      </c>
      <c r="D137" s="179" t="s">
        <v>14</v>
      </c>
      <c r="E137" s="180" t="s">
        <v>24</v>
      </c>
      <c r="F137" s="186">
        <v>39</v>
      </c>
      <c r="G137" s="180"/>
      <c r="H137" s="181">
        <v>29066</v>
      </c>
      <c r="I137" s="4"/>
      <c r="J137" s="4"/>
      <c r="K137" s="7" t="str">
        <f t="shared" si="17"/>
        <v/>
      </c>
      <c r="L137" s="8" t="str">
        <f t="shared" si="19"/>
        <v>Martin Reynolds</v>
      </c>
      <c r="M137" s="8" t="str">
        <f t="shared" si="20"/>
        <v>SM</v>
      </c>
      <c r="N137" s="8" t="str">
        <f t="shared" si="21"/>
        <v>Orion Harriers</v>
      </c>
      <c r="O137" s="8" t="str">
        <f t="shared" si="22"/>
        <v>M</v>
      </c>
      <c r="P137" s="9">
        <f t="shared" si="23"/>
        <v>0</v>
      </c>
      <c r="Q137"/>
      <c r="R137"/>
      <c r="S137"/>
    </row>
    <row r="138" spans="1:19" ht="16.5" thickBot="1" x14ac:dyDescent="0.3">
      <c r="A138" s="175">
        <v>137</v>
      </c>
      <c r="B138" s="170" t="s">
        <v>1355</v>
      </c>
      <c r="C138" s="1" t="str">
        <f t="shared" si="18"/>
        <v>VM40</v>
      </c>
      <c r="D138" s="179" t="s">
        <v>63</v>
      </c>
      <c r="E138" s="180" t="s">
        <v>24</v>
      </c>
      <c r="F138" s="186">
        <v>46</v>
      </c>
      <c r="G138" s="180"/>
      <c r="H138" s="181">
        <v>26475</v>
      </c>
      <c r="I138" s="4"/>
      <c r="J138" s="4"/>
      <c r="K138" s="7" t="str">
        <f t="shared" si="17"/>
        <v/>
      </c>
      <c r="L138" s="8" t="str">
        <f t="shared" si="19"/>
        <v>Yogesh Patel</v>
      </c>
      <c r="M138" s="8" t="str">
        <f t="shared" si="20"/>
        <v>VM40</v>
      </c>
      <c r="N138" s="8" t="str">
        <f t="shared" si="21"/>
        <v>East End Road Runners</v>
      </c>
      <c r="O138" s="8" t="str">
        <f t="shared" si="22"/>
        <v>M</v>
      </c>
      <c r="P138" s="9">
        <f t="shared" si="23"/>
        <v>0</v>
      </c>
      <c r="Q138"/>
      <c r="R138"/>
      <c r="S138"/>
    </row>
    <row r="139" spans="1:19" ht="16.5" thickBot="1" x14ac:dyDescent="0.3">
      <c r="A139" s="175">
        <v>138</v>
      </c>
      <c r="B139" s="170" t="s">
        <v>440</v>
      </c>
      <c r="C139" s="1" t="str">
        <f t="shared" si="18"/>
        <v>VM50</v>
      </c>
      <c r="D139" s="179" t="s">
        <v>63</v>
      </c>
      <c r="E139" s="180" t="s">
        <v>24</v>
      </c>
      <c r="F139" s="186">
        <v>50</v>
      </c>
      <c r="G139" s="180"/>
      <c r="H139" s="181">
        <v>24716</v>
      </c>
      <c r="I139" s="4"/>
      <c r="J139" s="4"/>
      <c r="K139" s="7" t="str">
        <f t="shared" si="17"/>
        <v/>
      </c>
      <c r="L139" s="8" t="str">
        <f t="shared" si="19"/>
        <v>Adam Shaikh</v>
      </c>
      <c r="M139" s="8" t="str">
        <f t="shared" si="20"/>
        <v>VM50</v>
      </c>
      <c r="N139" s="8" t="str">
        <f t="shared" si="21"/>
        <v>East End Road Runners</v>
      </c>
      <c r="O139" s="8" t="str">
        <f t="shared" si="22"/>
        <v>M</v>
      </c>
      <c r="P139" s="9">
        <f t="shared" si="23"/>
        <v>0</v>
      </c>
      <c r="Q139"/>
      <c r="R139"/>
      <c r="S139"/>
    </row>
    <row r="140" spans="1:19" ht="16.5" thickBot="1" x14ac:dyDescent="0.3">
      <c r="A140" s="175">
        <v>139</v>
      </c>
      <c r="B140" s="170" t="s">
        <v>762</v>
      </c>
      <c r="C140" s="1" t="str">
        <f t="shared" si="18"/>
        <v>VM60</v>
      </c>
      <c r="D140" s="179" t="s">
        <v>1727</v>
      </c>
      <c r="E140" s="180" t="s">
        <v>24</v>
      </c>
      <c r="F140" s="186">
        <v>65</v>
      </c>
      <c r="G140" s="180"/>
      <c r="H140" s="181">
        <v>19547</v>
      </c>
      <c r="I140" s="4"/>
      <c r="J140" s="4"/>
      <c r="K140" s="7" t="str">
        <f t="shared" si="17"/>
        <v/>
      </c>
      <c r="L140" s="8" t="str">
        <f t="shared" si="19"/>
        <v>Dave Cox</v>
      </c>
      <c r="M140" s="8" t="str">
        <f t="shared" si="20"/>
        <v>VM60</v>
      </c>
      <c r="N140" s="8" t="str">
        <f t="shared" si="21"/>
        <v>Woodford Green AC with Essex Ladies</v>
      </c>
      <c r="O140" s="8" t="str">
        <f t="shared" si="22"/>
        <v>M</v>
      </c>
      <c r="P140" s="9">
        <f t="shared" si="23"/>
        <v>0</v>
      </c>
      <c r="Q140"/>
      <c r="R140"/>
      <c r="S140"/>
    </row>
    <row r="141" spans="1:19" ht="16.5" thickBot="1" x14ac:dyDescent="0.3">
      <c r="A141" s="175">
        <v>140</v>
      </c>
      <c r="B141" s="170" t="s">
        <v>389</v>
      </c>
      <c r="C141" s="1" t="str">
        <f t="shared" si="18"/>
        <v>VM70</v>
      </c>
      <c r="D141" s="179" t="s">
        <v>154</v>
      </c>
      <c r="E141" s="180" t="s">
        <v>24</v>
      </c>
      <c r="F141" s="186">
        <v>72</v>
      </c>
      <c r="G141" s="180"/>
      <c r="H141" s="181">
        <v>16951</v>
      </c>
      <c r="I141" s="4"/>
      <c r="J141" s="4"/>
      <c r="K141" s="7" t="str">
        <f t="shared" si="17"/>
        <v/>
      </c>
      <c r="L141" s="8" t="str">
        <f t="shared" si="19"/>
        <v>Robert Maggio</v>
      </c>
      <c r="M141" s="8" t="str">
        <f t="shared" si="20"/>
        <v>VM70</v>
      </c>
      <c r="N141" s="8" t="str">
        <f t="shared" si="21"/>
        <v>Eton Manor AC</v>
      </c>
      <c r="O141" s="8" t="str">
        <f t="shared" si="22"/>
        <v>M</v>
      </c>
      <c r="P141" s="9">
        <f t="shared" si="23"/>
        <v>0</v>
      </c>
      <c r="Q141"/>
      <c r="R141"/>
      <c r="S141"/>
    </row>
    <row r="142" spans="1:19" ht="16.5" thickBot="1" x14ac:dyDescent="0.3">
      <c r="A142" s="175">
        <v>141</v>
      </c>
      <c r="B142" s="170" t="s">
        <v>2942</v>
      </c>
      <c r="C142" s="1" t="str">
        <f t="shared" si="18"/>
        <v>SM</v>
      </c>
      <c r="D142" s="179" t="s">
        <v>14</v>
      </c>
      <c r="E142" s="180" t="s">
        <v>24</v>
      </c>
      <c r="F142" s="186">
        <v>30</v>
      </c>
      <c r="G142" s="180"/>
      <c r="H142" s="181">
        <v>32226</v>
      </c>
      <c r="I142" s="4"/>
      <c r="J142" s="4"/>
      <c r="K142" s="7" t="str">
        <f t="shared" si="17"/>
        <v/>
      </c>
      <c r="L142" s="8" t="str">
        <f t="shared" si="19"/>
        <v>Nick Wilson</v>
      </c>
      <c r="M142" s="8" t="str">
        <f t="shared" si="20"/>
        <v>SM</v>
      </c>
      <c r="N142" s="8" t="str">
        <f t="shared" si="21"/>
        <v>Orion Harriers</v>
      </c>
      <c r="O142" s="8" t="str">
        <f t="shared" si="22"/>
        <v>M</v>
      </c>
      <c r="P142" s="9">
        <f t="shared" si="23"/>
        <v>0</v>
      </c>
      <c r="Q142"/>
      <c r="R142"/>
      <c r="S142"/>
    </row>
    <row r="143" spans="1:19" ht="16.5" thickBot="1" x14ac:dyDescent="0.3">
      <c r="A143" s="175">
        <v>142</v>
      </c>
      <c r="B143" s="170" t="s">
        <v>1065</v>
      </c>
      <c r="C143" s="1" t="str">
        <f t="shared" si="18"/>
        <v>VM40</v>
      </c>
      <c r="D143" s="179" t="s">
        <v>12</v>
      </c>
      <c r="E143" s="180" t="s">
        <v>24</v>
      </c>
      <c r="F143" s="186">
        <v>45</v>
      </c>
      <c r="G143" s="180"/>
      <c r="H143" s="181">
        <v>26630</v>
      </c>
      <c r="I143" s="4"/>
      <c r="J143" s="4"/>
      <c r="K143" s="7" t="str">
        <f t="shared" si="17"/>
        <v/>
      </c>
      <c r="L143" s="8" t="str">
        <f t="shared" si="19"/>
        <v>Regis Martin</v>
      </c>
      <c r="M143" s="8" t="str">
        <f t="shared" si="20"/>
        <v>VM40</v>
      </c>
      <c r="N143" s="8" t="str">
        <f t="shared" si="21"/>
        <v>East London Runners</v>
      </c>
      <c r="O143" s="8" t="str">
        <f t="shared" si="22"/>
        <v>M</v>
      </c>
      <c r="P143" s="9">
        <f t="shared" si="23"/>
        <v>0</v>
      </c>
      <c r="Q143"/>
      <c r="R143"/>
      <c r="S143"/>
    </row>
    <row r="144" spans="1:19" ht="16.5" thickBot="1" x14ac:dyDescent="0.3">
      <c r="A144" s="175">
        <v>143</v>
      </c>
      <c r="B144" s="170" t="s">
        <v>1178</v>
      </c>
      <c r="C144" s="1" t="str">
        <f t="shared" si="18"/>
        <v>VF45</v>
      </c>
      <c r="D144" s="179" t="s">
        <v>12</v>
      </c>
      <c r="E144" s="180" t="s">
        <v>23</v>
      </c>
      <c r="F144" s="186">
        <v>48</v>
      </c>
      <c r="G144" s="180"/>
      <c r="H144" s="181">
        <v>25529</v>
      </c>
      <c r="I144" s="4"/>
      <c r="J144" s="4"/>
      <c r="K144" s="7" t="str">
        <f t="shared" si="17"/>
        <v/>
      </c>
      <c r="L144" s="8" t="str">
        <f t="shared" si="19"/>
        <v>Patricia O'Neill</v>
      </c>
      <c r="M144" s="8" t="str">
        <f t="shared" si="20"/>
        <v>VF45</v>
      </c>
      <c r="N144" s="8" t="str">
        <f t="shared" si="21"/>
        <v>East London Runners</v>
      </c>
      <c r="O144" s="8" t="str">
        <f t="shared" si="22"/>
        <v>F</v>
      </c>
      <c r="P144" s="9">
        <f t="shared" si="23"/>
        <v>0</v>
      </c>
      <c r="Q144"/>
      <c r="R144"/>
      <c r="S144"/>
    </row>
    <row r="145" spans="1:19" ht="16.5" thickBot="1" x14ac:dyDescent="0.3">
      <c r="A145" s="175">
        <v>144</v>
      </c>
      <c r="B145" s="170" t="s">
        <v>1388</v>
      </c>
      <c r="C145" s="1" t="str">
        <f t="shared" si="18"/>
        <v>VF45</v>
      </c>
      <c r="D145" s="179" t="s">
        <v>12</v>
      </c>
      <c r="E145" s="180" t="s">
        <v>23</v>
      </c>
      <c r="F145" s="186">
        <v>54</v>
      </c>
      <c r="G145" s="180"/>
      <c r="H145" s="181">
        <v>23549</v>
      </c>
      <c r="I145" s="4"/>
      <c r="J145" s="4"/>
      <c r="K145" s="7" t="str">
        <f t="shared" si="17"/>
        <v/>
      </c>
      <c r="L145" s="8" t="str">
        <f t="shared" si="19"/>
        <v>Susannah McLaren</v>
      </c>
      <c r="M145" s="8" t="str">
        <f t="shared" si="20"/>
        <v>VF45</v>
      </c>
      <c r="N145" s="8" t="str">
        <f t="shared" si="21"/>
        <v>East London Runners</v>
      </c>
      <c r="O145" s="8" t="str">
        <f t="shared" si="22"/>
        <v>F</v>
      </c>
      <c r="P145" s="9">
        <f t="shared" si="23"/>
        <v>0</v>
      </c>
      <c r="Q145"/>
      <c r="R145"/>
      <c r="S145"/>
    </row>
    <row r="146" spans="1:19" ht="16.5" thickBot="1" x14ac:dyDescent="0.3">
      <c r="A146" s="175">
        <v>145</v>
      </c>
      <c r="B146" s="170" t="s">
        <v>2943</v>
      </c>
      <c r="C146" s="1" t="str">
        <f t="shared" si="18"/>
        <v>SM</v>
      </c>
      <c r="D146" s="179" t="s">
        <v>2264</v>
      </c>
      <c r="E146" s="180" t="s">
        <v>24</v>
      </c>
      <c r="F146" s="186">
        <v>17</v>
      </c>
      <c r="G146" s="180"/>
      <c r="H146" s="181">
        <v>36973</v>
      </c>
      <c r="I146" s="4"/>
      <c r="J146" s="4"/>
      <c r="K146" s="7" t="str">
        <f t="shared" si="17"/>
        <v/>
      </c>
      <c r="L146" s="8" t="str">
        <f t="shared" si="19"/>
        <v>Ryan Holeyman</v>
      </c>
      <c r="M146" s="8" t="str">
        <f t="shared" si="20"/>
        <v>SM</v>
      </c>
      <c r="N146" s="8" t="str">
        <f t="shared" si="21"/>
        <v>ilford A.C.</v>
      </c>
      <c r="O146" s="8" t="str">
        <f t="shared" si="22"/>
        <v>M</v>
      </c>
      <c r="P146" s="9">
        <f t="shared" si="23"/>
        <v>0</v>
      </c>
      <c r="Q146"/>
      <c r="R146"/>
      <c r="S146"/>
    </row>
    <row r="147" spans="1:19" ht="16.5" thickBot="1" x14ac:dyDescent="0.3">
      <c r="A147" s="175">
        <v>146</v>
      </c>
      <c r="B147" s="170" t="s">
        <v>780</v>
      </c>
      <c r="C147" s="1" t="str">
        <f t="shared" si="18"/>
        <v>SM</v>
      </c>
      <c r="D147" s="179" t="s">
        <v>155</v>
      </c>
      <c r="E147" s="180" t="s">
        <v>24</v>
      </c>
      <c r="F147" s="186">
        <v>27</v>
      </c>
      <c r="G147" s="180"/>
      <c r="H147" s="181">
        <v>33331</v>
      </c>
      <c r="I147" s="4"/>
      <c r="J147" s="4"/>
      <c r="K147" s="7" t="str">
        <f t="shared" si="17"/>
        <v/>
      </c>
      <c r="L147" s="8" t="str">
        <f t="shared" si="19"/>
        <v>Jeff Webster</v>
      </c>
      <c r="M147" s="8" t="str">
        <f t="shared" si="20"/>
        <v>SM</v>
      </c>
      <c r="N147" s="8" t="str">
        <f t="shared" si="21"/>
        <v>Dagenham 88 Runners</v>
      </c>
      <c r="O147" s="8" t="str">
        <f t="shared" si="22"/>
        <v>M</v>
      </c>
      <c r="P147" s="9">
        <f t="shared" si="23"/>
        <v>0</v>
      </c>
      <c r="Q147"/>
      <c r="R147"/>
      <c r="S147"/>
    </row>
    <row r="148" spans="1:19" ht="16.5" thickBot="1" x14ac:dyDescent="0.3">
      <c r="A148" s="175">
        <v>147</v>
      </c>
      <c r="B148" s="170" t="s">
        <v>1785</v>
      </c>
      <c r="C148" s="1" t="str">
        <f t="shared" si="18"/>
        <v>SM</v>
      </c>
      <c r="D148" s="179" t="s">
        <v>12</v>
      </c>
      <c r="E148" s="180" t="s">
        <v>24</v>
      </c>
      <c r="F148" s="186">
        <v>27</v>
      </c>
      <c r="G148" s="180"/>
      <c r="H148" s="181">
        <v>33306</v>
      </c>
      <c r="I148" s="4"/>
      <c r="J148" s="4"/>
      <c r="K148" s="7" t="str">
        <f t="shared" si="17"/>
        <v/>
      </c>
      <c r="L148" s="8" t="str">
        <f t="shared" si="19"/>
        <v>Mark Moir</v>
      </c>
      <c r="M148" s="8" t="str">
        <f t="shared" si="20"/>
        <v>SM</v>
      </c>
      <c r="N148" s="8" t="str">
        <f t="shared" si="21"/>
        <v>East London Runners</v>
      </c>
      <c r="O148" s="8" t="str">
        <f t="shared" si="22"/>
        <v>M</v>
      </c>
      <c r="P148" s="9">
        <f t="shared" si="23"/>
        <v>0</v>
      </c>
      <c r="Q148"/>
      <c r="R148"/>
      <c r="S148"/>
    </row>
    <row r="149" spans="1:19" ht="16.5" thickBot="1" x14ac:dyDescent="0.3">
      <c r="A149" s="175">
        <v>148</v>
      </c>
      <c r="B149" s="170" t="s">
        <v>2945</v>
      </c>
      <c r="C149" s="1" t="str">
        <f t="shared" si="18"/>
        <v>VM40</v>
      </c>
      <c r="D149" s="179" t="s">
        <v>10</v>
      </c>
      <c r="E149" s="180" t="s">
        <v>24</v>
      </c>
      <c r="F149" s="186">
        <v>42</v>
      </c>
      <c r="G149" s="180"/>
      <c r="H149" s="181">
        <v>27745</v>
      </c>
      <c r="I149" s="4"/>
      <c r="J149" s="4"/>
      <c r="K149" s="7" t="str">
        <f t="shared" si="17"/>
        <v/>
      </c>
      <c r="L149" s="8" t="str">
        <f t="shared" si="19"/>
        <v>Barney Duly</v>
      </c>
      <c r="M149" s="8" t="str">
        <f t="shared" si="20"/>
        <v>VM40</v>
      </c>
      <c r="N149" s="8" t="str">
        <f t="shared" si="21"/>
        <v>U/A</v>
      </c>
      <c r="O149" s="8" t="str">
        <f t="shared" si="22"/>
        <v>M</v>
      </c>
      <c r="P149" s="9">
        <f t="shared" si="23"/>
        <v>0</v>
      </c>
      <c r="Q149"/>
      <c r="R149"/>
      <c r="S149"/>
    </row>
    <row r="150" spans="1:19" ht="16.5" thickBot="1" x14ac:dyDescent="0.3">
      <c r="A150" s="175">
        <v>149</v>
      </c>
      <c r="B150" s="170" t="s">
        <v>1398</v>
      </c>
      <c r="C150" s="1" t="str">
        <f t="shared" si="18"/>
        <v>VF55</v>
      </c>
      <c r="D150" s="179" t="s">
        <v>12</v>
      </c>
      <c r="E150" s="180" t="s">
        <v>23</v>
      </c>
      <c r="F150" s="186">
        <v>64</v>
      </c>
      <c r="G150" s="180"/>
      <c r="H150" s="181">
        <v>19879</v>
      </c>
      <c r="I150" s="4"/>
      <c r="J150" s="4"/>
      <c r="K150" s="7" t="str">
        <f t="shared" si="17"/>
        <v/>
      </c>
      <c r="L150" s="8" t="str">
        <f t="shared" si="19"/>
        <v>Mary O'Brien</v>
      </c>
      <c r="M150" s="8" t="str">
        <f t="shared" si="20"/>
        <v>VF55</v>
      </c>
      <c r="N150" s="8" t="str">
        <f t="shared" si="21"/>
        <v>East London Runners</v>
      </c>
      <c r="O150" s="8" t="str">
        <f t="shared" si="22"/>
        <v>F</v>
      </c>
      <c r="P150" s="9">
        <f t="shared" si="23"/>
        <v>0</v>
      </c>
      <c r="Q150"/>
      <c r="R150"/>
      <c r="S150"/>
    </row>
    <row r="151" spans="1:19" ht="16.5" thickBot="1" x14ac:dyDescent="0.3">
      <c r="A151" s="175">
        <v>150</v>
      </c>
      <c r="B151" s="170" t="s">
        <v>1760</v>
      </c>
      <c r="C151" s="1" t="str">
        <f t="shared" si="18"/>
        <v>VF55</v>
      </c>
      <c r="D151" s="179" t="s">
        <v>12</v>
      </c>
      <c r="E151" s="180" t="s">
        <v>23</v>
      </c>
      <c r="F151" s="186">
        <v>56</v>
      </c>
      <c r="G151" s="180"/>
      <c r="H151" s="181">
        <v>22672</v>
      </c>
      <c r="I151" s="4"/>
      <c r="J151" s="4"/>
      <c r="K151" s="7" t="str">
        <f t="shared" si="17"/>
        <v/>
      </c>
      <c r="L151" s="8" t="str">
        <f t="shared" si="19"/>
        <v>Mary Connolly</v>
      </c>
      <c r="M151" s="8" t="str">
        <f t="shared" si="20"/>
        <v>VF55</v>
      </c>
      <c r="N151" s="8" t="str">
        <f t="shared" si="21"/>
        <v>East London Runners</v>
      </c>
      <c r="O151" s="8" t="str">
        <f t="shared" si="22"/>
        <v>F</v>
      </c>
      <c r="P151" s="9">
        <f t="shared" si="23"/>
        <v>0</v>
      </c>
      <c r="Q151"/>
      <c r="R151"/>
      <c r="S151"/>
    </row>
    <row r="152" spans="1:19" ht="16.5" thickBot="1" x14ac:dyDescent="0.3">
      <c r="A152" s="175">
        <v>151</v>
      </c>
      <c r="B152" s="170" t="s">
        <v>2946</v>
      </c>
      <c r="C152" s="1" t="str">
        <f t="shared" si="18"/>
        <v>VM60</v>
      </c>
      <c r="D152" s="179" t="s">
        <v>15</v>
      </c>
      <c r="E152" s="180" t="s">
        <v>24</v>
      </c>
      <c r="F152" s="186">
        <v>64</v>
      </c>
      <c r="G152" s="180"/>
      <c r="H152" s="181">
        <v>19725</v>
      </c>
      <c r="I152" s="4"/>
      <c r="J152" s="4"/>
      <c r="K152" s="7" t="str">
        <f t="shared" si="17"/>
        <v/>
      </c>
      <c r="L152" s="8" t="str">
        <f t="shared" si="19"/>
        <v>Peter Chaplin</v>
      </c>
      <c r="M152" s="8" t="str">
        <f t="shared" si="20"/>
        <v>VM60</v>
      </c>
      <c r="N152" s="8" t="str">
        <f t="shared" si="21"/>
        <v>Pitsea RC</v>
      </c>
      <c r="O152" s="8" t="str">
        <f t="shared" si="22"/>
        <v>M</v>
      </c>
      <c r="P152" s="9">
        <f t="shared" si="23"/>
        <v>0</v>
      </c>
      <c r="Q152"/>
      <c r="R152"/>
      <c r="S152"/>
    </row>
    <row r="153" spans="1:19" ht="16.5" thickBot="1" x14ac:dyDescent="0.3">
      <c r="A153" s="175">
        <v>321</v>
      </c>
      <c r="B153" s="170" t="s">
        <v>1473</v>
      </c>
      <c r="C153" s="1" t="str">
        <f t="shared" si="18"/>
        <v>SM</v>
      </c>
      <c r="D153" s="188" t="s">
        <v>12</v>
      </c>
      <c r="E153" s="182" t="s">
        <v>24</v>
      </c>
      <c r="F153" s="186">
        <v>33</v>
      </c>
      <c r="G153" s="180"/>
      <c r="H153" s="181">
        <v>31011</v>
      </c>
      <c r="I153" s="4"/>
      <c r="J153" s="4"/>
      <c r="K153" s="7" t="str">
        <f t="shared" si="17"/>
        <v/>
      </c>
      <c r="L153" s="8" t="str">
        <f t="shared" si="19"/>
        <v>Andy Kumar</v>
      </c>
      <c r="M153" s="8" t="str">
        <f t="shared" si="20"/>
        <v>SM</v>
      </c>
      <c r="N153" s="8" t="str">
        <f t="shared" si="21"/>
        <v>East London Runners</v>
      </c>
      <c r="O153" s="8" t="str">
        <f t="shared" si="22"/>
        <v>M</v>
      </c>
      <c r="P153" s="9">
        <f t="shared" si="23"/>
        <v>0</v>
      </c>
      <c r="Q153"/>
      <c r="R153"/>
      <c r="S153"/>
    </row>
    <row r="154" spans="1:19" ht="16.5" thickBot="1" x14ac:dyDescent="0.3">
      <c r="A154" s="175">
        <v>322</v>
      </c>
      <c r="B154" s="170" t="s">
        <v>2731</v>
      </c>
      <c r="C154" s="1" t="str">
        <f t="shared" si="18"/>
        <v>VM40</v>
      </c>
      <c r="D154" s="179" t="s">
        <v>108</v>
      </c>
      <c r="E154" s="182" t="s">
        <v>24</v>
      </c>
      <c r="F154" s="186">
        <v>43</v>
      </c>
      <c r="G154" s="180"/>
      <c r="H154" s="181">
        <v>27597</v>
      </c>
      <c r="I154" s="4"/>
      <c r="J154" s="4"/>
      <c r="K154" s="7" t="str">
        <f t="shared" si="17"/>
        <v/>
      </c>
      <c r="L154" s="8" t="str">
        <f t="shared" si="19"/>
        <v>Dennis James Briggs</v>
      </c>
      <c r="M154" s="8" t="str">
        <f t="shared" si="20"/>
        <v>VM40</v>
      </c>
      <c r="N154" s="8" t="str">
        <f t="shared" si="21"/>
        <v>Ilford AC</v>
      </c>
      <c r="O154" s="8" t="str">
        <f t="shared" si="22"/>
        <v>M</v>
      </c>
      <c r="P154" s="9">
        <f t="shared" si="23"/>
        <v>0</v>
      </c>
      <c r="Q154"/>
      <c r="R154"/>
      <c r="S154"/>
    </row>
    <row r="155" spans="1:19" ht="16.5" thickBot="1" x14ac:dyDescent="0.3">
      <c r="A155" s="175">
        <v>323</v>
      </c>
      <c r="B155" s="170" t="s">
        <v>1851</v>
      </c>
      <c r="C155" s="1" t="str">
        <f t="shared" si="18"/>
        <v>SF</v>
      </c>
      <c r="D155" s="179" t="s">
        <v>63</v>
      </c>
      <c r="E155" s="182" t="s">
        <v>23</v>
      </c>
      <c r="F155" s="186">
        <v>27</v>
      </c>
      <c r="G155" s="180"/>
      <c r="H155" s="181">
        <v>33331</v>
      </c>
      <c r="I155" s="4"/>
      <c r="J155" s="4"/>
      <c r="K155" s="7" t="str">
        <f t="shared" si="17"/>
        <v/>
      </c>
      <c r="L155" s="8" t="str">
        <f t="shared" si="19"/>
        <v>Katherine Gibson</v>
      </c>
      <c r="M155" s="8" t="str">
        <f t="shared" si="20"/>
        <v>SF</v>
      </c>
      <c r="N155" s="8" t="str">
        <f t="shared" si="21"/>
        <v>East End Road Runners</v>
      </c>
      <c r="O155" s="8" t="str">
        <f t="shared" si="22"/>
        <v>F</v>
      </c>
      <c r="P155" s="9">
        <f t="shared" si="23"/>
        <v>0</v>
      </c>
      <c r="Q155"/>
      <c r="R155"/>
      <c r="S155"/>
    </row>
    <row r="156" spans="1:19" ht="16.5" thickBot="1" x14ac:dyDescent="0.3">
      <c r="A156" s="175">
        <v>324</v>
      </c>
      <c r="B156" s="170" t="s">
        <v>1699</v>
      </c>
      <c r="C156" s="1" t="str">
        <f t="shared" si="18"/>
        <v>VM60</v>
      </c>
      <c r="D156" s="179" t="s">
        <v>154</v>
      </c>
      <c r="E156" s="182" t="s">
        <v>24</v>
      </c>
      <c r="F156" s="186">
        <v>62</v>
      </c>
      <c r="G156" s="180"/>
      <c r="H156" s="181">
        <v>20663</v>
      </c>
      <c r="I156" s="4"/>
      <c r="J156" s="4"/>
      <c r="K156" s="7" t="str">
        <f t="shared" si="17"/>
        <v/>
      </c>
      <c r="L156" s="8" t="str">
        <f t="shared" si="19"/>
        <v>John Black</v>
      </c>
      <c r="M156" s="8" t="str">
        <f t="shared" si="20"/>
        <v>VM60</v>
      </c>
      <c r="N156" s="8" t="str">
        <f t="shared" si="21"/>
        <v>Eton Manor AC</v>
      </c>
      <c r="O156" s="8" t="str">
        <f t="shared" si="22"/>
        <v>M</v>
      </c>
      <c r="P156" s="9">
        <f t="shared" si="23"/>
        <v>0</v>
      </c>
      <c r="Q156"/>
      <c r="R156"/>
      <c r="S156"/>
    </row>
    <row r="157" spans="1:19" ht="16.5" thickBot="1" x14ac:dyDescent="0.3">
      <c r="A157" s="175">
        <v>325</v>
      </c>
      <c r="B157" s="170" t="s">
        <v>749</v>
      </c>
      <c r="C157" s="1" t="str">
        <f t="shared" si="18"/>
        <v>VF55</v>
      </c>
      <c r="D157" s="179" t="s">
        <v>14</v>
      </c>
      <c r="E157" s="182" t="s">
        <v>23</v>
      </c>
      <c r="F157" s="186">
        <v>55</v>
      </c>
      <c r="G157" s="180"/>
      <c r="H157" s="181">
        <v>22977</v>
      </c>
      <c r="I157" s="4"/>
      <c r="J157" s="4"/>
      <c r="K157" s="7" t="str">
        <f t="shared" si="17"/>
        <v/>
      </c>
      <c r="L157" s="8" t="str">
        <f t="shared" si="19"/>
        <v>Andrea Macqueen</v>
      </c>
      <c r="M157" s="8" t="str">
        <f t="shared" si="20"/>
        <v>VF55</v>
      </c>
      <c r="N157" s="8" t="str">
        <f t="shared" si="21"/>
        <v>Orion Harriers</v>
      </c>
      <c r="O157" s="8" t="str">
        <f t="shared" si="22"/>
        <v>F</v>
      </c>
      <c r="P157" s="9">
        <f t="shared" si="23"/>
        <v>0</v>
      </c>
      <c r="Q157"/>
      <c r="R157"/>
      <c r="S157"/>
    </row>
    <row r="158" spans="1:19" ht="16.5" thickBot="1" x14ac:dyDescent="0.3">
      <c r="A158" s="175">
        <v>326</v>
      </c>
      <c r="B158" s="170" t="s">
        <v>1681</v>
      </c>
      <c r="C158" s="1" t="str">
        <f t="shared" si="18"/>
        <v>VF35</v>
      </c>
      <c r="D158" s="179" t="s">
        <v>12</v>
      </c>
      <c r="E158" s="182" t="s">
        <v>23</v>
      </c>
      <c r="F158" s="186">
        <v>40</v>
      </c>
      <c r="G158" s="180"/>
      <c r="H158" s="181">
        <v>28632</v>
      </c>
      <c r="I158" s="4"/>
      <c r="J158" s="4"/>
      <c r="K158" s="7" t="str">
        <f t="shared" si="17"/>
        <v/>
      </c>
      <c r="L158" s="8" t="str">
        <f t="shared" si="19"/>
        <v>Alexandra Rutishauser-Perera</v>
      </c>
      <c r="M158" s="8" t="str">
        <f t="shared" si="20"/>
        <v>VF35</v>
      </c>
      <c r="N158" s="8" t="str">
        <f t="shared" si="21"/>
        <v>East London Runners</v>
      </c>
      <c r="O158" s="8" t="str">
        <f t="shared" si="22"/>
        <v>F</v>
      </c>
      <c r="P158" s="9">
        <f t="shared" si="23"/>
        <v>0</v>
      </c>
      <c r="Q158"/>
      <c r="R158"/>
      <c r="S158"/>
    </row>
    <row r="159" spans="1:19" ht="16.5" thickBot="1" x14ac:dyDescent="0.3">
      <c r="A159" s="175">
        <v>327</v>
      </c>
      <c r="B159" s="170" t="s">
        <v>421</v>
      </c>
      <c r="C159" s="1" t="str">
        <f t="shared" si="18"/>
        <v>VM70</v>
      </c>
      <c r="D159" s="179" t="s">
        <v>14</v>
      </c>
      <c r="E159" s="182" t="s">
        <v>24</v>
      </c>
      <c r="F159" s="186">
        <v>70</v>
      </c>
      <c r="G159" s="180"/>
      <c r="H159" s="181">
        <v>17501</v>
      </c>
      <c r="I159" s="4"/>
      <c r="J159" s="4"/>
      <c r="K159" s="7" t="str">
        <f t="shared" si="17"/>
        <v/>
      </c>
      <c r="L159" s="8" t="str">
        <f t="shared" si="19"/>
        <v>Bob Jousiffe</v>
      </c>
      <c r="M159" s="8" t="str">
        <f t="shared" si="20"/>
        <v>VM70</v>
      </c>
      <c r="N159" s="8" t="str">
        <f t="shared" si="21"/>
        <v>Orion Harriers</v>
      </c>
      <c r="O159" s="8" t="str">
        <f t="shared" si="22"/>
        <v>M</v>
      </c>
      <c r="P159" s="9">
        <f t="shared" si="23"/>
        <v>0</v>
      </c>
      <c r="Q159"/>
      <c r="R159"/>
      <c r="S159"/>
    </row>
    <row r="160" spans="1:19" ht="16.5" thickBot="1" x14ac:dyDescent="0.3">
      <c r="A160" s="175">
        <v>328</v>
      </c>
      <c r="B160" s="170" t="s">
        <v>186</v>
      </c>
      <c r="C160" s="1" t="str">
        <f t="shared" si="18"/>
        <v>VM50</v>
      </c>
      <c r="D160" s="179" t="s">
        <v>12</v>
      </c>
      <c r="E160" s="182" t="s">
        <v>24</v>
      </c>
      <c r="F160" s="186">
        <v>52</v>
      </c>
      <c r="G160" s="180"/>
      <c r="H160" s="181">
        <v>24159</v>
      </c>
      <c r="I160" s="4"/>
      <c r="J160" s="4"/>
      <c r="K160" s="7" t="str">
        <f t="shared" si="17"/>
        <v/>
      </c>
      <c r="L160" s="8" t="str">
        <f t="shared" si="19"/>
        <v>Shailesh Patel</v>
      </c>
      <c r="M160" s="8" t="str">
        <f t="shared" si="20"/>
        <v>VM50</v>
      </c>
      <c r="N160" s="8" t="str">
        <f t="shared" si="21"/>
        <v>East London Runners</v>
      </c>
      <c r="O160" s="8" t="str">
        <f t="shared" si="22"/>
        <v>M</v>
      </c>
      <c r="P160" s="9">
        <f t="shared" si="23"/>
        <v>0</v>
      </c>
      <c r="Q160"/>
      <c r="R160"/>
      <c r="S160"/>
    </row>
    <row r="161" spans="1:19" ht="16.5" thickBot="1" x14ac:dyDescent="0.3">
      <c r="A161" s="175">
        <v>329</v>
      </c>
      <c r="B161" s="170" t="s">
        <v>1389</v>
      </c>
      <c r="C161" s="1" t="str">
        <f t="shared" si="18"/>
        <v>VM40</v>
      </c>
      <c r="D161" s="179" t="s">
        <v>108</v>
      </c>
      <c r="E161" s="182" t="s">
        <v>24</v>
      </c>
      <c r="F161" s="186">
        <v>46</v>
      </c>
      <c r="G161" s="180"/>
      <c r="H161" s="181">
        <v>26352</v>
      </c>
      <c r="I161" s="4"/>
      <c r="J161" s="4"/>
      <c r="K161" s="7" t="str">
        <f t="shared" si="17"/>
        <v/>
      </c>
      <c r="L161" s="8" t="str">
        <f t="shared" si="19"/>
        <v>Gary Coombes</v>
      </c>
      <c r="M161" s="8" t="str">
        <f t="shared" si="20"/>
        <v>VM40</v>
      </c>
      <c r="N161" s="8" t="str">
        <f t="shared" si="21"/>
        <v>Ilford AC</v>
      </c>
      <c r="O161" s="8" t="str">
        <f t="shared" si="22"/>
        <v>M</v>
      </c>
      <c r="P161" s="9">
        <f t="shared" si="23"/>
        <v>0</v>
      </c>
      <c r="Q161"/>
      <c r="R161"/>
      <c r="S161"/>
    </row>
    <row r="162" spans="1:19" ht="16.5" thickBot="1" x14ac:dyDescent="0.3">
      <c r="A162" s="175">
        <v>330</v>
      </c>
      <c r="B162" s="170" t="s">
        <v>188</v>
      </c>
      <c r="C162" s="1" t="str">
        <f t="shared" si="18"/>
        <v>SF</v>
      </c>
      <c r="D162" s="179" t="s">
        <v>108</v>
      </c>
      <c r="E162" s="182" t="s">
        <v>23</v>
      </c>
      <c r="F162" s="186">
        <v>29</v>
      </c>
      <c r="G162" s="180"/>
      <c r="H162" s="181">
        <v>32599</v>
      </c>
      <c r="I162" s="4"/>
      <c r="J162" s="4"/>
      <c r="K162" s="7" t="str">
        <f t="shared" si="17"/>
        <v/>
      </c>
      <c r="L162" s="8" t="str">
        <f t="shared" si="19"/>
        <v>Jenni Sheehan</v>
      </c>
      <c r="M162" s="8" t="str">
        <f t="shared" si="20"/>
        <v>SF</v>
      </c>
      <c r="N162" s="8" t="str">
        <f t="shared" si="21"/>
        <v>Ilford AC</v>
      </c>
      <c r="O162" s="8" t="str">
        <f t="shared" si="22"/>
        <v>F</v>
      </c>
      <c r="P162" s="9">
        <f t="shared" si="23"/>
        <v>0</v>
      </c>
      <c r="Q162"/>
      <c r="R162"/>
      <c r="S162"/>
    </row>
    <row r="163" spans="1:19" ht="16.5" thickBot="1" x14ac:dyDescent="0.3">
      <c r="A163" s="175">
        <v>331</v>
      </c>
      <c r="B163" s="170" t="s">
        <v>1682</v>
      </c>
      <c r="C163" s="1" t="str">
        <f t="shared" si="18"/>
        <v>SM</v>
      </c>
      <c r="D163" s="179" t="s">
        <v>108</v>
      </c>
      <c r="E163" s="182" t="s">
        <v>24</v>
      </c>
      <c r="F163" s="186">
        <v>33</v>
      </c>
      <c r="G163" s="180"/>
      <c r="H163" s="181">
        <v>31023</v>
      </c>
      <c r="I163" s="4"/>
      <c r="J163" s="4"/>
      <c r="K163" s="7" t="str">
        <f t="shared" si="17"/>
        <v/>
      </c>
      <c r="L163" s="8" t="str">
        <f t="shared" si="19"/>
        <v>John Crawley</v>
      </c>
      <c r="M163" s="8" t="str">
        <f t="shared" si="20"/>
        <v>SM</v>
      </c>
      <c r="N163" s="8" t="str">
        <f t="shared" si="21"/>
        <v>Ilford AC</v>
      </c>
      <c r="O163" s="8" t="str">
        <f t="shared" si="22"/>
        <v>M</v>
      </c>
      <c r="P163" s="9">
        <f t="shared" si="23"/>
        <v>0</v>
      </c>
      <c r="Q163"/>
      <c r="R163"/>
      <c r="S163"/>
    </row>
    <row r="164" spans="1:19" ht="16.5" thickBot="1" x14ac:dyDescent="0.3">
      <c r="A164" s="175">
        <v>332</v>
      </c>
      <c r="B164" s="170" t="s">
        <v>1159</v>
      </c>
      <c r="C164" s="1" t="str">
        <f t="shared" si="18"/>
        <v>VF45</v>
      </c>
      <c r="D164" s="179" t="s">
        <v>155</v>
      </c>
      <c r="E164" s="182" t="s">
        <v>23</v>
      </c>
      <c r="F164" s="186">
        <v>48</v>
      </c>
      <c r="G164" s="180"/>
      <c r="H164" s="181">
        <v>25498</v>
      </c>
      <c r="I164" s="4"/>
      <c r="J164" s="4"/>
      <c r="K164" s="7" t="str">
        <f t="shared" si="17"/>
        <v/>
      </c>
      <c r="L164" s="8" t="str">
        <f t="shared" si="19"/>
        <v>Rosina Salmon</v>
      </c>
      <c r="M164" s="8" t="str">
        <f t="shared" si="20"/>
        <v>VF45</v>
      </c>
      <c r="N164" s="8" t="str">
        <f t="shared" si="21"/>
        <v>Dagenham 88 Runners</v>
      </c>
      <c r="O164" s="8" t="str">
        <f t="shared" si="22"/>
        <v>F</v>
      </c>
      <c r="P164" s="9">
        <f t="shared" si="23"/>
        <v>0</v>
      </c>
      <c r="Q164"/>
      <c r="R164"/>
      <c r="S164"/>
    </row>
    <row r="165" spans="1:19" ht="16.5" thickBot="1" x14ac:dyDescent="0.3">
      <c r="A165" s="175">
        <v>333</v>
      </c>
      <c r="B165" s="170" t="s">
        <v>258</v>
      </c>
      <c r="C165" s="1" t="str">
        <f t="shared" si="18"/>
        <v>VF55</v>
      </c>
      <c r="D165" s="179" t="s">
        <v>12</v>
      </c>
      <c r="E165" s="182" t="s">
        <v>23</v>
      </c>
      <c r="F165" s="186">
        <v>56</v>
      </c>
      <c r="G165" s="180"/>
      <c r="H165" s="181">
        <v>22659</v>
      </c>
      <c r="I165" s="4"/>
      <c r="J165" s="4"/>
      <c r="K165" s="7" t="str">
        <f t="shared" si="17"/>
        <v/>
      </c>
      <c r="L165" s="8" t="str">
        <f t="shared" si="19"/>
        <v>Caroline Moore</v>
      </c>
      <c r="M165" s="8" t="str">
        <f t="shared" si="20"/>
        <v>VF55</v>
      </c>
      <c r="N165" s="8" t="str">
        <f t="shared" si="21"/>
        <v>East London Runners</v>
      </c>
      <c r="O165" s="8" t="str">
        <f t="shared" si="22"/>
        <v>F</v>
      </c>
      <c r="P165" s="9">
        <f t="shared" si="23"/>
        <v>0</v>
      </c>
      <c r="Q165"/>
      <c r="R165"/>
      <c r="S165"/>
    </row>
    <row r="166" spans="1:19" ht="16.5" thickBot="1" x14ac:dyDescent="0.3">
      <c r="A166" s="175">
        <v>334</v>
      </c>
      <c r="B166" s="170" t="s">
        <v>414</v>
      </c>
      <c r="C166" s="1" t="str">
        <f t="shared" si="18"/>
        <v>VM50</v>
      </c>
      <c r="D166" s="179" t="s">
        <v>155</v>
      </c>
      <c r="E166" s="180" t="s">
        <v>24</v>
      </c>
      <c r="F166" s="186">
        <v>50</v>
      </c>
      <c r="G166" s="180"/>
      <c r="H166" s="181">
        <v>24934</v>
      </c>
      <c r="I166" s="4"/>
      <c r="J166" s="4"/>
      <c r="K166" s="7" t="str">
        <f t="shared" si="17"/>
        <v/>
      </c>
      <c r="L166" s="8" t="str">
        <f t="shared" si="19"/>
        <v>Peter Salmon</v>
      </c>
      <c r="M166" s="8" t="str">
        <f t="shared" si="20"/>
        <v>VM50</v>
      </c>
      <c r="N166" s="8" t="str">
        <f t="shared" si="21"/>
        <v>Dagenham 88 Runners</v>
      </c>
      <c r="O166" s="8" t="str">
        <f t="shared" si="22"/>
        <v>M</v>
      </c>
      <c r="P166" s="9">
        <f t="shared" si="23"/>
        <v>0</v>
      </c>
      <c r="Q166"/>
      <c r="R166"/>
      <c r="S166"/>
    </row>
    <row r="167" spans="1:19" ht="16.5" thickBot="1" x14ac:dyDescent="0.3">
      <c r="A167" s="175">
        <v>335</v>
      </c>
      <c r="B167" s="170" t="s">
        <v>784</v>
      </c>
      <c r="C167" s="1" t="str">
        <f t="shared" si="18"/>
        <v>VM50</v>
      </c>
      <c r="D167" s="188" t="s">
        <v>38</v>
      </c>
      <c r="E167" s="182" t="s">
        <v>24</v>
      </c>
      <c r="F167" s="186">
        <v>50</v>
      </c>
      <c r="G167" s="180"/>
      <c r="H167" s="181">
        <v>24976</v>
      </c>
      <c r="I167" s="4"/>
      <c r="J167" s="4"/>
      <c r="K167" s="7" t="str">
        <f t="shared" si="17"/>
        <v/>
      </c>
      <c r="L167" s="8" t="str">
        <f t="shared" si="19"/>
        <v>Dean Bates</v>
      </c>
      <c r="M167" s="8" t="str">
        <f t="shared" si="20"/>
        <v>VM50</v>
      </c>
      <c r="N167" s="8" t="str">
        <f t="shared" si="21"/>
        <v>Havering 90 Joggers</v>
      </c>
      <c r="O167" s="8" t="str">
        <f t="shared" si="22"/>
        <v>M</v>
      </c>
      <c r="P167" s="9">
        <f t="shared" si="23"/>
        <v>0</v>
      </c>
      <c r="Q167"/>
      <c r="R167"/>
      <c r="S167"/>
    </row>
    <row r="168" spans="1:19" ht="16.5" thickBot="1" x14ac:dyDescent="0.3">
      <c r="A168" s="175">
        <v>336</v>
      </c>
      <c r="B168" s="170" t="s">
        <v>1337</v>
      </c>
      <c r="C168" s="1" t="str">
        <f t="shared" si="18"/>
        <v>VM40</v>
      </c>
      <c r="D168" s="179" t="s">
        <v>12</v>
      </c>
      <c r="E168" s="182" t="s">
        <v>24</v>
      </c>
      <c r="F168" s="186">
        <v>42</v>
      </c>
      <c r="G168" s="180"/>
      <c r="H168" s="181">
        <v>27741</v>
      </c>
      <c r="I168" s="4"/>
      <c r="J168" s="4"/>
      <c r="K168" s="7" t="str">
        <f t="shared" si="17"/>
        <v/>
      </c>
      <c r="L168" s="8" t="str">
        <f t="shared" si="19"/>
        <v>Robert Rayworth</v>
      </c>
      <c r="M168" s="8" t="str">
        <f t="shared" si="20"/>
        <v>VM40</v>
      </c>
      <c r="N168" s="8" t="str">
        <f t="shared" si="21"/>
        <v>East London Runners</v>
      </c>
      <c r="O168" s="8" t="str">
        <f t="shared" si="22"/>
        <v>M</v>
      </c>
      <c r="P168" s="9">
        <f t="shared" si="23"/>
        <v>0</v>
      </c>
      <c r="Q168"/>
      <c r="R168"/>
      <c r="S168"/>
    </row>
    <row r="169" spans="1:19" ht="16.5" thickBot="1" x14ac:dyDescent="0.3">
      <c r="A169" s="175">
        <v>337</v>
      </c>
      <c r="B169" s="170" t="s">
        <v>2229</v>
      </c>
      <c r="C169" s="1" t="str">
        <f t="shared" si="18"/>
        <v>SM</v>
      </c>
      <c r="D169" s="179" t="s">
        <v>12</v>
      </c>
      <c r="E169" s="182" t="s">
        <v>24</v>
      </c>
      <c r="F169" s="186">
        <v>34</v>
      </c>
      <c r="G169" s="180"/>
      <c r="H169" s="181">
        <v>30580</v>
      </c>
      <c r="I169" s="4"/>
      <c r="J169" s="4"/>
      <c r="K169" s="7" t="str">
        <f t="shared" si="17"/>
        <v/>
      </c>
      <c r="L169" s="8" t="str">
        <f t="shared" si="19"/>
        <v>Mark Wiltshire</v>
      </c>
      <c r="M169" s="8" t="str">
        <f t="shared" si="20"/>
        <v>SM</v>
      </c>
      <c r="N169" s="8" t="str">
        <f t="shared" si="21"/>
        <v>East London Runners</v>
      </c>
      <c r="O169" s="8" t="str">
        <f t="shared" si="22"/>
        <v>M</v>
      </c>
      <c r="P169" s="9">
        <f t="shared" si="23"/>
        <v>0</v>
      </c>
      <c r="Q169"/>
      <c r="R169"/>
      <c r="S169"/>
    </row>
    <row r="170" spans="1:19" ht="16.5" thickBot="1" x14ac:dyDescent="0.3">
      <c r="A170" s="175">
        <v>338</v>
      </c>
      <c r="B170" s="170" t="s">
        <v>2732</v>
      </c>
      <c r="C170" s="1" t="str">
        <f t="shared" si="18"/>
        <v>SM</v>
      </c>
      <c r="D170" s="179" t="s">
        <v>2730</v>
      </c>
      <c r="E170" s="182" t="s">
        <v>24</v>
      </c>
      <c r="F170" s="186">
        <v>38</v>
      </c>
      <c r="G170" s="180"/>
      <c r="H170" s="181">
        <v>29449</v>
      </c>
      <c r="I170" s="4"/>
      <c r="J170" s="4"/>
      <c r="K170" s="7" t="str">
        <f t="shared" si="17"/>
        <v/>
      </c>
      <c r="L170" s="8" t="str">
        <f t="shared" si="19"/>
        <v>Ben Cook</v>
      </c>
      <c r="M170" s="8" t="str">
        <f t="shared" si="20"/>
        <v>SM</v>
      </c>
      <c r="N170" s="8" t="str">
        <f t="shared" si="21"/>
        <v>Kent AC</v>
      </c>
      <c r="O170" s="8" t="str">
        <f t="shared" si="22"/>
        <v>M</v>
      </c>
      <c r="P170" s="9">
        <f t="shared" si="23"/>
        <v>0</v>
      </c>
      <c r="Q170"/>
      <c r="R170"/>
      <c r="S170"/>
    </row>
    <row r="171" spans="1:19" ht="16.5" thickBot="1" x14ac:dyDescent="0.3">
      <c r="A171" s="175">
        <v>339</v>
      </c>
      <c r="B171" s="170" t="s">
        <v>1833</v>
      </c>
      <c r="C171" s="1" t="str">
        <f t="shared" si="18"/>
        <v>SF</v>
      </c>
      <c r="D171" s="179" t="s">
        <v>108</v>
      </c>
      <c r="E171" s="180" t="s">
        <v>23</v>
      </c>
      <c r="F171" s="186">
        <v>34</v>
      </c>
      <c r="G171" s="180"/>
      <c r="H171" s="181">
        <v>30800</v>
      </c>
      <c r="I171" s="4"/>
      <c r="J171" s="4"/>
      <c r="K171" s="7" t="str">
        <f t="shared" si="17"/>
        <v/>
      </c>
      <c r="L171" s="8" t="str">
        <f t="shared" si="19"/>
        <v>Carlie Qirem</v>
      </c>
      <c r="M171" s="8" t="str">
        <f t="shared" si="20"/>
        <v>SF</v>
      </c>
      <c r="N171" s="8" t="str">
        <f t="shared" si="21"/>
        <v>Ilford AC</v>
      </c>
      <c r="O171" s="8" t="str">
        <f t="shared" si="22"/>
        <v>F</v>
      </c>
      <c r="P171" s="9">
        <f t="shared" si="23"/>
        <v>0</v>
      </c>
      <c r="Q171"/>
      <c r="R171"/>
      <c r="S171"/>
    </row>
    <row r="172" spans="1:19" ht="16.5" thickBot="1" x14ac:dyDescent="0.3">
      <c r="A172" s="175">
        <v>340</v>
      </c>
      <c r="B172" s="170" t="s">
        <v>2733</v>
      </c>
      <c r="C172" s="1" t="str">
        <f t="shared" si="18"/>
        <v>VM40</v>
      </c>
      <c r="D172" s="179" t="s">
        <v>108</v>
      </c>
      <c r="E172" s="182" t="s">
        <v>24</v>
      </c>
      <c r="F172" s="186">
        <v>44</v>
      </c>
      <c r="G172" s="180"/>
      <c r="H172" s="181">
        <v>26976</v>
      </c>
      <c r="I172" s="4"/>
      <c r="J172" s="4"/>
      <c r="K172" s="7" t="str">
        <f t="shared" si="17"/>
        <v/>
      </c>
      <c r="L172" s="8" t="str">
        <f t="shared" si="19"/>
        <v>Daniel Holeyman</v>
      </c>
      <c r="M172" s="8" t="str">
        <f t="shared" si="20"/>
        <v>VM40</v>
      </c>
      <c r="N172" s="8" t="str">
        <f t="shared" si="21"/>
        <v>Ilford AC</v>
      </c>
      <c r="O172" s="8" t="str">
        <f t="shared" si="22"/>
        <v>M</v>
      </c>
      <c r="P172" s="9">
        <f t="shared" si="23"/>
        <v>0</v>
      </c>
      <c r="Q172"/>
      <c r="R172"/>
      <c r="S172"/>
    </row>
    <row r="173" spans="1:19" ht="16.5" thickBot="1" x14ac:dyDescent="0.3">
      <c r="A173" s="175">
        <v>341</v>
      </c>
      <c r="B173" s="170" t="s">
        <v>177</v>
      </c>
      <c r="C173" s="1" t="str">
        <f t="shared" si="18"/>
        <v>VM40</v>
      </c>
      <c r="D173" s="179" t="s">
        <v>12</v>
      </c>
      <c r="E173" s="182" t="s">
        <v>24</v>
      </c>
      <c r="F173" s="186">
        <v>45</v>
      </c>
      <c r="G173" s="180"/>
      <c r="H173" s="181">
        <v>26671</v>
      </c>
      <c r="I173" s="4"/>
      <c r="J173" s="4"/>
      <c r="K173" s="7" t="str">
        <f t="shared" si="17"/>
        <v/>
      </c>
      <c r="L173" s="8" t="str">
        <f t="shared" si="19"/>
        <v>Richard Guest</v>
      </c>
      <c r="M173" s="8" t="str">
        <f t="shared" si="20"/>
        <v>VM40</v>
      </c>
      <c r="N173" s="8" t="str">
        <f t="shared" si="21"/>
        <v>East London Runners</v>
      </c>
      <c r="O173" s="8" t="str">
        <f t="shared" si="22"/>
        <v>M</v>
      </c>
      <c r="P173" s="9">
        <f t="shared" si="23"/>
        <v>0</v>
      </c>
      <c r="Q173"/>
      <c r="R173"/>
      <c r="S173"/>
    </row>
    <row r="174" spans="1:19" ht="16.5" thickBot="1" x14ac:dyDescent="0.3">
      <c r="A174" s="175">
        <v>342</v>
      </c>
      <c r="B174" s="170" t="s">
        <v>2734</v>
      </c>
      <c r="C174" s="1" t="str">
        <f t="shared" si="18"/>
        <v>VM70</v>
      </c>
      <c r="D174" s="179" t="s">
        <v>505</v>
      </c>
      <c r="E174" s="180" t="s">
        <v>24</v>
      </c>
      <c r="F174" s="186">
        <v>72</v>
      </c>
      <c r="G174" s="180"/>
      <c r="H174" s="181">
        <v>17034</v>
      </c>
      <c r="I174" s="4"/>
      <c r="J174" s="4"/>
      <c r="K174" s="7" t="str">
        <f t="shared" si="17"/>
        <v/>
      </c>
      <c r="L174" s="8" t="str">
        <f t="shared" si="19"/>
        <v>John Griffin</v>
      </c>
      <c r="M174" s="8" t="str">
        <f t="shared" si="20"/>
        <v>VM70</v>
      </c>
      <c r="N174" s="8" t="str">
        <f t="shared" si="21"/>
        <v>Unattached</v>
      </c>
      <c r="O174" s="8" t="str">
        <f t="shared" si="22"/>
        <v>M</v>
      </c>
      <c r="P174" s="9">
        <f t="shared" si="23"/>
        <v>0</v>
      </c>
      <c r="Q174"/>
      <c r="R174"/>
      <c r="S174"/>
    </row>
    <row r="175" spans="1:19" ht="16.5" thickBot="1" x14ac:dyDescent="0.3">
      <c r="A175" s="175">
        <v>343</v>
      </c>
      <c r="B175" s="170" t="s">
        <v>181</v>
      </c>
      <c r="C175" s="1" t="str">
        <f t="shared" si="18"/>
        <v>VF45</v>
      </c>
      <c r="D175" s="179" t="s">
        <v>12</v>
      </c>
      <c r="E175" s="182" t="s">
        <v>23</v>
      </c>
      <c r="F175" s="186">
        <v>46</v>
      </c>
      <c r="G175" s="180"/>
      <c r="H175" s="181">
        <v>26412</v>
      </c>
      <c r="I175" s="4"/>
      <c r="J175" s="4"/>
      <c r="K175" s="7" t="str">
        <f t="shared" si="17"/>
        <v/>
      </c>
      <c r="L175" s="8" t="str">
        <f t="shared" si="19"/>
        <v>Maud Hodson</v>
      </c>
      <c r="M175" s="8" t="str">
        <f t="shared" si="20"/>
        <v>VF45</v>
      </c>
      <c r="N175" s="8" t="str">
        <f t="shared" si="21"/>
        <v>East London Runners</v>
      </c>
      <c r="O175" s="8" t="str">
        <f t="shared" si="22"/>
        <v>F</v>
      </c>
      <c r="P175" s="9">
        <f t="shared" si="23"/>
        <v>0</v>
      </c>
      <c r="Q175"/>
      <c r="R175"/>
      <c r="S175"/>
    </row>
    <row r="176" spans="1:19" ht="16.5" thickBot="1" x14ac:dyDescent="0.3">
      <c r="A176" s="175">
        <v>344</v>
      </c>
      <c r="B176" s="170" t="s">
        <v>782</v>
      </c>
      <c r="C176" s="1" t="str">
        <f t="shared" si="18"/>
        <v>VF35</v>
      </c>
      <c r="D176" s="179" t="s">
        <v>12</v>
      </c>
      <c r="E176" s="182" t="s">
        <v>23</v>
      </c>
      <c r="F176" s="186">
        <v>38</v>
      </c>
      <c r="G176" s="180"/>
      <c r="H176" s="181">
        <v>29419</v>
      </c>
      <c r="I176" s="4"/>
      <c r="J176" s="4"/>
      <c r="K176" s="7" t="str">
        <f t="shared" si="17"/>
        <v/>
      </c>
      <c r="L176" s="8" t="str">
        <f t="shared" si="19"/>
        <v>Katherine Harris</v>
      </c>
      <c r="M176" s="8" t="str">
        <f t="shared" si="20"/>
        <v>VF35</v>
      </c>
      <c r="N176" s="8" t="str">
        <f t="shared" si="21"/>
        <v>East London Runners</v>
      </c>
      <c r="O176" s="8" t="str">
        <f t="shared" si="22"/>
        <v>F</v>
      </c>
      <c r="P176" s="9">
        <f t="shared" si="23"/>
        <v>0</v>
      </c>
      <c r="Q176"/>
      <c r="R176"/>
      <c r="S176"/>
    </row>
    <row r="177" spans="1:19" ht="16.5" thickBot="1" x14ac:dyDescent="0.3">
      <c r="A177" s="175">
        <v>345</v>
      </c>
      <c r="B177" s="170" t="s">
        <v>2215</v>
      </c>
      <c r="C177" s="1" t="str">
        <f t="shared" si="18"/>
        <v>VF45</v>
      </c>
      <c r="D177" s="179" t="s">
        <v>108</v>
      </c>
      <c r="E177" s="182" t="s">
        <v>23</v>
      </c>
      <c r="F177" s="186">
        <v>49</v>
      </c>
      <c r="G177" s="180"/>
      <c r="H177" s="181">
        <v>25283</v>
      </c>
      <c r="I177" s="4"/>
      <c r="J177" s="4"/>
      <c r="K177" s="7" t="str">
        <f t="shared" si="17"/>
        <v/>
      </c>
      <c r="L177" s="8" t="str">
        <f t="shared" si="19"/>
        <v>Gaye van der Vyver</v>
      </c>
      <c r="M177" s="8" t="str">
        <f t="shared" si="20"/>
        <v>VF45</v>
      </c>
      <c r="N177" s="8" t="str">
        <f t="shared" si="21"/>
        <v>Ilford AC</v>
      </c>
      <c r="O177" s="8" t="str">
        <f t="shared" si="22"/>
        <v>F</v>
      </c>
      <c r="P177" s="9">
        <f t="shared" si="23"/>
        <v>0</v>
      </c>
      <c r="Q177"/>
      <c r="R177"/>
      <c r="S177"/>
    </row>
    <row r="178" spans="1:19" ht="16.5" thickBot="1" x14ac:dyDescent="0.3">
      <c r="A178" s="175">
        <v>346</v>
      </c>
      <c r="B178" s="170" t="s">
        <v>229</v>
      </c>
      <c r="C178" s="1" t="str">
        <f t="shared" si="18"/>
        <v>VF55</v>
      </c>
      <c r="D178" s="179" t="s">
        <v>108</v>
      </c>
      <c r="E178" s="182" t="s">
        <v>23</v>
      </c>
      <c r="F178" s="186">
        <v>62</v>
      </c>
      <c r="G178" s="180"/>
      <c r="H178" s="181">
        <v>20613</v>
      </c>
      <c r="I178" s="4"/>
      <c r="J178" s="4"/>
      <c r="K178" s="7" t="str">
        <f t="shared" si="17"/>
        <v/>
      </c>
      <c r="L178" s="8" t="str">
        <f t="shared" si="19"/>
        <v>Breege Nordin</v>
      </c>
      <c r="M178" s="8" t="str">
        <f t="shared" si="20"/>
        <v>VF55</v>
      </c>
      <c r="N178" s="8" t="str">
        <f t="shared" si="21"/>
        <v>Ilford AC</v>
      </c>
      <c r="O178" s="8" t="str">
        <f t="shared" si="22"/>
        <v>F</v>
      </c>
      <c r="P178" s="9">
        <f t="shared" si="23"/>
        <v>0</v>
      </c>
      <c r="Q178"/>
      <c r="R178"/>
      <c r="S178"/>
    </row>
    <row r="179" spans="1:19" ht="16.5" thickBot="1" x14ac:dyDescent="0.3">
      <c r="A179" s="175">
        <v>347</v>
      </c>
      <c r="B179" s="170" t="s">
        <v>1182</v>
      </c>
      <c r="C179" s="1" t="str">
        <f t="shared" si="18"/>
        <v>VF55</v>
      </c>
      <c r="D179" s="179" t="s">
        <v>63</v>
      </c>
      <c r="E179" s="182" t="s">
        <v>23</v>
      </c>
      <c r="F179" s="186">
        <v>64</v>
      </c>
      <c r="G179" s="180"/>
      <c r="H179" s="181">
        <v>19834</v>
      </c>
      <c r="I179" s="4"/>
      <c r="J179" s="4"/>
      <c r="K179" s="7" t="str">
        <f t="shared" si="17"/>
        <v/>
      </c>
      <c r="L179" s="8" t="str">
        <f t="shared" si="19"/>
        <v>Catherine Jane Apps</v>
      </c>
      <c r="M179" s="8" t="str">
        <f t="shared" si="20"/>
        <v>VF55</v>
      </c>
      <c r="N179" s="8" t="str">
        <f t="shared" si="21"/>
        <v>East End Road Runners</v>
      </c>
      <c r="O179" s="8" t="str">
        <f t="shared" si="22"/>
        <v>F</v>
      </c>
      <c r="P179" s="9">
        <f t="shared" si="23"/>
        <v>0</v>
      </c>
      <c r="Q179"/>
      <c r="R179"/>
      <c r="S179"/>
    </row>
    <row r="180" spans="1:19" ht="16.5" thickBot="1" x14ac:dyDescent="0.3">
      <c r="A180" s="175">
        <v>348</v>
      </c>
      <c r="B180" s="170" t="s">
        <v>1750</v>
      </c>
      <c r="C180" s="1" t="str">
        <f t="shared" si="18"/>
        <v>SF</v>
      </c>
      <c r="D180" s="179" t="s">
        <v>12</v>
      </c>
      <c r="E180" s="182" t="s">
        <v>23</v>
      </c>
      <c r="F180" s="186">
        <v>28</v>
      </c>
      <c r="G180" s="180"/>
      <c r="H180" s="181">
        <v>32906</v>
      </c>
      <c r="I180" s="4"/>
      <c r="J180" s="4"/>
      <c r="K180" s="7" t="str">
        <f t="shared" si="17"/>
        <v/>
      </c>
      <c r="L180" s="8" t="str">
        <f t="shared" si="19"/>
        <v>Samia Choudhury</v>
      </c>
      <c r="M180" s="8" t="str">
        <f t="shared" si="20"/>
        <v>SF</v>
      </c>
      <c r="N180" s="8" t="str">
        <f t="shared" si="21"/>
        <v>East London Runners</v>
      </c>
      <c r="O180" s="8" t="str">
        <f t="shared" si="22"/>
        <v>F</v>
      </c>
      <c r="P180" s="9">
        <f t="shared" si="23"/>
        <v>0</v>
      </c>
      <c r="Q180"/>
      <c r="R180"/>
      <c r="S180"/>
    </row>
    <row r="181" spans="1:19" ht="16.5" thickBot="1" x14ac:dyDescent="0.3">
      <c r="A181" s="175">
        <v>349</v>
      </c>
      <c r="B181" s="170" t="s">
        <v>1005</v>
      </c>
      <c r="C181" s="1" t="str">
        <f t="shared" si="18"/>
        <v>VF45</v>
      </c>
      <c r="D181" s="179" t="s">
        <v>14</v>
      </c>
      <c r="E181" s="182" t="s">
        <v>23</v>
      </c>
      <c r="F181" s="186">
        <v>54</v>
      </c>
      <c r="G181" s="180"/>
      <c r="H181" s="181">
        <v>23373</v>
      </c>
      <c r="I181" s="4"/>
      <c r="J181" s="4"/>
      <c r="K181" s="7" t="str">
        <f t="shared" si="17"/>
        <v/>
      </c>
      <c r="L181" s="8" t="str">
        <f t="shared" si="19"/>
        <v>Frances Wilson</v>
      </c>
      <c r="M181" s="8" t="str">
        <f t="shared" si="20"/>
        <v>VF45</v>
      </c>
      <c r="N181" s="8" t="str">
        <f t="shared" si="21"/>
        <v>Orion Harriers</v>
      </c>
      <c r="O181" s="8" t="str">
        <f t="shared" si="22"/>
        <v>F</v>
      </c>
      <c r="P181" s="9">
        <f t="shared" si="23"/>
        <v>0</v>
      </c>
      <c r="Q181"/>
      <c r="R181"/>
      <c r="S181"/>
    </row>
    <row r="182" spans="1:19" ht="16.5" thickBot="1" x14ac:dyDescent="0.3">
      <c r="A182" s="175">
        <v>350</v>
      </c>
      <c r="B182" s="170" t="s">
        <v>2437</v>
      </c>
      <c r="C182" s="1" t="str">
        <f t="shared" si="18"/>
        <v>VF55</v>
      </c>
      <c r="D182" s="179" t="s">
        <v>108</v>
      </c>
      <c r="E182" s="182" t="s">
        <v>23</v>
      </c>
      <c r="F182" s="186">
        <v>63</v>
      </c>
      <c r="G182" s="180"/>
      <c r="H182" s="181">
        <v>20300</v>
      </c>
      <c r="I182" s="4"/>
      <c r="J182" s="4"/>
      <c r="K182" s="7" t="str">
        <f t="shared" si="17"/>
        <v/>
      </c>
      <c r="L182" s="8" t="str">
        <f t="shared" si="19"/>
        <v>julia galea</v>
      </c>
      <c r="M182" s="8" t="str">
        <f t="shared" si="20"/>
        <v>VF55</v>
      </c>
      <c r="N182" s="8" t="str">
        <f t="shared" si="21"/>
        <v>Ilford AC</v>
      </c>
      <c r="O182" s="8" t="str">
        <f t="shared" si="22"/>
        <v>F</v>
      </c>
      <c r="P182" s="9">
        <f t="shared" si="23"/>
        <v>0</v>
      </c>
      <c r="Q182"/>
      <c r="R182"/>
      <c r="S182"/>
    </row>
    <row r="183" spans="1:19" ht="16.5" thickBot="1" x14ac:dyDescent="0.3">
      <c r="A183" s="175">
        <v>351</v>
      </c>
      <c r="B183" s="170" t="s">
        <v>2735</v>
      </c>
      <c r="C183" s="1" t="str">
        <f t="shared" si="18"/>
        <v>SM</v>
      </c>
      <c r="D183" s="179" t="s">
        <v>155</v>
      </c>
      <c r="E183" s="180" t="s">
        <v>24</v>
      </c>
      <c r="F183" s="186">
        <v>38</v>
      </c>
      <c r="G183" s="180"/>
      <c r="H183" s="181">
        <v>29436</v>
      </c>
      <c r="I183" s="4"/>
      <c r="J183" s="4"/>
      <c r="K183" s="7" t="str">
        <f t="shared" si="17"/>
        <v/>
      </c>
      <c r="L183" s="8" t="str">
        <f t="shared" si="19"/>
        <v>michael pegnall</v>
      </c>
      <c r="M183" s="8" t="str">
        <f t="shared" si="20"/>
        <v>SM</v>
      </c>
      <c r="N183" s="8" t="str">
        <f t="shared" si="21"/>
        <v>Dagenham 88 Runners</v>
      </c>
      <c r="O183" s="8" t="str">
        <f t="shared" si="22"/>
        <v>M</v>
      </c>
      <c r="P183" s="9">
        <f t="shared" si="23"/>
        <v>0</v>
      </c>
      <c r="Q183"/>
      <c r="R183"/>
      <c r="S183"/>
    </row>
    <row r="184" spans="1:19" ht="16.5" thickBot="1" x14ac:dyDescent="0.3">
      <c r="A184" s="175">
        <v>352</v>
      </c>
      <c r="B184" s="170" t="s">
        <v>2944</v>
      </c>
      <c r="C184" s="1" t="str">
        <f t="shared" si="18"/>
        <v>VM40</v>
      </c>
      <c r="D184" s="179" t="s">
        <v>12</v>
      </c>
      <c r="E184" s="182" t="s">
        <v>24</v>
      </c>
      <c r="F184" s="186">
        <v>44</v>
      </c>
      <c r="G184" s="180"/>
      <c r="H184" s="181">
        <v>27150</v>
      </c>
      <c r="I184" s="4"/>
      <c r="J184" s="4"/>
      <c r="K184" s="7" t="str">
        <f t="shared" si="17"/>
        <v/>
      </c>
      <c r="L184" s="8" t="str">
        <f t="shared" si="19"/>
        <v>John Healy</v>
      </c>
      <c r="M184" s="8" t="str">
        <f t="shared" si="20"/>
        <v>VM40</v>
      </c>
      <c r="N184" s="8" t="str">
        <f t="shared" si="21"/>
        <v>East London Runners</v>
      </c>
      <c r="O184" s="8" t="str">
        <f t="shared" si="22"/>
        <v>M</v>
      </c>
      <c r="P184" s="9">
        <f t="shared" si="23"/>
        <v>0</v>
      </c>
      <c r="Q184"/>
      <c r="R184"/>
      <c r="S184"/>
    </row>
    <row r="185" spans="1:19" ht="16.5" thickBot="1" x14ac:dyDescent="0.3">
      <c r="A185" s="175">
        <v>353</v>
      </c>
      <c r="B185" s="170" t="s">
        <v>1083</v>
      </c>
      <c r="C185" s="1" t="str">
        <f t="shared" si="18"/>
        <v>VF55</v>
      </c>
      <c r="D185" s="179" t="s">
        <v>38</v>
      </c>
      <c r="E185" s="182" t="s">
        <v>23</v>
      </c>
      <c r="F185" s="186">
        <v>56</v>
      </c>
      <c r="G185" s="180"/>
      <c r="H185" s="181">
        <v>22835</v>
      </c>
      <c r="I185" s="4"/>
      <c r="J185" s="4"/>
      <c r="K185" s="7" t="str">
        <f t="shared" si="17"/>
        <v/>
      </c>
      <c r="L185" s="8" t="str">
        <f t="shared" si="19"/>
        <v>Josy Hughes</v>
      </c>
      <c r="M185" s="8" t="str">
        <f t="shared" si="20"/>
        <v>VF55</v>
      </c>
      <c r="N185" s="8" t="str">
        <f t="shared" si="21"/>
        <v>Havering 90 Joggers</v>
      </c>
      <c r="O185" s="8" t="str">
        <f t="shared" si="22"/>
        <v>F</v>
      </c>
      <c r="P185" s="9">
        <f t="shared" si="23"/>
        <v>0</v>
      </c>
      <c r="Q185"/>
      <c r="R185"/>
      <c r="S185"/>
    </row>
    <row r="186" spans="1:19" ht="16.5" thickBot="1" x14ac:dyDescent="0.3">
      <c r="A186" s="175">
        <v>354</v>
      </c>
      <c r="B186" s="170" t="s">
        <v>1769</v>
      </c>
      <c r="C186" s="1" t="str">
        <f t="shared" si="18"/>
        <v>VF45</v>
      </c>
      <c r="D186" s="179" t="s">
        <v>63</v>
      </c>
      <c r="E186" s="182" t="s">
        <v>23</v>
      </c>
      <c r="F186" s="186">
        <v>50</v>
      </c>
      <c r="G186" s="180"/>
      <c r="H186" s="181">
        <v>24777</v>
      </c>
      <c r="I186" s="4"/>
      <c r="J186" s="4"/>
      <c r="K186" s="7" t="str">
        <f t="shared" si="17"/>
        <v/>
      </c>
      <c r="L186" s="8" t="str">
        <f t="shared" si="19"/>
        <v>Joanna Dorling</v>
      </c>
      <c r="M186" s="8" t="str">
        <f t="shared" si="20"/>
        <v>VF45</v>
      </c>
      <c r="N186" s="8" t="str">
        <f t="shared" si="21"/>
        <v>East End Road Runners</v>
      </c>
      <c r="O186" s="8" t="str">
        <f t="shared" si="22"/>
        <v>F</v>
      </c>
      <c r="P186" s="9">
        <f t="shared" si="23"/>
        <v>0</v>
      </c>
      <c r="Q186"/>
      <c r="R186"/>
      <c r="S186"/>
    </row>
    <row r="187" spans="1:19" ht="16.5" thickBot="1" x14ac:dyDescent="0.3">
      <c r="A187" s="175">
        <v>355</v>
      </c>
      <c r="B187" s="170" t="s">
        <v>1762</v>
      </c>
      <c r="C187" s="1" t="str">
        <f t="shared" si="18"/>
        <v>VM50</v>
      </c>
      <c r="D187" s="188" t="s">
        <v>108</v>
      </c>
      <c r="E187" s="182" t="s">
        <v>24</v>
      </c>
      <c r="F187" s="186">
        <v>59</v>
      </c>
      <c r="G187" s="180"/>
      <c r="H187" s="181">
        <v>21688</v>
      </c>
      <c r="I187" s="4"/>
      <c r="J187" s="4"/>
      <c r="K187" s="7" t="str">
        <f t="shared" si="17"/>
        <v/>
      </c>
      <c r="L187" s="8" t="str">
        <f t="shared" si="19"/>
        <v>Alan Pearl</v>
      </c>
      <c r="M187" s="8" t="str">
        <f t="shared" si="20"/>
        <v>VM50</v>
      </c>
      <c r="N187" s="8" t="str">
        <f t="shared" si="21"/>
        <v>Ilford AC</v>
      </c>
      <c r="O187" s="8" t="str">
        <f t="shared" si="22"/>
        <v>M</v>
      </c>
      <c r="P187" s="9">
        <f t="shared" si="23"/>
        <v>0</v>
      </c>
      <c r="Q187"/>
      <c r="R187"/>
      <c r="S187"/>
    </row>
    <row r="188" spans="1:19" ht="16.5" thickBot="1" x14ac:dyDescent="0.3">
      <c r="A188" s="175">
        <v>356</v>
      </c>
      <c r="B188" s="170" t="s">
        <v>2736</v>
      </c>
      <c r="C188" s="1" t="str">
        <f t="shared" si="18"/>
        <v>VM60</v>
      </c>
      <c r="D188" s="179" t="s">
        <v>108</v>
      </c>
      <c r="E188" s="182" t="s">
        <v>24</v>
      </c>
      <c r="F188" s="186">
        <v>63</v>
      </c>
      <c r="G188" s="180"/>
      <c r="H188" s="181">
        <v>20000</v>
      </c>
      <c r="I188" s="4"/>
      <c r="J188" s="4"/>
      <c r="K188" s="7" t="str">
        <f t="shared" si="17"/>
        <v/>
      </c>
      <c r="L188" s="8" t="str">
        <f t="shared" si="19"/>
        <v>ernest forsyth</v>
      </c>
      <c r="M188" s="8" t="str">
        <f t="shared" si="20"/>
        <v>VM60</v>
      </c>
      <c r="N188" s="8" t="str">
        <f t="shared" si="21"/>
        <v>Ilford AC</v>
      </c>
      <c r="O188" s="8" t="str">
        <f t="shared" si="22"/>
        <v>M</v>
      </c>
      <c r="P188" s="9">
        <f t="shared" si="23"/>
        <v>0</v>
      </c>
      <c r="Q188"/>
      <c r="R188"/>
      <c r="S188"/>
    </row>
    <row r="189" spans="1:19" ht="16.5" thickBot="1" x14ac:dyDescent="0.3">
      <c r="A189" s="175">
        <v>357</v>
      </c>
      <c r="B189" s="170" t="s">
        <v>196</v>
      </c>
      <c r="C189" s="1" t="str">
        <f t="shared" si="18"/>
        <v>VM50</v>
      </c>
      <c r="D189" s="179" t="s">
        <v>108</v>
      </c>
      <c r="E189" s="182" t="s">
        <v>24</v>
      </c>
      <c r="F189" s="186">
        <v>58</v>
      </c>
      <c r="G189" s="180"/>
      <c r="H189" s="181">
        <v>22076</v>
      </c>
      <c r="I189" s="4"/>
      <c r="J189" s="4"/>
      <c r="K189" s="7" t="str">
        <f t="shared" si="17"/>
        <v/>
      </c>
      <c r="L189" s="8" t="str">
        <f t="shared" si="19"/>
        <v>Stephen Cheal</v>
      </c>
      <c r="M189" s="8" t="str">
        <f t="shared" si="20"/>
        <v>VM50</v>
      </c>
      <c r="N189" s="8" t="str">
        <f t="shared" si="21"/>
        <v>Ilford AC</v>
      </c>
      <c r="O189" s="8" t="str">
        <f t="shared" si="22"/>
        <v>M</v>
      </c>
      <c r="P189" s="9">
        <f t="shared" si="23"/>
        <v>0</v>
      </c>
      <c r="Q189"/>
      <c r="R189"/>
      <c r="S189"/>
    </row>
    <row r="190" spans="1:19" ht="16.5" thickBot="1" x14ac:dyDescent="0.3">
      <c r="A190" s="175">
        <v>358</v>
      </c>
      <c r="B190" s="170" t="s">
        <v>509</v>
      </c>
      <c r="C190" s="1" t="str">
        <f t="shared" si="18"/>
        <v>VF55</v>
      </c>
      <c r="D190" s="188" t="s">
        <v>154</v>
      </c>
      <c r="E190" s="182" t="s">
        <v>23</v>
      </c>
      <c r="F190" s="186">
        <v>60</v>
      </c>
      <c r="G190" s="180"/>
      <c r="H190" s="181">
        <v>21261</v>
      </c>
      <c r="I190" s="4"/>
      <c r="J190" s="4"/>
      <c r="K190" s="7" t="str">
        <f t="shared" si="17"/>
        <v/>
      </c>
      <c r="L190" s="8" t="str">
        <f t="shared" si="19"/>
        <v>Christina Watson</v>
      </c>
      <c r="M190" s="8" t="str">
        <f t="shared" si="20"/>
        <v>VF55</v>
      </c>
      <c r="N190" s="8" t="str">
        <f t="shared" si="21"/>
        <v>Eton Manor AC</v>
      </c>
      <c r="O190" s="8" t="str">
        <f t="shared" si="22"/>
        <v>F</v>
      </c>
      <c r="P190" s="9">
        <f t="shared" si="23"/>
        <v>0</v>
      </c>
      <c r="Q190"/>
      <c r="R190"/>
      <c r="S190"/>
    </row>
    <row r="191" spans="1:19" ht="16.5" thickBot="1" x14ac:dyDescent="0.3">
      <c r="A191" s="175">
        <v>359</v>
      </c>
      <c r="B191" s="170" t="s">
        <v>179</v>
      </c>
      <c r="C191" s="1" t="str">
        <f t="shared" si="18"/>
        <v>VF45</v>
      </c>
      <c r="D191" s="179" t="s">
        <v>12</v>
      </c>
      <c r="E191" s="182" t="s">
        <v>23</v>
      </c>
      <c r="F191" s="186">
        <v>49</v>
      </c>
      <c r="G191" s="180"/>
      <c r="H191" s="181">
        <v>25400</v>
      </c>
      <c r="I191" s="4"/>
      <c r="J191" s="4"/>
      <c r="K191" s="7" t="str">
        <f t="shared" ref="K191:K254" si="24">IF(ISERROR(CONCATENATE(LEFT(L191,3),MID(L191,(FIND(",",L191)+2),3))),"",CONCATENATE(LEFT(L191,3),MID(L191,(FIND(",",L191)+2),3)))</f>
        <v/>
      </c>
      <c r="L191" s="8" t="str">
        <f t="shared" si="19"/>
        <v>Diana Rexhepaj</v>
      </c>
      <c r="M191" s="8" t="str">
        <f t="shared" si="20"/>
        <v>VF45</v>
      </c>
      <c r="N191" s="8" t="str">
        <f t="shared" si="21"/>
        <v>East London Runners</v>
      </c>
      <c r="O191" s="8" t="str">
        <f t="shared" si="22"/>
        <v>F</v>
      </c>
      <c r="P191" s="9">
        <f t="shared" si="23"/>
        <v>0</v>
      </c>
      <c r="Q191"/>
      <c r="R191"/>
      <c r="S191"/>
    </row>
    <row r="192" spans="1:19" ht="16.5" thickBot="1" x14ac:dyDescent="0.3">
      <c r="A192" s="175">
        <v>360</v>
      </c>
      <c r="B192" s="170" t="s">
        <v>2436</v>
      </c>
      <c r="C192" s="1" t="str">
        <f t="shared" si="18"/>
        <v>VM60</v>
      </c>
      <c r="D192" s="179" t="s">
        <v>154</v>
      </c>
      <c r="E192" s="182" t="s">
        <v>24</v>
      </c>
      <c r="F192" s="186">
        <v>64</v>
      </c>
      <c r="G192" s="180"/>
      <c r="H192" s="181">
        <v>19612</v>
      </c>
      <c r="I192" s="4"/>
      <c r="J192" s="4"/>
      <c r="K192" s="7" t="str">
        <f t="shared" si="24"/>
        <v/>
      </c>
      <c r="L192" s="8" t="str">
        <f t="shared" si="19"/>
        <v>geoffrey nicholls</v>
      </c>
      <c r="M192" s="8" t="str">
        <f t="shared" si="20"/>
        <v>VM60</v>
      </c>
      <c r="N192" s="8" t="str">
        <f t="shared" si="21"/>
        <v>Eton Manor AC</v>
      </c>
      <c r="O192" s="8" t="str">
        <f t="shared" si="22"/>
        <v>M</v>
      </c>
      <c r="P192" s="9">
        <f t="shared" si="23"/>
        <v>0</v>
      </c>
      <c r="Q192"/>
      <c r="R192"/>
      <c r="S192"/>
    </row>
    <row r="193" spans="1:19" ht="16.5" thickBot="1" x14ac:dyDescent="0.3">
      <c r="A193" s="175">
        <v>361</v>
      </c>
      <c r="B193" s="170" t="s">
        <v>1081</v>
      </c>
      <c r="C193" s="1" t="str">
        <f t="shared" si="18"/>
        <v>VM70</v>
      </c>
      <c r="D193" s="179" t="s">
        <v>108</v>
      </c>
      <c r="E193" s="182" t="s">
        <v>24</v>
      </c>
      <c r="F193" s="186">
        <v>71</v>
      </c>
      <c r="G193" s="180"/>
      <c r="H193" s="181">
        <v>17321</v>
      </c>
      <c r="I193" s="4"/>
      <c r="J193" s="4"/>
      <c r="K193" s="7" t="str">
        <f t="shared" si="24"/>
        <v/>
      </c>
      <c r="L193" s="8" t="str">
        <f t="shared" si="19"/>
        <v>James Huddart</v>
      </c>
      <c r="M193" s="8" t="str">
        <f t="shared" si="20"/>
        <v>VM70</v>
      </c>
      <c r="N193" s="8" t="str">
        <f t="shared" si="21"/>
        <v>Ilford AC</v>
      </c>
      <c r="O193" s="8" t="str">
        <f t="shared" si="22"/>
        <v>M</v>
      </c>
      <c r="P193" s="9">
        <f t="shared" si="23"/>
        <v>0</v>
      </c>
      <c r="Q193"/>
      <c r="R193"/>
      <c r="S193"/>
    </row>
    <row r="194" spans="1:19" ht="16.5" thickBot="1" x14ac:dyDescent="0.3">
      <c r="A194" s="175">
        <v>362</v>
      </c>
      <c r="B194" s="170" t="s">
        <v>1928</v>
      </c>
      <c r="C194" s="1" t="str">
        <f t="shared" ref="C194:C257" si="25">IF(AND(E194="M",F194&lt;&gt;""),LOOKUP(F194,$Q$1:$Q$100,$R$1:$R$100),IF(AND(E194="F",F194&lt;&gt;""),LOOKUP(F194,$Q$1:$Q$100,$S$1:$S$100),""))</f>
        <v>VF55</v>
      </c>
      <c r="D194" s="179" t="s">
        <v>154</v>
      </c>
      <c r="E194" s="182" t="s">
        <v>23</v>
      </c>
      <c r="F194" s="186">
        <v>64</v>
      </c>
      <c r="G194" s="180"/>
      <c r="H194" s="181">
        <v>19713</v>
      </c>
      <c r="I194" s="4"/>
      <c r="J194" s="4"/>
      <c r="K194" s="7" t="str">
        <f t="shared" si="24"/>
        <v/>
      </c>
      <c r="L194" s="8" t="str">
        <f t="shared" ref="L194:L257" si="26">IF(LEN(B194)&lt;1,"",B194)</f>
        <v>Gail Hennessy</v>
      </c>
      <c r="M194" s="8" t="str">
        <f t="shared" ref="M194:M257" si="27">IF(LEN(C194)&lt;1,"",C194)</f>
        <v>VF55</v>
      </c>
      <c r="N194" s="8" t="str">
        <f t="shared" ref="N194:N257" si="28">D194</f>
        <v>Eton Manor AC</v>
      </c>
      <c r="O194" s="8" t="str">
        <f t="shared" ref="O194:O257" si="29">E194</f>
        <v>F</v>
      </c>
      <c r="P194" s="9">
        <f t="shared" ref="P194:P257" si="30">G194</f>
        <v>0</v>
      </c>
      <c r="Q194"/>
      <c r="R194"/>
      <c r="S194"/>
    </row>
    <row r="195" spans="1:19" ht="16.5" thickBot="1" x14ac:dyDescent="0.3">
      <c r="A195" s="175">
        <v>363</v>
      </c>
      <c r="B195" s="170" t="s">
        <v>2194</v>
      </c>
      <c r="C195" s="1" t="str">
        <f t="shared" si="25"/>
        <v>SM</v>
      </c>
      <c r="D195" s="179" t="s">
        <v>63</v>
      </c>
      <c r="E195" s="182" t="s">
        <v>24</v>
      </c>
      <c r="F195" s="186">
        <v>25</v>
      </c>
      <c r="G195" s="180"/>
      <c r="H195" s="181">
        <v>34046</v>
      </c>
      <c r="I195" s="4"/>
      <c r="J195" s="4"/>
      <c r="K195" s="7" t="str">
        <f t="shared" si="24"/>
        <v/>
      </c>
      <c r="L195" s="8" t="str">
        <f t="shared" si="26"/>
        <v>Jimmi Lee</v>
      </c>
      <c r="M195" s="8" t="str">
        <f t="shared" si="27"/>
        <v>SM</v>
      </c>
      <c r="N195" s="8" t="str">
        <f t="shared" si="28"/>
        <v>East End Road Runners</v>
      </c>
      <c r="O195" s="8" t="str">
        <f t="shared" si="29"/>
        <v>M</v>
      </c>
      <c r="P195" s="9">
        <f t="shared" si="30"/>
        <v>0</v>
      </c>
      <c r="Q195"/>
      <c r="R195"/>
      <c r="S195"/>
    </row>
    <row r="196" spans="1:19" ht="16.5" thickBot="1" x14ac:dyDescent="0.3">
      <c r="A196" s="175">
        <v>364</v>
      </c>
      <c r="B196" s="170" t="s">
        <v>2737</v>
      </c>
      <c r="C196" s="1" t="str">
        <f t="shared" si="25"/>
        <v>VF55</v>
      </c>
      <c r="D196" s="179" t="s">
        <v>154</v>
      </c>
      <c r="E196" s="182" t="s">
        <v>23</v>
      </c>
      <c r="F196" s="186">
        <v>58</v>
      </c>
      <c r="G196" s="180"/>
      <c r="H196" s="181">
        <v>21959</v>
      </c>
      <c r="I196" s="4"/>
      <c r="J196" s="4"/>
      <c r="K196" s="7" t="str">
        <f t="shared" si="24"/>
        <v/>
      </c>
      <c r="L196" s="8" t="str">
        <f t="shared" si="26"/>
        <v>Joy McCormack</v>
      </c>
      <c r="M196" s="8" t="str">
        <f t="shared" si="27"/>
        <v>VF55</v>
      </c>
      <c r="N196" s="8" t="str">
        <f t="shared" si="28"/>
        <v>Eton Manor AC</v>
      </c>
      <c r="O196" s="8" t="str">
        <f t="shared" si="29"/>
        <v>F</v>
      </c>
      <c r="P196" s="9">
        <f t="shared" si="30"/>
        <v>0</v>
      </c>
      <c r="Q196"/>
      <c r="R196"/>
      <c r="S196"/>
    </row>
    <row r="197" spans="1:19" ht="16.5" thickBot="1" x14ac:dyDescent="0.3">
      <c r="A197" s="175">
        <v>365</v>
      </c>
      <c r="B197" s="170" t="s">
        <v>1883</v>
      </c>
      <c r="C197" s="1" t="str">
        <f t="shared" si="25"/>
        <v>VF35</v>
      </c>
      <c r="D197" s="179" t="s">
        <v>154</v>
      </c>
      <c r="E197" s="182" t="s">
        <v>23</v>
      </c>
      <c r="F197" s="186">
        <v>39</v>
      </c>
      <c r="G197" s="180"/>
      <c r="H197" s="181">
        <v>28926</v>
      </c>
      <c r="I197" s="4"/>
      <c r="J197" s="4"/>
      <c r="K197" s="7" t="str">
        <f t="shared" si="24"/>
        <v/>
      </c>
      <c r="L197" s="8" t="str">
        <f t="shared" si="26"/>
        <v>Jennifer Heymann</v>
      </c>
      <c r="M197" s="8" t="str">
        <f t="shared" si="27"/>
        <v>VF35</v>
      </c>
      <c r="N197" s="8" t="str">
        <f t="shared" si="28"/>
        <v>Eton Manor AC</v>
      </c>
      <c r="O197" s="8" t="str">
        <f t="shared" si="29"/>
        <v>F</v>
      </c>
      <c r="P197" s="9">
        <f t="shared" si="30"/>
        <v>0</v>
      </c>
      <c r="Q197"/>
      <c r="R197"/>
      <c r="S197"/>
    </row>
    <row r="198" spans="1:19" ht="16.5" thickBot="1" x14ac:dyDescent="0.3">
      <c r="A198" s="175">
        <v>366</v>
      </c>
      <c r="B198" s="170" t="s">
        <v>872</v>
      </c>
      <c r="C198" s="1" t="str">
        <f t="shared" si="25"/>
        <v>VM50</v>
      </c>
      <c r="D198" s="179" t="s">
        <v>155</v>
      </c>
      <c r="E198" s="182" t="s">
        <v>24</v>
      </c>
      <c r="F198" s="186">
        <v>53</v>
      </c>
      <c r="G198" s="180"/>
      <c r="H198" s="181">
        <v>23680</v>
      </c>
      <c r="I198" s="4"/>
      <c r="J198" s="4"/>
      <c r="K198" s="7" t="str">
        <f t="shared" si="24"/>
        <v/>
      </c>
      <c r="L198" s="8" t="str">
        <f t="shared" si="26"/>
        <v>Tony Woodgate</v>
      </c>
      <c r="M198" s="8" t="str">
        <f t="shared" si="27"/>
        <v>VM50</v>
      </c>
      <c r="N198" s="8" t="str">
        <f t="shared" si="28"/>
        <v>Dagenham 88 Runners</v>
      </c>
      <c r="O198" s="8" t="str">
        <f t="shared" si="29"/>
        <v>M</v>
      </c>
      <c r="P198" s="9">
        <f t="shared" si="30"/>
        <v>0</v>
      </c>
      <c r="Q198"/>
      <c r="R198"/>
      <c r="S198"/>
    </row>
    <row r="199" spans="1:19" ht="16.5" thickBot="1" x14ac:dyDescent="0.3">
      <c r="A199" s="175">
        <v>367</v>
      </c>
      <c r="B199" s="170" t="s">
        <v>1738</v>
      </c>
      <c r="C199" s="1" t="str">
        <f t="shared" si="25"/>
        <v>SF</v>
      </c>
      <c r="D199" s="188" t="s">
        <v>155</v>
      </c>
      <c r="E199" s="182" t="s">
        <v>23</v>
      </c>
      <c r="F199" s="186">
        <v>23</v>
      </c>
      <c r="G199" s="180"/>
      <c r="H199" s="181">
        <v>34588</v>
      </c>
      <c r="I199" s="4"/>
      <c r="J199" s="4"/>
      <c r="K199" s="7" t="str">
        <f t="shared" si="24"/>
        <v/>
      </c>
      <c r="L199" s="8" t="str">
        <f t="shared" si="26"/>
        <v>Kirstie Woodgate</v>
      </c>
      <c r="M199" s="8" t="str">
        <f t="shared" si="27"/>
        <v>SF</v>
      </c>
      <c r="N199" s="8" t="str">
        <f t="shared" si="28"/>
        <v>Dagenham 88 Runners</v>
      </c>
      <c r="O199" s="8" t="str">
        <f t="shared" si="29"/>
        <v>F</v>
      </c>
      <c r="P199" s="9">
        <f t="shared" si="30"/>
        <v>0</v>
      </c>
      <c r="Q199"/>
      <c r="R199"/>
      <c r="S199"/>
    </row>
    <row r="200" spans="1:19" ht="16.5" thickBot="1" x14ac:dyDescent="0.3">
      <c r="A200" s="175">
        <v>368</v>
      </c>
      <c r="B200" s="170" t="s">
        <v>2738</v>
      </c>
      <c r="C200" s="1" t="str">
        <f t="shared" si="25"/>
        <v>VM40</v>
      </c>
      <c r="D200" s="179" t="s">
        <v>12</v>
      </c>
      <c r="E200" s="182" t="s">
        <v>24</v>
      </c>
      <c r="F200" s="186">
        <v>46</v>
      </c>
      <c r="G200" s="180"/>
      <c r="H200" s="181">
        <v>26488</v>
      </c>
      <c r="I200" s="4"/>
      <c r="J200" s="4"/>
      <c r="K200" s="7" t="str">
        <f t="shared" si="24"/>
        <v/>
      </c>
      <c r="L200" s="8" t="str">
        <f t="shared" si="26"/>
        <v>Alain Fieulaine</v>
      </c>
      <c r="M200" s="8" t="str">
        <f t="shared" si="27"/>
        <v>VM40</v>
      </c>
      <c r="N200" s="8" t="str">
        <f t="shared" si="28"/>
        <v>East London Runners</v>
      </c>
      <c r="O200" s="8" t="str">
        <f t="shared" si="29"/>
        <v>M</v>
      </c>
      <c r="P200" s="9">
        <f t="shared" si="30"/>
        <v>0</v>
      </c>
      <c r="Q200"/>
      <c r="R200"/>
      <c r="S200"/>
    </row>
    <row r="201" spans="1:19" ht="16.5" thickBot="1" x14ac:dyDescent="0.3">
      <c r="A201" s="175">
        <v>369</v>
      </c>
      <c r="B201" s="170" t="s">
        <v>456</v>
      </c>
      <c r="C201" s="1" t="str">
        <f t="shared" si="25"/>
        <v>VM60</v>
      </c>
      <c r="D201" s="188" t="s">
        <v>154</v>
      </c>
      <c r="E201" s="182" t="s">
        <v>24</v>
      </c>
      <c r="F201" s="186">
        <v>61</v>
      </c>
      <c r="G201" s="180"/>
      <c r="H201" s="181">
        <v>20966</v>
      </c>
      <c r="I201" s="4"/>
      <c r="J201" s="4"/>
      <c r="K201" s="7" t="str">
        <f t="shared" si="24"/>
        <v/>
      </c>
      <c r="L201" s="8" t="str">
        <f t="shared" si="26"/>
        <v>Gabriel Ellenberg</v>
      </c>
      <c r="M201" s="8" t="str">
        <f t="shared" si="27"/>
        <v>VM60</v>
      </c>
      <c r="N201" s="8" t="str">
        <f t="shared" si="28"/>
        <v>Eton Manor AC</v>
      </c>
      <c r="O201" s="8" t="str">
        <f t="shared" si="29"/>
        <v>M</v>
      </c>
      <c r="P201" s="9">
        <f t="shared" si="30"/>
        <v>0</v>
      </c>
      <c r="Q201"/>
      <c r="R201"/>
      <c r="S201"/>
    </row>
    <row r="202" spans="1:19" ht="16.5" thickBot="1" x14ac:dyDescent="0.3">
      <c r="A202" s="175">
        <v>370</v>
      </c>
      <c r="B202" s="170" t="s">
        <v>366</v>
      </c>
      <c r="C202" s="1" t="str">
        <f t="shared" si="25"/>
        <v>VM40</v>
      </c>
      <c r="D202" s="179" t="s">
        <v>12</v>
      </c>
      <c r="E202" s="182" t="s">
        <v>24</v>
      </c>
      <c r="F202" s="186">
        <v>49</v>
      </c>
      <c r="G202" s="180"/>
      <c r="H202" s="181">
        <v>25171</v>
      </c>
      <c r="I202" s="4"/>
      <c r="J202" s="4"/>
      <c r="K202" s="7" t="str">
        <f t="shared" si="24"/>
        <v/>
      </c>
      <c r="L202" s="8" t="str">
        <f t="shared" si="26"/>
        <v>Andrew Baxter</v>
      </c>
      <c r="M202" s="8" t="str">
        <f t="shared" si="27"/>
        <v>VM40</v>
      </c>
      <c r="N202" s="8" t="str">
        <f t="shared" si="28"/>
        <v>East London Runners</v>
      </c>
      <c r="O202" s="8" t="str">
        <f t="shared" si="29"/>
        <v>M</v>
      </c>
      <c r="P202" s="9">
        <f t="shared" si="30"/>
        <v>0</v>
      </c>
      <c r="Q202"/>
      <c r="R202"/>
      <c r="S202"/>
    </row>
    <row r="203" spans="1:19" ht="16.5" thickBot="1" x14ac:dyDescent="0.3">
      <c r="A203" s="175">
        <v>371</v>
      </c>
      <c r="B203" s="170" t="s">
        <v>1496</v>
      </c>
      <c r="C203" s="1" t="str">
        <f t="shared" si="25"/>
        <v>VM50</v>
      </c>
      <c r="D203" s="179" t="s">
        <v>108</v>
      </c>
      <c r="E203" s="180" t="s">
        <v>24</v>
      </c>
      <c r="F203" s="186">
        <v>53</v>
      </c>
      <c r="G203" s="180"/>
      <c r="H203" s="181">
        <v>23863</v>
      </c>
      <c r="I203" s="4"/>
      <c r="J203" s="4"/>
      <c r="K203" s="7" t="str">
        <f t="shared" si="24"/>
        <v/>
      </c>
      <c r="L203" s="8" t="str">
        <f t="shared" si="26"/>
        <v>Anthony Young</v>
      </c>
      <c r="M203" s="8" t="str">
        <f t="shared" si="27"/>
        <v>VM50</v>
      </c>
      <c r="N203" s="8" t="str">
        <f t="shared" si="28"/>
        <v>Ilford AC</v>
      </c>
      <c r="O203" s="8" t="str">
        <f t="shared" si="29"/>
        <v>M</v>
      </c>
      <c r="P203" s="9">
        <f t="shared" si="30"/>
        <v>0</v>
      </c>
      <c r="Q203"/>
      <c r="R203"/>
      <c r="S203"/>
    </row>
    <row r="204" spans="1:19" ht="16.5" thickBot="1" x14ac:dyDescent="0.3">
      <c r="A204" s="175">
        <v>372</v>
      </c>
      <c r="B204" s="170" t="s">
        <v>2015</v>
      </c>
      <c r="C204" s="1" t="str">
        <f t="shared" si="25"/>
        <v>VF45</v>
      </c>
      <c r="D204" s="188" t="s">
        <v>154</v>
      </c>
      <c r="E204" s="182" t="s">
        <v>23</v>
      </c>
      <c r="F204" s="186">
        <v>54</v>
      </c>
      <c r="G204" s="180"/>
      <c r="H204" s="181">
        <v>23290</v>
      </c>
      <c r="I204" s="4"/>
      <c r="J204" s="4"/>
      <c r="K204" s="7" t="str">
        <f t="shared" si="24"/>
        <v/>
      </c>
      <c r="L204" s="8" t="str">
        <f t="shared" si="26"/>
        <v>Ali Sheppard</v>
      </c>
      <c r="M204" s="8" t="str">
        <f t="shared" si="27"/>
        <v>VF45</v>
      </c>
      <c r="N204" s="8" t="str">
        <f t="shared" si="28"/>
        <v>Eton Manor AC</v>
      </c>
      <c r="O204" s="8" t="str">
        <f t="shared" si="29"/>
        <v>F</v>
      </c>
      <c r="P204" s="9">
        <f t="shared" si="30"/>
        <v>0</v>
      </c>
      <c r="Q204"/>
      <c r="R204"/>
      <c r="S204"/>
    </row>
    <row r="205" spans="1:19" ht="16.5" thickBot="1" x14ac:dyDescent="0.3">
      <c r="A205" s="175">
        <v>373</v>
      </c>
      <c r="B205" s="170" t="s">
        <v>928</v>
      </c>
      <c r="C205" s="1" t="str">
        <f t="shared" si="25"/>
        <v>SM</v>
      </c>
      <c r="D205" s="179" t="s">
        <v>12</v>
      </c>
      <c r="E205" s="182" t="s">
        <v>24</v>
      </c>
      <c r="F205" s="186">
        <v>34</v>
      </c>
      <c r="G205" s="180"/>
      <c r="H205" s="181">
        <v>30830</v>
      </c>
      <c r="I205" s="4"/>
      <c r="J205" s="4"/>
      <c r="K205" s="7" t="str">
        <f t="shared" si="24"/>
        <v/>
      </c>
      <c r="L205" s="8" t="str">
        <f t="shared" si="26"/>
        <v>Paul Marshall</v>
      </c>
      <c r="M205" s="8" t="str">
        <f t="shared" si="27"/>
        <v>SM</v>
      </c>
      <c r="N205" s="8" t="str">
        <f t="shared" si="28"/>
        <v>East London Runners</v>
      </c>
      <c r="O205" s="8" t="str">
        <f t="shared" si="29"/>
        <v>M</v>
      </c>
      <c r="P205" s="9">
        <f t="shared" si="30"/>
        <v>0</v>
      </c>
      <c r="Q205"/>
      <c r="R205"/>
      <c r="S205"/>
    </row>
    <row r="206" spans="1:19" ht="16.5" thickBot="1" x14ac:dyDescent="0.3">
      <c r="A206" s="175">
        <v>374</v>
      </c>
      <c r="B206" s="170" t="s">
        <v>411</v>
      </c>
      <c r="C206" s="1" t="str">
        <f t="shared" si="25"/>
        <v>SM</v>
      </c>
      <c r="D206" s="179" t="s">
        <v>12</v>
      </c>
      <c r="E206" s="182" t="s">
        <v>24</v>
      </c>
      <c r="F206" s="186">
        <v>32</v>
      </c>
      <c r="G206" s="180"/>
      <c r="H206" s="181">
        <v>31478</v>
      </c>
      <c r="I206" s="4"/>
      <c r="J206" s="4"/>
      <c r="K206" s="7" t="str">
        <f t="shared" si="24"/>
        <v/>
      </c>
      <c r="L206" s="8" t="str">
        <f t="shared" si="26"/>
        <v>Shahib Ali</v>
      </c>
      <c r="M206" s="8" t="str">
        <f t="shared" si="27"/>
        <v>SM</v>
      </c>
      <c r="N206" s="8" t="str">
        <f t="shared" si="28"/>
        <v>East London Runners</v>
      </c>
      <c r="O206" s="8" t="str">
        <f t="shared" si="29"/>
        <v>M</v>
      </c>
      <c r="P206" s="9">
        <f t="shared" si="30"/>
        <v>0</v>
      </c>
      <c r="Q206"/>
      <c r="R206"/>
      <c r="S206"/>
    </row>
    <row r="207" spans="1:19" ht="16.5" thickBot="1" x14ac:dyDescent="0.3">
      <c r="A207" s="175">
        <v>375</v>
      </c>
      <c r="B207" s="170" t="s">
        <v>211</v>
      </c>
      <c r="C207" s="1" t="str">
        <f t="shared" si="25"/>
        <v>VM40</v>
      </c>
      <c r="D207" s="179" t="s">
        <v>38</v>
      </c>
      <c r="E207" s="182" t="s">
        <v>24</v>
      </c>
      <c r="F207" s="186">
        <v>44</v>
      </c>
      <c r="G207" s="180"/>
      <c r="H207" s="181">
        <v>26981</v>
      </c>
      <c r="I207" s="4"/>
      <c r="J207" s="4"/>
      <c r="K207" s="7" t="str">
        <f t="shared" si="24"/>
        <v/>
      </c>
      <c r="L207" s="8" t="str">
        <f t="shared" si="26"/>
        <v>Brian Parish</v>
      </c>
      <c r="M207" s="8" t="str">
        <f t="shared" si="27"/>
        <v>VM40</v>
      </c>
      <c r="N207" s="8" t="str">
        <f t="shared" si="28"/>
        <v>Havering 90 Joggers</v>
      </c>
      <c r="O207" s="8" t="str">
        <f t="shared" si="29"/>
        <v>M</v>
      </c>
      <c r="P207" s="9">
        <f t="shared" si="30"/>
        <v>0</v>
      </c>
      <c r="Q207"/>
      <c r="R207"/>
      <c r="S207"/>
    </row>
    <row r="208" spans="1:19" ht="16.5" thickBot="1" x14ac:dyDescent="0.3">
      <c r="A208" s="175">
        <v>376</v>
      </c>
      <c r="B208" s="170" t="s">
        <v>311</v>
      </c>
      <c r="C208" s="1" t="str">
        <f t="shared" si="25"/>
        <v>VM40</v>
      </c>
      <c r="D208" s="179" t="s">
        <v>154</v>
      </c>
      <c r="E208" s="182" t="s">
        <v>24</v>
      </c>
      <c r="F208" s="186">
        <v>41</v>
      </c>
      <c r="G208" s="180"/>
      <c r="H208" s="181">
        <v>28283</v>
      </c>
      <c r="I208" s="4"/>
      <c r="J208" s="4"/>
      <c r="K208" s="7" t="str">
        <f t="shared" si="24"/>
        <v/>
      </c>
      <c r="L208" s="8" t="str">
        <f t="shared" si="26"/>
        <v>Paul Boddey</v>
      </c>
      <c r="M208" s="8" t="str">
        <f t="shared" si="27"/>
        <v>VM40</v>
      </c>
      <c r="N208" s="8" t="str">
        <f t="shared" si="28"/>
        <v>Eton Manor AC</v>
      </c>
      <c r="O208" s="8" t="str">
        <f t="shared" si="29"/>
        <v>M</v>
      </c>
      <c r="P208" s="9">
        <f t="shared" si="30"/>
        <v>0</v>
      </c>
      <c r="Q208"/>
      <c r="R208"/>
      <c r="S208"/>
    </row>
    <row r="209" spans="1:19" ht="16.5" thickBot="1" x14ac:dyDescent="0.3">
      <c r="A209" s="175">
        <v>377</v>
      </c>
      <c r="B209" s="170" t="s">
        <v>2323</v>
      </c>
      <c r="C209" s="1" t="str">
        <f t="shared" si="25"/>
        <v>SM</v>
      </c>
      <c r="D209" s="179" t="s">
        <v>155</v>
      </c>
      <c r="E209" s="180" t="s">
        <v>24</v>
      </c>
      <c r="F209" s="186">
        <v>39</v>
      </c>
      <c r="G209" s="180"/>
      <c r="H209" s="181">
        <v>29008</v>
      </c>
      <c r="I209" s="4"/>
      <c r="J209" s="4"/>
      <c r="K209" s="7" t="str">
        <f t="shared" si="24"/>
        <v/>
      </c>
      <c r="L209" s="8" t="str">
        <f t="shared" si="26"/>
        <v>Billy Walkington</v>
      </c>
      <c r="M209" s="8" t="str">
        <f t="shared" si="27"/>
        <v>SM</v>
      </c>
      <c r="N209" s="8" t="str">
        <f t="shared" si="28"/>
        <v>Dagenham 88 Runners</v>
      </c>
      <c r="O209" s="8" t="str">
        <f t="shared" si="29"/>
        <v>M</v>
      </c>
      <c r="P209" s="9">
        <f t="shared" si="30"/>
        <v>0</v>
      </c>
      <c r="Q209"/>
      <c r="R209"/>
      <c r="S209"/>
    </row>
    <row r="210" spans="1:19" ht="16.5" thickBot="1" x14ac:dyDescent="0.3">
      <c r="A210" s="175">
        <v>378</v>
      </c>
      <c r="B210" s="170" t="s">
        <v>2216</v>
      </c>
      <c r="C210" s="1" t="str">
        <f t="shared" si="25"/>
        <v>SF</v>
      </c>
      <c r="D210" s="179" t="s">
        <v>1805</v>
      </c>
      <c r="E210" s="182" t="s">
        <v>23</v>
      </c>
      <c r="F210" s="186">
        <v>27</v>
      </c>
      <c r="G210" s="180"/>
      <c r="H210" s="181">
        <v>33320</v>
      </c>
      <c r="I210" s="4"/>
      <c r="J210" s="4"/>
      <c r="K210" s="7" t="str">
        <f t="shared" si="24"/>
        <v/>
      </c>
      <c r="L210" s="8" t="str">
        <f t="shared" si="26"/>
        <v>Rosie Hatch</v>
      </c>
      <c r="M210" s="8" t="str">
        <f t="shared" si="27"/>
        <v>SF</v>
      </c>
      <c r="N210" s="8" t="str">
        <f t="shared" si="28"/>
        <v>Harold Wood Running Club</v>
      </c>
      <c r="O210" s="8" t="str">
        <f t="shared" si="29"/>
        <v>F</v>
      </c>
      <c r="P210" s="9">
        <f t="shared" si="30"/>
        <v>0</v>
      </c>
      <c r="Q210"/>
      <c r="R210"/>
      <c r="S210"/>
    </row>
    <row r="211" spans="1:19" ht="16.5" thickBot="1" x14ac:dyDescent="0.3">
      <c r="A211" s="175">
        <v>379</v>
      </c>
      <c r="B211" s="170" t="s">
        <v>2193</v>
      </c>
      <c r="C211" s="1" t="str">
        <f t="shared" si="25"/>
        <v>SM</v>
      </c>
      <c r="D211" s="179" t="s">
        <v>1805</v>
      </c>
      <c r="E211" s="182" t="s">
        <v>24</v>
      </c>
      <c r="F211" s="186">
        <v>28</v>
      </c>
      <c r="G211" s="180"/>
      <c r="H211" s="181">
        <v>33086</v>
      </c>
      <c r="I211" s="4"/>
      <c r="J211" s="4"/>
      <c r="K211" s="7" t="str">
        <f t="shared" si="24"/>
        <v/>
      </c>
      <c r="L211" s="8" t="str">
        <f t="shared" si="26"/>
        <v>Adam Bartlett</v>
      </c>
      <c r="M211" s="8" t="str">
        <f t="shared" si="27"/>
        <v>SM</v>
      </c>
      <c r="N211" s="8" t="str">
        <f t="shared" si="28"/>
        <v>Harold Wood Running Club</v>
      </c>
      <c r="O211" s="8" t="str">
        <f t="shared" si="29"/>
        <v>M</v>
      </c>
      <c r="P211" s="9">
        <f t="shared" si="30"/>
        <v>0</v>
      </c>
      <c r="Q211"/>
      <c r="R211"/>
      <c r="S211"/>
    </row>
    <row r="212" spans="1:19" ht="16.5" thickBot="1" x14ac:dyDescent="0.3">
      <c r="A212" s="175">
        <v>380</v>
      </c>
      <c r="B212" s="170" t="s">
        <v>1799</v>
      </c>
      <c r="C212" s="1" t="str">
        <f t="shared" si="25"/>
        <v>VM50</v>
      </c>
      <c r="D212" s="179" t="s">
        <v>1805</v>
      </c>
      <c r="E212" s="182" t="s">
        <v>24</v>
      </c>
      <c r="F212" s="186">
        <v>50</v>
      </c>
      <c r="G212" s="180"/>
      <c r="H212" s="181">
        <v>24765</v>
      </c>
      <c r="I212" s="4"/>
      <c r="J212" s="4"/>
      <c r="K212" s="7" t="str">
        <f t="shared" si="24"/>
        <v/>
      </c>
      <c r="L212" s="8" t="str">
        <f t="shared" si="26"/>
        <v>Glen Wisbey</v>
      </c>
      <c r="M212" s="8" t="str">
        <f t="shared" si="27"/>
        <v>VM50</v>
      </c>
      <c r="N212" s="8" t="str">
        <f t="shared" si="28"/>
        <v>Harold Wood Running Club</v>
      </c>
      <c r="O212" s="8" t="str">
        <f t="shared" si="29"/>
        <v>M</v>
      </c>
      <c r="P212" s="9">
        <f t="shared" si="30"/>
        <v>0</v>
      </c>
      <c r="Q212"/>
      <c r="R212"/>
      <c r="S212"/>
    </row>
    <row r="213" spans="1:19" ht="16.5" thickBot="1" x14ac:dyDescent="0.3">
      <c r="A213" s="175">
        <v>381</v>
      </c>
      <c r="B213" s="170" t="s">
        <v>1131</v>
      </c>
      <c r="C213" s="1" t="str">
        <f t="shared" si="25"/>
        <v>SF</v>
      </c>
      <c r="D213" s="188" t="s">
        <v>108</v>
      </c>
      <c r="E213" s="182" t="s">
        <v>23</v>
      </c>
      <c r="F213" s="186">
        <v>30</v>
      </c>
      <c r="G213" s="180"/>
      <c r="H213" s="181">
        <v>32146</v>
      </c>
      <c r="I213" s="4"/>
      <c r="J213" s="4"/>
      <c r="K213" s="7" t="str">
        <f t="shared" si="24"/>
        <v/>
      </c>
      <c r="L213" s="8" t="str">
        <f t="shared" si="26"/>
        <v>Zuzana Sinalova</v>
      </c>
      <c r="M213" s="8" t="str">
        <f t="shared" si="27"/>
        <v>SF</v>
      </c>
      <c r="N213" s="8" t="str">
        <f t="shared" si="28"/>
        <v>Ilford AC</v>
      </c>
      <c r="O213" s="8" t="str">
        <f t="shared" si="29"/>
        <v>F</v>
      </c>
      <c r="P213" s="9">
        <f t="shared" si="30"/>
        <v>0</v>
      </c>
      <c r="Q213"/>
      <c r="R213"/>
      <c r="S213"/>
    </row>
    <row r="214" spans="1:19" ht="16.5" thickBot="1" x14ac:dyDescent="0.3">
      <c r="A214" s="175">
        <v>382</v>
      </c>
      <c r="B214" s="170" t="s">
        <v>371</v>
      </c>
      <c r="C214" s="1" t="str">
        <f t="shared" si="25"/>
        <v>VM60</v>
      </c>
      <c r="D214" s="179" t="s">
        <v>155</v>
      </c>
      <c r="E214" s="182" t="s">
        <v>24</v>
      </c>
      <c r="F214" s="186">
        <v>61</v>
      </c>
      <c r="G214" s="180"/>
      <c r="H214" s="181">
        <v>21037</v>
      </c>
      <c r="I214" s="4"/>
      <c r="J214" s="4"/>
      <c r="K214" s="7" t="str">
        <f t="shared" si="24"/>
        <v/>
      </c>
      <c r="L214" s="8" t="str">
        <f t="shared" si="26"/>
        <v>Gary Cardnell</v>
      </c>
      <c r="M214" s="8" t="str">
        <f t="shared" si="27"/>
        <v>VM60</v>
      </c>
      <c r="N214" s="8" t="str">
        <f t="shared" si="28"/>
        <v>Dagenham 88 Runners</v>
      </c>
      <c r="O214" s="8" t="str">
        <f t="shared" si="29"/>
        <v>M</v>
      </c>
      <c r="P214" s="9">
        <f t="shared" si="30"/>
        <v>0</v>
      </c>
      <c r="Q214"/>
      <c r="R214"/>
      <c r="S214"/>
    </row>
    <row r="215" spans="1:19" ht="16.5" thickBot="1" x14ac:dyDescent="0.3">
      <c r="A215" s="175">
        <v>383</v>
      </c>
      <c r="B215" s="170" t="s">
        <v>1468</v>
      </c>
      <c r="C215" s="1" t="str">
        <f t="shared" si="25"/>
        <v>VM40</v>
      </c>
      <c r="D215" s="188" t="s">
        <v>155</v>
      </c>
      <c r="E215" s="182" t="s">
        <v>24</v>
      </c>
      <c r="F215" s="186">
        <v>46</v>
      </c>
      <c r="G215" s="180"/>
      <c r="H215" s="181">
        <v>26521</v>
      </c>
      <c r="I215" s="4"/>
      <c r="J215" s="4"/>
      <c r="K215" s="7" t="str">
        <f t="shared" si="24"/>
        <v/>
      </c>
      <c r="L215" s="8" t="str">
        <f t="shared" si="26"/>
        <v>Nils Hollmann</v>
      </c>
      <c r="M215" s="8" t="str">
        <f t="shared" si="27"/>
        <v>VM40</v>
      </c>
      <c r="N215" s="8" t="str">
        <f t="shared" si="28"/>
        <v>Dagenham 88 Runners</v>
      </c>
      <c r="O215" s="8" t="str">
        <f t="shared" si="29"/>
        <v>M</v>
      </c>
      <c r="P215" s="9">
        <f t="shared" si="30"/>
        <v>0</v>
      </c>
      <c r="Q215"/>
      <c r="R215"/>
      <c r="S215"/>
    </row>
    <row r="216" spans="1:19" ht="16.5" thickBot="1" x14ac:dyDescent="0.3">
      <c r="A216" s="175">
        <v>384</v>
      </c>
      <c r="B216" s="170" t="s">
        <v>903</v>
      </c>
      <c r="C216" s="1" t="str">
        <f t="shared" si="25"/>
        <v>VM40</v>
      </c>
      <c r="D216" s="179" t="s">
        <v>12</v>
      </c>
      <c r="E216" s="182" t="s">
        <v>24</v>
      </c>
      <c r="F216" s="186">
        <v>48</v>
      </c>
      <c r="G216" s="180"/>
      <c r="H216" s="181">
        <v>25659</v>
      </c>
      <c r="I216" s="4"/>
      <c r="J216" s="4"/>
      <c r="K216" s="7" t="str">
        <f t="shared" si="24"/>
        <v/>
      </c>
      <c r="L216" s="8" t="str">
        <f t="shared" si="26"/>
        <v>Peter Craik</v>
      </c>
      <c r="M216" s="8" t="str">
        <f t="shared" si="27"/>
        <v>VM40</v>
      </c>
      <c r="N216" s="8" t="str">
        <f t="shared" si="28"/>
        <v>East London Runners</v>
      </c>
      <c r="O216" s="8" t="str">
        <f t="shared" si="29"/>
        <v>M</v>
      </c>
      <c r="P216" s="9">
        <f t="shared" si="30"/>
        <v>0</v>
      </c>
      <c r="Q216"/>
      <c r="R216"/>
      <c r="S216"/>
    </row>
    <row r="217" spans="1:19" ht="16.5" thickBot="1" x14ac:dyDescent="0.3">
      <c r="A217" s="175">
        <v>385</v>
      </c>
      <c r="B217" s="170" t="s">
        <v>219</v>
      </c>
      <c r="C217" s="1" t="str">
        <f t="shared" si="25"/>
        <v>VM40</v>
      </c>
      <c r="D217" s="179" t="s">
        <v>38</v>
      </c>
      <c r="E217" s="182" t="s">
        <v>24</v>
      </c>
      <c r="F217" s="186">
        <v>41</v>
      </c>
      <c r="G217" s="180"/>
      <c r="H217" s="181">
        <v>28145</v>
      </c>
      <c r="I217" s="4"/>
      <c r="J217" s="4"/>
      <c r="K217" s="7" t="str">
        <f t="shared" si="24"/>
        <v/>
      </c>
      <c r="L217" s="8" t="str">
        <f t="shared" si="26"/>
        <v>Chris Thomas</v>
      </c>
      <c r="M217" s="8" t="str">
        <f t="shared" si="27"/>
        <v>VM40</v>
      </c>
      <c r="N217" s="8" t="str">
        <f t="shared" si="28"/>
        <v>Havering 90 Joggers</v>
      </c>
      <c r="O217" s="8" t="str">
        <f t="shared" si="29"/>
        <v>M</v>
      </c>
      <c r="P217" s="9">
        <f t="shared" si="30"/>
        <v>0</v>
      </c>
      <c r="Q217"/>
      <c r="R217"/>
      <c r="S217"/>
    </row>
    <row r="218" spans="1:19" ht="16.5" thickBot="1" x14ac:dyDescent="0.3">
      <c r="A218" s="175">
        <v>386</v>
      </c>
      <c r="B218" s="170" t="s">
        <v>2739</v>
      </c>
      <c r="C218" s="1" t="str">
        <f t="shared" si="25"/>
        <v>VF45</v>
      </c>
      <c r="D218" s="179" t="s">
        <v>108</v>
      </c>
      <c r="E218" s="180" t="s">
        <v>23</v>
      </c>
      <c r="F218" s="186">
        <v>47</v>
      </c>
      <c r="G218" s="180"/>
      <c r="H218" s="181">
        <v>26149</v>
      </c>
      <c r="I218" s="4"/>
      <c r="J218" s="4"/>
      <c r="K218" s="7" t="str">
        <f t="shared" si="24"/>
        <v/>
      </c>
      <c r="L218" s="8" t="str">
        <f t="shared" si="26"/>
        <v>Carol muir</v>
      </c>
      <c r="M218" s="8" t="str">
        <f t="shared" si="27"/>
        <v>VF45</v>
      </c>
      <c r="N218" s="8" t="str">
        <f t="shared" si="28"/>
        <v>Ilford AC</v>
      </c>
      <c r="O218" s="8" t="str">
        <f t="shared" si="29"/>
        <v>F</v>
      </c>
      <c r="P218" s="9">
        <f t="shared" si="30"/>
        <v>0</v>
      </c>
      <c r="Q218"/>
      <c r="R218"/>
      <c r="S218"/>
    </row>
    <row r="219" spans="1:19" ht="16.5" thickBot="1" x14ac:dyDescent="0.3">
      <c r="A219" s="175">
        <v>387</v>
      </c>
      <c r="B219" s="170" t="s">
        <v>2027</v>
      </c>
      <c r="C219" s="1" t="str">
        <f t="shared" si="25"/>
        <v>VF35</v>
      </c>
      <c r="D219" s="179" t="s">
        <v>1805</v>
      </c>
      <c r="E219" s="182" t="s">
        <v>23</v>
      </c>
      <c r="F219" s="186">
        <v>35</v>
      </c>
      <c r="G219" s="180"/>
      <c r="H219" s="181">
        <v>30321</v>
      </c>
      <c r="I219" s="4"/>
      <c r="J219" s="4"/>
      <c r="K219" s="7" t="str">
        <f t="shared" si="24"/>
        <v/>
      </c>
      <c r="L219" s="8" t="str">
        <f t="shared" si="26"/>
        <v>Lynsey Mann</v>
      </c>
      <c r="M219" s="8" t="str">
        <f t="shared" si="27"/>
        <v>VF35</v>
      </c>
      <c r="N219" s="8" t="str">
        <f t="shared" si="28"/>
        <v>Harold Wood Running Club</v>
      </c>
      <c r="O219" s="8" t="str">
        <f t="shared" si="29"/>
        <v>F</v>
      </c>
      <c r="P219" s="9">
        <f t="shared" si="30"/>
        <v>0</v>
      </c>
      <c r="Q219"/>
      <c r="R219"/>
      <c r="S219"/>
    </row>
    <row r="220" spans="1:19" ht="16.5" thickBot="1" x14ac:dyDescent="0.3">
      <c r="A220" s="175">
        <v>388</v>
      </c>
      <c r="B220" s="170" t="s">
        <v>364</v>
      </c>
      <c r="C220" s="1" t="str">
        <f t="shared" si="25"/>
        <v>SM</v>
      </c>
      <c r="D220" s="179" t="s">
        <v>12</v>
      </c>
      <c r="E220" s="180" t="s">
        <v>24</v>
      </c>
      <c r="F220" s="186">
        <v>34</v>
      </c>
      <c r="G220" s="180"/>
      <c r="H220" s="181">
        <v>30654</v>
      </c>
      <c r="I220" s="4"/>
      <c r="J220" s="4"/>
      <c r="K220" s="7" t="str">
        <f t="shared" si="24"/>
        <v/>
      </c>
      <c r="L220" s="8" t="str">
        <f t="shared" si="26"/>
        <v>Mark Boulton</v>
      </c>
      <c r="M220" s="8" t="str">
        <f t="shared" si="27"/>
        <v>SM</v>
      </c>
      <c r="N220" s="8" t="str">
        <f t="shared" si="28"/>
        <v>East London Runners</v>
      </c>
      <c r="O220" s="8" t="str">
        <f t="shared" si="29"/>
        <v>M</v>
      </c>
      <c r="P220" s="9">
        <f t="shared" si="30"/>
        <v>0</v>
      </c>
      <c r="Q220"/>
      <c r="R220"/>
      <c r="S220"/>
    </row>
    <row r="221" spans="1:19" ht="16.5" thickBot="1" x14ac:dyDescent="0.3">
      <c r="A221" s="175">
        <v>389</v>
      </c>
      <c r="B221" s="170" t="s">
        <v>1420</v>
      </c>
      <c r="C221" s="1" t="str">
        <f t="shared" si="25"/>
        <v>SM</v>
      </c>
      <c r="D221" s="179" t="s">
        <v>155</v>
      </c>
      <c r="E221" s="182" t="s">
        <v>24</v>
      </c>
      <c r="F221" s="186">
        <v>24</v>
      </c>
      <c r="G221" s="180"/>
      <c r="H221" s="181">
        <v>34505</v>
      </c>
      <c r="I221" s="4"/>
      <c r="J221" s="4"/>
      <c r="K221" s="7" t="str">
        <f t="shared" si="24"/>
        <v/>
      </c>
      <c r="L221" s="8" t="str">
        <f t="shared" si="26"/>
        <v>Luke Summers</v>
      </c>
      <c r="M221" s="8" t="str">
        <f t="shared" si="27"/>
        <v>SM</v>
      </c>
      <c r="N221" s="8" t="str">
        <f t="shared" si="28"/>
        <v>Dagenham 88 Runners</v>
      </c>
      <c r="O221" s="8" t="str">
        <f t="shared" si="29"/>
        <v>M</v>
      </c>
      <c r="P221" s="9">
        <f t="shared" si="30"/>
        <v>0</v>
      </c>
      <c r="Q221"/>
      <c r="R221"/>
      <c r="S221"/>
    </row>
    <row r="222" spans="1:19" ht="16.5" thickBot="1" x14ac:dyDescent="0.3">
      <c r="A222" s="175">
        <v>390</v>
      </c>
      <c r="B222" s="170" t="s">
        <v>1406</v>
      </c>
      <c r="C222" s="1" t="str">
        <f t="shared" si="25"/>
        <v>SM</v>
      </c>
      <c r="D222" s="179" t="s">
        <v>155</v>
      </c>
      <c r="E222" s="182" t="s">
        <v>24</v>
      </c>
      <c r="F222" s="186">
        <v>25</v>
      </c>
      <c r="G222" s="180"/>
      <c r="H222" s="181">
        <v>34126</v>
      </c>
      <c r="I222" s="4"/>
      <c r="J222" s="4"/>
      <c r="K222" s="7" t="str">
        <f t="shared" si="24"/>
        <v/>
      </c>
      <c r="L222" s="8" t="str">
        <f t="shared" si="26"/>
        <v>Jamie Austin</v>
      </c>
      <c r="M222" s="8" t="str">
        <f t="shared" si="27"/>
        <v>SM</v>
      </c>
      <c r="N222" s="8" t="str">
        <f t="shared" si="28"/>
        <v>Dagenham 88 Runners</v>
      </c>
      <c r="O222" s="8" t="str">
        <f t="shared" si="29"/>
        <v>M</v>
      </c>
      <c r="P222" s="9">
        <f t="shared" si="30"/>
        <v>0</v>
      </c>
      <c r="Q222"/>
      <c r="R222"/>
      <c r="S222"/>
    </row>
    <row r="223" spans="1:19" ht="16.5" thickBot="1" x14ac:dyDescent="0.3">
      <c r="A223" s="175">
        <v>391</v>
      </c>
      <c r="B223" s="170" t="s">
        <v>788</v>
      </c>
      <c r="C223" s="1" t="str">
        <f t="shared" si="25"/>
        <v>VM40</v>
      </c>
      <c r="D223" s="179" t="s">
        <v>155</v>
      </c>
      <c r="E223" s="182" t="s">
        <v>24</v>
      </c>
      <c r="F223" s="186">
        <v>45</v>
      </c>
      <c r="G223" s="180"/>
      <c r="H223" s="181">
        <v>26837</v>
      </c>
      <c r="I223" s="4"/>
      <c r="J223" s="4"/>
      <c r="K223" s="7" t="str">
        <f t="shared" si="24"/>
        <v/>
      </c>
      <c r="L223" s="8" t="str">
        <f t="shared" si="26"/>
        <v>Danny White</v>
      </c>
      <c r="M223" s="8" t="str">
        <f t="shared" si="27"/>
        <v>VM40</v>
      </c>
      <c r="N223" s="8" t="str">
        <f t="shared" si="28"/>
        <v>Dagenham 88 Runners</v>
      </c>
      <c r="O223" s="8" t="str">
        <f t="shared" si="29"/>
        <v>M</v>
      </c>
      <c r="P223" s="9">
        <f t="shared" si="30"/>
        <v>0</v>
      </c>
      <c r="Q223"/>
      <c r="R223"/>
      <c r="S223"/>
    </row>
    <row r="224" spans="1:19" ht="16.5" thickBot="1" x14ac:dyDescent="0.3">
      <c r="A224" s="175">
        <v>392</v>
      </c>
      <c r="B224" s="170" t="s">
        <v>841</v>
      </c>
      <c r="C224" s="1" t="str">
        <f t="shared" si="25"/>
        <v>VM60</v>
      </c>
      <c r="D224" s="179" t="s">
        <v>38</v>
      </c>
      <c r="E224" s="182" t="s">
        <v>24</v>
      </c>
      <c r="F224" s="186">
        <v>65</v>
      </c>
      <c r="G224" s="180"/>
      <c r="H224" s="181">
        <v>19480</v>
      </c>
      <c r="I224" s="4"/>
      <c r="J224" s="4"/>
      <c r="K224" s="7" t="str">
        <f t="shared" si="24"/>
        <v/>
      </c>
      <c r="L224" s="8" t="str">
        <f t="shared" si="26"/>
        <v>Roger Winston</v>
      </c>
      <c r="M224" s="8" t="str">
        <f t="shared" si="27"/>
        <v>VM60</v>
      </c>
      <c r="N224" s="8" t="str">
        <f t="shared" si="28"/>
        <v>Havering 90 Joggers</v>
      </c>
      <c r="O224" s="8" t="str">
        <f t="shared" si="29"/>
        <v>M</v>
      </c>
      <c r="P224" s="9">
        <f t="shared" si="30"/>
        <v>0</v>
      </c>
      <c r="Q224"/>
      <c r="R224"/>
      <c r="S224"/>
    </row>
    <row r="225" spans="1:19" ht="16.5" thickBot="1" x14ac:dyDescent="0.3">
      <c r="A225" s="175">
        <v>393</v>
      </c>
      <c r="B225" s="170" t="s">
        <v>222</v>
      </c>
      <c r="C225" s="1" t="str">
        <f t="shared" si="25"/>
        <v>VF55</v>
      </c>
      <c r="D225" s="179" t="s">
        <v>38</v>
      </c>
      <c r="E225" s="182" t="s">
        <v>23</v>
      </c>
      <c r="F225" s="186">
        <v>62</v>
      </c>
      <c r="G225" s="180"/>
      <c r="H225" s="181">
        <v>20565</v>
      </c>
      <c r="I225" s="4"/>
      <c r="J225" s="4"/>
      <c r="K225" s="7" t="str">
        <f t="shared" si="24"/>
        <v/>
      </c>
      <c r="L225" s="8" t="str">
        <f t="shared" si="26"/>
        <v>Hazel Winston</v>
      </c>
      <c r="M225" s="8" t="str">
        <f t="shared" si="27"/>
        <v>VF55</v>
      </c>
      <c r="N225" s="8" t="str">
        <f t="shared" si="28"/>
        <v>Havering 90 Joggers</v>
      </c>
      <c r="O225" s="8" t="str">
        <f t="shared" si="29"/>
        <v>F</v>
      </c>
      <c r="P225" s="9">
        <f t="shared" si="30"/>
        <v>0</v>
      </c>
      <c r="Q225"/>
      <c r="R225"/>
      <c r="S225"/>
    </row>
    <row r="226" spans="1:19" ht="16.5" thickBot="1" x14ac:dyDescent="0.3">
      <c r="A226" s="175">
        <v>394</v>
      </c>
      <c r="B226" s="170" t="s">
        <v>2740</v>
      </c>
      <c r="C226" s="1" t="str">
        <f t="shared" si="25"/>
        <v>VF35</v>
      </c>
      <c r="D226" s="179" t="s">
        <v>63</v>
      </c>
      <c r="E226" s="182" t="s">
        <v>23</v>
      </c>
      <c r="F226" s="186">
        <v>39</v>
      </c>
      <c r="G226" s="180"/>
      <c r="H226" s="181">
        <v>29021</v>
      </c>
      <c r="I226" s="4"/>
      <c r="J226" s="4"/>
      <c r="K226" s="7" t="str">
        <f t="shared" si="24"/>
        <v/>
      </c>
      <c r="L226" s="8" t="str">
        <f t="shared" si="26"/>
        <v>Nuray Shoukri</v>
      </c>
      <c r="M226" s="8" t="str">
        <f t="shared" si="27"/>
        <v>VF35</v>
      </c>
      <c r="N226" s="8" t="str">
        <f t="shared" si="28"/>
        <v>East End Road Runners</v>
      </c>
      <c r="O226" s="8" t="str">
        <f t="shared" si="29"/>
        <v>F</v>
      </c>
      <c r="P226" s="9">
        <f t="shared" si="30"/>
        <v>0</v>
      </c>
      <c r="Q226"/>
      <c r="R226"/>
      <c r="S226"/>
    </row>
    <row r="227" spans="1:19" ht="16.5" thickBot="1" x14ac:dyDescent="0.3">
      <c r="A227" s="175">
        <v>395</v>
      </c>
      <c r="B227" s="170" t="s">
        <v>386</v>
      </c>
      <c r="C227" s="1" t="str">
        <f t="shared" si="25"/>
        <v>VM50</v>
      </c>
      <c r="D227" s="188" t="s">
        <v>12</v>
      </c>
      <c r="E227" s="182" t="s">
        <v>24</v>
      </c>
      <c r="F227" s="186">
        <v>59</v>
      </c>
      <c r="G227" s="180"/>
      <c r="H227" s="181">
        <v>21555</v>
      </c>
      <c r="I227" s="4"/>
      <c r="J227" s="4"/>
      <c r="K227" s="7" t="str">
        <f t="shared" si="24"/>
        <v/>
      </c>
      <c r="L227" s="8" t="str">
        <f t="shared" si="26"/>
        <v>Don Bennett</v>
      </c>
      <c r="M227" s="8" t="str">
        <f t="shared" si="27"/>
        <v>VM50</v>
      </c>
      <c r="N227" s="8" t="str">
        <f t="shared" si="28"/>
        <v>East London Runners</v>
      </c>
      <c r="O227" s="8" t="str">
        <f t="shared" si="29"/>
        <v>M</v>
      </c>
      <c r="P227" s="9">
        <f t="shared" si="30"/>
        <v>0</v>
      </c>
      <c r="Q227"/>
      <c r="R227"/>
      <c r="S227"/>
    </row>
    <row r="228" spans="1:19" ht="16.5" thickBot="1" x14ac:dyDescent="0.3">
      <c r="A228" s="175">
        <v>396</v>
      </c>
      <c r="B228" s="170" t="s">
        <v>2741</v>
      </c>
      <c r="C228" s="1" t="str">
        <f t="shared" si="25"/>
        <v>VF35</v>
      </c>
      <c r="D228" s="179" t="s">
        <v>12</v>
      </c>
      <c r="E228" s="182" t="s">
        <v>23</v>
      </c>
      <c r="F228" s="186">
        <v>41</v>
      </c>
      <c r="G228" s="180"/>
      <c r="H228" s="181">
        <v>28035</v>
      </c>
      <c r="I228" s="4"/>
      <c r="J228" s="4"/>
      <c r="K228" s="7" t="str">
        <f t="shared" si="24"/>
        <v/>
      </c>
      <c r="L228" s="8" t="str">
        <f t="shared" si="26"/>
        <v>vikki harler</v>
      </c>
      <c r="M228" s="8" t="str">
        <f t="shared" si="27"/>
        <v>VF35</v>
      </c>
      <c r="N228" s="8" t="str">
        <f t="shared" si="28"/>
        <v>East London Runners</v>
      </c>
      <c r="O228" s="8" t="str">
        <f t="shared" si="29"/>
        <v>F</v>
      </c>
      <c r="P228" s="9">
        <f t="shared" si="30"/>
        <v>0</v>
      </c>
      <c r="Q228"/>
      <c r="R228"/>
      <c r="S228"/>
    </row>
    <row r="229" spans="1:19" ht="16.5" thickBot="1" x14ac:dyDescent="0.3">
      <c r="A229" s="175">
        <v>397</v>
      </c>
      <c r="B229" s="170" t="s">
        <v>1784</v>
      </c>
      <c r="C229" s="1" t="str">
        <f t="shared" si="25"/>
        <v>VM40</v>
      </c>
      <c r="D229" s="179" t="s">
        <v>12</v>
      </c>
      <c r="E229" s="182" t="s">
        <v>24</v>
      </c>
      <c r="F229" s="186">
        <v>45</v>
      </c>
      <c r="G229" s="180"/>
      <c r="H229" s="181">
        <v>26569</v>
      </c>
      <c r="I229" s="4"/>
      <c r="J229" s="4"/>
      <c r="K229" s="7" t="str">
        <f t="shared" si="24"/>
        <v/>
      </c>
      <c r="L229" s="8" t="str">
        <f t="shared" si="26"/>
        <v>Marc Akers</v>
      </c>
      <c r="M229" s="8" t="str">
        <f t="shared" si="27"/>
        <v>VM40</v>
      </c>
      <c r="N229" s="8" t="str">
        <f t="shared" si="28"/>
        <v>East London Runners</v>
      </c>
      <c r="O229" s="8" t="str">
        <f t="shared" si="29"/>
        <v>M</v>
      </c>
      <c r="P229" s="9">
        <f t="shared" si="30"/>
        <v>0</v>
      </c>
      <c r="Q229"/>
      <c r="R229"/>
      <c r="S229"/>
    </row>
    <row r="230" spans="1:19" ht="16.5" thickBot="1" x14ac:dyDescent="0.3">
      <c r="A230" s="175">
        <v>398</v>
      </c>
      <c r="B230" s="170" t="s">
        <v>1796</v>
      </c>
      <c r="C230" s="1" t="str">
        <f t="shared" si="25"/>
        <v>VF35</v>
      </c>
      <c r="D230" s="188" t="s">
        <v>155</v>
      </c>
      <c r="E230" s="182" t="s">
        <v>23</v>
      </c>
      <c r="F230" s="186">
        <v>39</v>
      </c>
      <c r="G230" s="180"/>
      <c r="H230" s="181">
        <v>29038</v>
      </c>
      <c r="I230" s="4"/>
      <c r="J230" s="4"/>
      <c r="K230" s="7" t="str">
        <f t="shared" si="24"/>
        <v/>
      </c>
      <c r="L230" s="8" t="str">
        <f t="shared" si="26"/>
        <v>Lynne Northcott</v>
      </c>
      <c r="M230" s="8" t="str">
        <f t="shared" si="27"/>
        <v>VF35</v>
      </c>
      <c r="N230" s="8" t="str">
        <f t="shared" si="28"/>
        <v>Dagenham 88 Runners</v>
      </c>
      <c r="O230" s="8" t="str">
        <f t="shared" si="29"/>
        <v>F</v>
      </c>
      <c r="P230" s="9">
        <f t="shared" si="30"/>
        <v>0</v>
      </c>
      <c r="Q230"/>
      <c r="R230"/>
      <c r="S230"/>
    </row>
    <row r="231" spans="1:19" ht="16.5" thickBot="1" x14ac:dyDescent="0.3">
      <c r="A231" s="175">
        <v>399</v>
      </c>
      <c r="B231" s="170" t="s">
        <v>2219</v>
      </c>
      <c r="C231" s="1" t="str">
        <f t="shared" si="25"/>
        <v>SM</v>
      </c>
      <c r="D231" s="179" t="s">
        <v>108</v>
      </c>
      <c r="E231" s="182" t="s">
        <v>24</v>
      </c>
      <c r="F231" s="186">
        <v>28</v>
      </c>
      <c r="G231" s="180"/>
      <c r="H231" s="181">
        <v>33071</v>
      </c>
      <c r="I231" s="4"/>
      <c r="J231" s="4"/>
      <c r="K231" s="7" t="str">
        <f t="shared" si="24"/>
        <v/>
      </c>
      <c r="L231" s="8" t="str">
        <f t="shared" si="26"/>
        <v>Eain Begg</v>
      </c>
      <c r="M231" s="8" t="str">
        <f t="shared" si="27"/>
        <v>SM</v>
      </c>
      <c r="N231" s="8" t="str">
        <f t="shared" si="28"/>
        <v>Ilford AC</v>
      </c>
      <c r="O231" s="8" t="str">
        <f t="shared" si="29"/>
        <v>M</v>
      </c>
      <c r="P231" s="9">
        <f t="shared" si="30"/>
        <v>0</v>
      </c>
      <c r="Q231"/>
      <c r="R231"/>
      <c r="S231"/>
    </row>
    <row r="232" spans="1:19" ht="16.5" thickBot="1" x14ac:dyDescent="0.3">
      <c r="A232" s="175">
        <v>400</v>
      </c>
      <c r="B232" s="170" t="s">
        <v>1465</v>
      </c>
      <c r="C232" s="1" t="str">
        <f t="shared" si="25"/>
        <v>VM40</v>
      </c>
      <c r="D232" s="179" t="s">
        <v>12</v>
      </c>
      <c r="E232" s="182" t="s">
        <v>24</v>
      </c>
      <c r="F232" s="186">
        <v>43</v>
      </c>
      <c r="G232" s="180"/>
      <c r="H232" s="181">
        <v>27618</v>
      </c>
      <c r="I232" s="4"/>
      <c r="J232" s="4"/>
      <c r="K232" s="7" t="str">
        <f t="shared" si="24"/>
        <v/>
      </c>
      <c r="L232" s="8" t="str">
        <f t="shared" si="26"/>
        <v>David Hallybone</v>
      </c>
      <c r="M232" s="8" t="str">
        <f t="shared" si="27"/>
        <v>VM40</v>
      </c>
      <c r="N232" s="8" t="str">
        <f t="shared" si="28"/>
        <v>East London Runners</v>
      </c>
      <c r="O232" s="8" t="str">
        <f t="shared" si="29"/>
        <v>M</v>
      </c>
      <c r="P232" s="9">
        <f t="shared" si="30"/>
        <v>0</v>
      </c>
      <c r="Q232"/>
      <c r="R232"/>
      <c r="S232"/>
    </row>
    <row r="233" spans="1:19" ht="16.5" thickBot="1" x14ac:dyDescent="0.3">
      <c r="A233" s="175">
        <v>401</v>
      </c>
      <c r="B233" s="170" t="s">
        <v>2452</v>
      </c>
      <c r="C233" s="1" t="str">
        <f t="shared" si="25"/>
        <v>VM40</v>
      </c>
      <c r="D233" s="188" t="s">
        <v>12</v>
      </c>
      <c r="E233" s="182" t="s">
        <v>24</v>
      </c>
      <c r="F233" s="186">
        <v>42</v>
      </c>
      <c r="G233" s="180"/>
      <c r="H233" s="181">
        <v>27744</v>
      </c>
      <c r="I233" s="4"/>
      <c r="J233" s="4"/>
      <c r="K233" s="7" t="str">
        <f t="shared" si="24"/>
        <v/>
      </c>
      <c r="L233" s="8" t="str">
        <f t="shared" si="26"/>
        <v>Jacob Stevens</v>
      </c>
      <c r="M233" s="8" t="str">
        <f t="shared" si="27"/>
        <v>VM40</v>
      </c>
      <c r="N233" s="8" t="str">
        <f t="shared" si="28"/>
        <v>East London Runners</v>
      </c>
      <c r="O233" s="8" t="str">
        <f t="shared" si="29"/>
        <v>M</v>
      </c>
      <c r="P233" s="9">
        <f t="shared" si="30"/>
        <v>0</v>
      </c>
      <c r="Q233"/>
      <c r="R233"/>
      <c r="S233"/>
    </row>
    <row r="234" spans="1:19" ht="16.5" thickBot="1" x14ac:dyDescent="0.3">
      <c r="A234" s="175">
        <v>402</v>
      </c>
      <c r="B234" s="170" t="s">
        <v>2742</v>
      </c>
      <c r="C234" s="1" t="str">
        <f t="shared" si="25"/>
        <v>SM</v>
      </c>
      <c r="D234" s="179" t="s">
        <v>38</v>
      </c>
      <c r="E234" s="182" t="s">
        <v>24</v>
      </c>
      <c r="F234" s="186">
        <v>39</v>
      </c>
      <c r="G234" s="180"/>
      <c r="H234" s="181">
        <v>28731</v>
      </c>
      <c r="I234" s="4"/>
      <c r="J234" s="4"/>
      <c r="K234" s="7" t="str">
        <f t="shared" si="24"/>
        <v/>
      </c>
      <c r="L234" s="8" t="str">
        <f t="shared" si="26"/>
        <v>TONY COLLINS</v>
      </c>
      <c r="M234" s="8" t="str">
        <f t="shared" si="27"/>
        <v>SM</v>
      </c>
      <c r="N234" s="8" t="str">
        <f t="shared" si="28"/>
        <v>Havering 90 Joggers</v>
      </c>
      <c r="O234" s="8" t="str">
        <f t="shared" si="29"/>
        <v>M</v>
      </c>
      <c r="P234" s="9">
        <f t="shared" si="30"/>
        <v>0</v>
      </c>
      <c r="Q234"/>
      <c r="R234"/>
      <c r="S234"/>
    </row>
    <row r="235" spans="1:19" ht="16.5" thickBot="1" x14ac:dyDescent="0.3">
      <c r="A235" s="175">
        <v>403</v>
      </c>
      <c r="B235" s="170" t="s">
        <v>451</v>
      </c>
      <c r="C235" s="1" t="str">
        <f t="shared" si="25"/>
        <v>VM50</v>
      </c>
      <c r="D235" s="188" t="s">
        <v>1325</v>
      </c>
      <c r="E235" s="182" t="s">
        <v>24</v>
      </c>
      <c r="F235" s="186">
        <v>53</v>
      </c>
      <c r="G235" s="180"/>
      <c r="H235" s="181">
        <v>23897</v>
      </c>
      <c r="I235" s="4"/>
      <c r="J235" s="4"/>
      <c r="K235" s="7" t="str">
        <f t="shared" si="24"/>
        <v/>
      </c>
      <c r="L235" s="8" t="str">
        <f t="shared" si="26"/>
        <v>Dennis Sherwood</v>
      </c>
      <c r="M235" s="8" t="str">
        <f t="shared" si="27"/>
        <v>VM50</v>
      </c>
      <c r="N235" s="8" t="str">
        <f t="shared" si="28"/>
        <v>Springfield Striders RC</v>
      </c>
      <c r="O235" s="8" t="str">
        <f t="shared" si="29"/>
        <v>M</v>
      </c>
      <c r="P235" s="9">
        <f t="shared" si="30"/>
        <v>0</v>
      </c>
      <c r="Q235"/>
      <c r="R235"/>
      <c r="S235"/>
    </row>
    <row r="236" spans="1:19" ht="16.5" thickBot="1" x14ac:dyDescent="0.3">
      <c r="A236" s="175">
        <v>404</v>
      </c>
      <c r="B236" s="170" t="s">
        <v>331</v>
      </c>
      <c r="C236" s="1" t="str">
        <f t="shared" si="25"/>
        <v>VM40</v>
      </c>
      <c r="D236" s="179" t="s">
        <v>505</v>
      </c>
      <c r="E236" s="182" t="s">
        <v>24</v>
      </c>
      <c r="F236" s="186">
        <v>46</v>
      </c>
      <c r="G236" s="180"/>
      <c r="H236" s="181">
        <v>26536</v>
      </c>
      <c r="I236" s="4"/>
      <c r="J236" s="4"/>
      <c r="K236" s="7" t="str">
        <f t="shared" si="24"/>
        <v/>
      </c>
      <c r="L236" s="8" t="str">
        <f t="shared" si="26"/>
        <v>Phil Enright</v>
      </c>
      <c r="M236" s="8" t="str">
        <f t="shared" si="27"/>
        <v>VM40</v>
      </c>
      <c r="N236" s="8" t="str">
        <f t="shared" si="28"/>
        <v>Unattached</v>
      </c>
      <c r="O236" s="8" t="str">
        <f t="shared" si="29"/>
        <v>M</v>
      </c>
      <c r="P236" s="9">
        <f t="shared" si="30"/>
        <v>0</v>
      </c>
      <c r="Q236"/>
      <c r="R236"/>
      <c r="S236"/>
    </row>
    <row r="237" spans="1:19" ht="16.5" thickBot="1" x14ac:dyDescent="0.3">
      <c r="A237" s="175">
        <v>405</v>
      </c>
      <c r="B237" s="170" t="s">
        <v>272</v>
      </c>
      <c r="C237" s="1" t="str">
        <f t="shared" si="25"/>
        <v>SM</v>
      </c>
      <c r="D237" s="179" t="s">
        <v>12</v>
      </c>
      <c r="E237" s="182" t="s">
        <v>24</v>
      </c>
      <c r="F237" s="186">
        <v>34</v>
      </c>
      <c r="G237" s="180"/>
      <c r="H237" s="181">
        <v>30601</v>
      </c>
      <c r="I237" s="4"/>
      <c r="J237" s="4"/>
      <c r="K237" s="7" t="str">
        <f t="shared" si="24"/>
        <v/>
      </c>
      <c r="L237" s="8" t="str">
        <f t="shared" si="26"/>
        <v>James Nichols</v>
      </c>
      <c r="M237" s="8" t="str">
        <f t="shared" si="27"/>
        <v>SM</v>
      </c>
      <c r="N237" s="8" t="str">
        <f t="shared" si="28"/>
        <v>East London Runners</v>
      </c>
      <c r="O237" s="8" t="str">
        <f t="shared" si="29"/>
        <v>M</v>
      </c>
      <c r="P237" s="9">
        <f t="shared" si="30"/>
        <v>0</v>
      </c>
      <c r="Q237"/>
      <c r="R237"/>
      <c r="S237"/>
    </row>
    <row r="238" spans="1:19" ht="16.5" thickBot="1" x14ac:dyDescent="0.3">
      <c r="A238" s="175">
        <v>406</v>
      </c>
      <c r="B238" s="170" t="s">
        <v>2743</v>
      </c>
      <c r="C238" s="1" t="str">
        <f t="shared" si="25"/>
        <v>VM40</v>
      </c>
      <c r="D238" s="179" t="s">
        <v>108</v>
      </c>
      <c r="E238" s="182" t="s">
        <v>24</v>
      </c>
      <c r="F238" s="186">
        <v>44</v>
      </c>
      <c r="G238" s="180"/>
      <c r="H238" s="181">
        <v>27151</v>
      </c>
      <c r="I238" s="4"/>
      <c r="J238" s="4"/>
      <c r="K238" s="7" t="str">
        <f t="shared" si="24"/>
        <v/>
      </c>
      <c r="L238" s="8" t="str">
        <f t="shared" si="26"/>
        <v>Malcolm muir</v>
      </c>
      <c r="M238" s="8" t="str">
        <f t="shared" si="27"/>
        <v>VM40</v>
      </c>
      <c r="N238" s="8" t="str">
        <f t="shared" si="28"/>
        <v>Ilford AC</v>
      </c>
      <c r="O238" s="8" t="str">
        <f t="shared" si="29"/>
        <v>M</v>
      </c>
      <c r="P238" s="9">
        <f t="shared" si="30"/>
        <v>0</v>
      </c>
      <c r="Q238"/>
      <c r="R238"/>
      <c r="S238"/>
    </row>
    <row r="239" spans="1:19" ht="16.5" thickBot="1" x14ac:dyDescent="0.3">
      <c r="A239" s="175">
        <v>407</v>
      </c>
      <c r="B239" s="170" t="s">
        <v>1142</v>
      </c>
      <c r="C239" s="1" t="str">
        <f t="shared" si="25"/>
        <v>SF</v>
      </c>
      <c r="D239" s="179" t="s">
        <v>1631</v>
      </c>
      <c r="E239" s="182" t="s">
        <v>23</v>
      </c>
      <c r="F239" s="186">
        <v>30</v>
      </c>
      <c r="G239" s="180"/>
      <c r="H239" s="181">
        <v>32225</v>
      </c>
      <c r="I239" s="4"/>
      <c r="J239" s="4"/>
      <c r="K239" s="7" t="str">
        <f t="shared" si="24"/>
        <v/>
      </c>
      <c r="L239" s="8" t="str">
        <f t="shared" si="26"/>
        <v>Hayley Pegg</v>
      </c>
      <c r="M239" s="8" t="str">
        <f t="shared" si="27"/>
        <v>SF</v>
      </c>
      <c r="N239" s="8" t="str">
        <f t="shared" si="28"/>
        <v>Chelmsford AC</v>
      </c>
      <c r="O239" s="8" t="str">
        <f t="shared" si="29"/>
        <v>F</v>
      </c>
      <c r="P239" s="9">
        <f t="shared" si="30"/>
        <v>0</v>
      </c>
      <c r="Q239"/>
      <c r="R239"/>
      <c r="S239"/>
    </row>
    <row r="240" spans="1:19" ht="16.5" thickBot="1" x14ac:dyDescent="0.3">
      <c r="A240" s="175">
        <v>408</v>
      </c>
      <c r="B240" s="170" t="s">
        <v>794</v>
      </c>
      <c r="C240" s="1" t="str">
        <f t="shared" si="25"/>
        <v>SF</v>
      </c>
      <c r="D240" s="179" t="s">
        <v>108</v>
      </c>
      <c r="E240" s="182" t="s">
        <v>23</v>
      </c>
      <c r="F240" s="186">
        <v>26</v>
      </c>
      <c r="G240" s="180"/>
      <c r="H240" s="181">
        <v>33585</v>
      </c>
      <c r="I240" s="4"/>
      <c r="J240" s="4"/>
      <c r="K240" s="7" t="str">
        <f t="shared" si="24"/>
        <v/>
      </c>
      <c r="L240" s="8" t="str">
        <f t="shared" si="26"/>
        <v>Natalie Crisp</v>
      </c>
      <c r="M240" s="8" t="str">
        <f t="shared" si="27"/>
        <v>SF</v>
      </c>
      <c r="N240" s="8" t="str">
        <f t="shared" si="28"/>
        <v>Ilford AC</v>
      </c>
      <c r="O240" s="8" t="str">
        <f t="shared" si="29"/>
        <v>F</v>
      </c>
      <c r="P240" s="9">
        <f t="shared" si="30"/>
        <v>0</v>
      </c>
      <c r="Q240"/>
      <c r="R240"/>
      <c r="S240"/>
    </row>
    <row r="241" spans="1:19" ht="16.5" thickBot="1" x14ac:dyDescent="0.3">
      <c r="A241" s="175">
        <v>409</v>
      </c>
      <c r="B241" s="170" t="s">
        <v>2744</v>
      </c>
      <c r="C241" s="1" t="str">
        <f t="shared" si="25"/>
        <v>VM40</v>
      </c>
      <c r="D241" s="179" t="s">
        <v>12</v>
      </c>
      <c r="E241" s="180" t="s">
        <v>24</v>
      </c>
      <c r="F241" s="186">
        <v>43</v>
      </c>
      <c r="G241" s="180"/>
      <c r="H241" s="181">
        <v>27585</v>
      </c>
      <c r="I241" s="4"/>
      <c r="J241" s="4"/>
      <c r="K241" s="7" t="str">
        <f t="shared" si="24"/>
        <v/>
      </c>
      <c r="L241" s="8" t="str">
        <f t="shared" si="26"/>
        <v>Arthur Diaz</v>
      </c>
      <c r="M241" s="8" t="str">
        <f t="shared" si="27"/>
        <v>VM40</v>
      </c>
      <c r="N241" s="8" t="str">
        <f t="shared" si="28"/>
        <v>East London Runners</v>
      </c>
      <c r="O241" s="8" t="str">
        <f t="shared" si="29"/>
        <v>M</v>
      </c>
      <c r="P241" s="9">
        <f t="shared" si="30"/>
        <v>0</v>
      </c>
      <c r="Q241"/>
      <c r="R241"/>
      <c r="S241"/>
    </row>
    <row r="242" spans="1:19" ht="16.5" thickBot="1" x14ac:dyDescent="0.3">
      <c r="A242" s="175">
        <v>410</v>
      </c>
      <c r="B242" s="170" t="s">
        <v>2252</v>
      </c>
      <c r="C242" s="1" t="str">
        <f t="shared" si="25"/>
        <v>SF</v>
      </c>
      <c r="D242" s="179" t="s">
        <v>12</v>
      </c>
      <c r="E242" s="182" t="s">
        <v>23</v>
      </c>
      <c r="F242" s="186">
        <v>32</v>
      </c>
      <c r="G242" s="180"/>
      <c r="H242" s="181">
        <v>31313</v>
      </c>
      <c r="I242" s="4"/>
      <c r="J242" s="4"/>
      <c r="K242" s="7" t="str">
        <f t="shared" si="24"/>
        <v/>
      </c>
      <c r="L242" s="8" t="str">
        <f t="shared" si="26"/>
        <v>Brooke Stephenson</v>
      </c>
      <c r="M242" s="8" t="str">
        <f t="shared" si="27"/>
        <v>SF</v>
      </c>
      <c r="N242" s="8" t="str">
        <f t="shared" si="28"/>
        <v>East London Runners</v>
      </c>
      <c r="O242" s="8" t="str">
        <f t="shared" si="29"/>
        <v>F</v>
      </c>
      <c r="P242" s="9">
        <f t="shared" si="30"/>
        <v>0</v>
      </c>
      <c r="Q242"/>
      <c r="R242"/>
      <c r="S242"/>
    </row>
    <row r="243" spans="1:19" ht="16.5" thickBot="1" x14ac:dyDescent="0.3">
      <c r="A243" s="175">
        <v>411</v>
      </c>
      <c r="B243" s="170" t="s">
        <v>916</v>
      </c>
      <c r="C243" s="1" t="str">
        <f t="shared" si="25"/>
        <v>VF45</v>
      </c>
      <c r="D243" s="179" t="s">
        <v>108</v>
      </c>
      <c r="E243" s="182" t="s">
        <v>23</v>
      </c>
      <c r="F243" s="186">
        <v>54</v>
      </c>
      <c r="G243" s="180"/>
      <c r="H243" s="181">
        <v>23481</v>
      </c>
      <c r="I243" s="4"/>
      <c r="J243" s="4"/>
      <c r="K243" s="7" t="str">
        <f t="shared" si="24"/>
        <v/>
      </c>
      <c r="L243" s="8" t="str">
        <f t="shared" si="26"/>
        <v>Doris Gaga</v>
      </c>
      <c r="M243" s="8" t="str">
        <f t="shared" si="27"/>
        <v>VF45</v>
      </c>
      <c r="N243" s="8" t="str">
        <f t="shared" si="28"/>
        <v>Ilford AC</v>
      </c>
      <c r="O243" s="8" t="str">
        <f t="shared" si="29"/>
        <v>F</v>
      </c>
      <c r="P243" s="9">
        <f t="shared" si="30"/>
        <v>0</v>
      </c>
      <c r="Q243"/>
      <c r="R243"/>
      <c r="S243"/>
    </row>
    <row r="244" spans="1:19" ht="16.5" thickBot="1" x14ac:dyDescent="0.3">
      <c r="A244" s="175">
        <v>412</v>
      </c>
      <c r="B244" s="170" t="s">
        <v>175</v>
      </c>
      <c r="C244" s="1" t="str">
        <f t="shared" si="25"/>
        <v>SM</v>
      </c>
      <c r="D244" s="188" t="s">
        <v>12</v>
      </c>
      <c r="E244" s="182" t="s">
        <v>24</v>
      </c>
      <c r="F244" s="186">
        <v>33</v>
      </c>
      <c r="G244" s="180"/>
      <c r="H244" s="181">
        <v>31167</v>
      </c>
      <c r="I244" s="4"/>
      <c r="J244" s="4"/>
      <c r="K244" s="7" t="str">
        <f t="shared" si="24"/>
        <v/>
      </c>
      <c r="L244" s="8" t="str">
        <f t="shared" si="26"/>
        <v>Patrick Brown</v>
      </c>
      <c r="M244" s="8" t="str">
        <f t="shared" si="27"/>
        <v>SM</v>
      </c>
      <c r="N244" s="8" t="str">
        <f t="shared" si="28"/>
        <v>East London Runners</v>
      </c>
      <c r="O244" s="8" t="str">
        <f t="shared" si="29"/>
        <v>M</v>
      </c>
      <c r="P244" s="9">
        <f t="shared" si="30"/>
        <v>0</v>
      </c>
      <c r="Q244"/>
      <c r="R244"/>
      <c r="S244"/>
    </row>
    <row r="245" spans="1:19" ht="16.5" thickBot="1" x14ac:dyDescent="0.3">
      <c r="A245" s="175">
        <v>413</v>
      </c>
      <c r="B245" s="170" t="s">
        <v>232</v>
      </c>
      <c r="C245" s="1" t="str">
        <f t="shared" si="25"/>
        <v>VM40</v>
      </c>
      <c r="D245" s="179" t="s">
        <v>38</v>
      </c>
      <c r="E245" s="182" t="s">
        <v>24</v>
      </c>
      <c r="F245" s="186">
        <v>44</v>
      </c>
      <c r="G245" s="180"/>
      <c r="H245" s="181">
        <v>27243</v>
      </c>
      <c r="I245" s="4"/>
      <c r="J245" s="4"/>
      <c r="K245" s="7" t="str">
        <f t="shared" si="24"/>
        <v/>
      </c>
      <c r="L245" s="8" t="str">
        <f t="shared" si="26"/>
        <v>Simon Maley</v>
      </c>
      <c r="M245" s="8" t="str">
        <f t="shared" si="27"/>
        <v>VM40</v>
      </c>
      <c r="N245" s="8" t="str">
        <f t="shared" si="28"/>
        <v>Havering 90 Joggers</v>
      </c>
      <c r="O245" s="8" t="str">
        <f t="shared" si="29"/>
        <v>M</v>
      </c>
      <c r="P245" s="9">
        <f t="shared" si="30"/>
        <v>0</v>
      </c>
      <c r="Q245"/>
      <c r="R245"/>
      <c r="S245"/>
    </row>
    <row r="246" spans="1:19" ht="16.5" thickBot="1" x14ac:dyDescent="0.3">
      <c r="A246" s="175">
        <v>414</v>
      </c>
      <c r="B246" s="170" t="s">
        <v>1571</v>
      </c>
      <c r="C246" s="1" t="str">
        <f t="shared" si="25"/>
        <v>VM50</v>
      </c>
      <c r="D246" s="179" t="s">
        <v>108</v>
      </c>
      <c r="E246" s="182" t="s">
        <v>24</v>
      </c>
      <c r="F246" s="186">
        <v>58</v>
      </c>
      <c r="G246" s="180"/>
      <c r="H246" s="181">
        <v>22100</v>
      </c>
      <c r="I246" s="4"/>
      <c r="J246" s="4"/>
      <c r="K246" s="7" t="str">
        <f t="shared" si="24"/>
        <v/>
      </c>
      <c r="L246" s="8" t="str">
        <f t="shared" si="26"/>
        <v>Satha Alaganandasundaram</v>
      </c>
      <c r="M246" s="8" t="str">
        <f t="shared" si="27"/>
        <v>VM50</v>
      </c>
      <c r="N246" s="8" t="str">
        <f t="shared" si="28"/>
        <v>Ilford AC</v>
      </c>
      <c r="O246" s="8" t="str">
        <f t="shared" si="29"/>
        <v>M</v>
      </c>
      <c r="P246" s="9">
        <f t="shared" si="30"/>
        <v>0</v>
      </c>
      <c r="Q246"/>
      <c r="R246"/>
      <c r="S246"/>
    </row>
    <row r="247" spans="1:19" ht="16.5" thickBot="1" x14ac:dyDescent="0.3">
      <c r="A247" s="175">
        <v>415</v>
      </c>
      <c r="B247" s="170" t="s">
        <v>375</v>
      </c>
      <c r="C247" s="1" t="str">
        <f t="shared" si="25"/>
        <v>VF55</v>
      </c>
      <c r="D247" s="179" t="s">
        <v>108</v>
      </c>
      <c r="E247" s="182" t="s">
        <v>23</v>
      </c>
      <c r="F247" s="186">
        <v>56</v>
      </c>
      <c r="G247" s="180"/>
      <c r="H247" s="181">
        <v>22745</v>
      </c>
      <c r="I247" s="4"/>
      <c r="J247" s="4"/>
      <c r="K247" s="7" t="str">
        <f t="shared" si="24"/>
        <v/>
      </c>
      <c r="L247" s="8" t="str">
        <f t="shared" si="26"/>
        <v>Nicola Hopkinson</v>
      </c>
      <c r="M247" s="8" t="str">
        <f t="shared" si="27"/>
        <v>VF55</v>
      </c>
      <c r="N247" s="8" t="str">
        <f t="shared" si="28"/>
        <v>Ilford AC</v>
      </c>
      <c r="O247" s="8" t="str">
        <f t="shared" si="29"/>
        <v>F</v>
      </c>
      <c r="P247" s="9">
        <f t="shared" si="30"/>
        <v>0</v>
      </c>
      <c r="Q247"/>
      <c r="R247"/>
      <c r="S247"/>
    </row>
    <row r="248" spans="1:19" ht="16.5" thickBot="1" x14ac:dyDescent="0.3">
      <c r="A248" s="175">
        <v>416</v>
      </c>
      <c r="B248" s="170" t="s">
        <v>264</v>
      </c>
      <c r="C248" s="1" t="str">
        <f t="shared" si="25"/>
        <v>VM50</v>
      </c>
      <c r="D248" s="179" t="s">
        <v>12</v>
      </c>
      <c r="E248" s="182" t="s">
        <v>24</v>
      </c>
      <c r="F248" s="186">
        <v>50</v>
      </c>
      <c r="G248" s="180"/>
      <c r="H248" s="181">
        <v>24970</v>
      </c>
      <c r="I248" s="4"/>
      <c r="J248" s="4"/>
      <c r="K248" s="7" t="str">
        <f t="shared" si="24"/>
        <v/>
      </c>
      <c r="L248" s="8" t="str">
        <f t="shared" si="26"/>
        <v>Grant Conway</v>
      </c>
      <c r="M248" s="8" t="str">
        <f t="shared" si="27"/>
        <v>VM50</v>
      </c>
      <c r="N248" s="8" t="str">
        <f t="shared" si="28"/>
        <v>East London Runners</v>
      </c>
      <c r="O248" s="8" t="str">
        <f t="shared" si="29"/>
        <v>M</v>
      </c>
      <c r="P248" s="9">
        <f t="shared" si="30"/>
        <v>0</v>
      </c>
      <c r="Q248"/>
      <c r="R248"/>
      <c r="S248"/>
    </row>
    <row r="249" spans="1:19" ht="16.5" thickBot="1" x14ac:dyDescent="0.3">
      <c r="A249" s="175">
        <v>417</v>
      </c>
      <c r="B249" s="170" t="s">
        <v>1522</v>
      </c>
      <c r="C249" s="1" t="str">
        <f t="shared" si="25"/>
        <v>VM40</v>
      </c>
      <c r="D249" s="179" t="s">
        <v>14</v>
      </c>
      <c r="E249" s="182" t="s">
        <v>24</v>
      </c>
      <c r="F249" s="186">
        <v>49</v>
      </c>
      <c r="G249" s="180"/>
      <c r="H249" s="181">
        <v>25283</v>
      </c>
      <c r="I249" s="4"/>
      <c r="J249" s="4"/>
      <c r="K249" s="7" t="str">
        <f t="shared" si="24"/>
        <v/>
      </c>
      <c r="L249" s="8" t="str">
        <f t="shared" si="26"/>
        <v>Dan Green</v>
      </c>
      <c r="M249" s="8" t="str">
        <f t="shared" si="27"/>
        <v>VM40</v>
      </c>
      <c r="N249" s="8" t="str">
        <f t="shared" si="28"/>
        <v>Orion Harriers</v>
      </c>
      <c r="O249" s="8" t="str">
        <f t="shared" si="29"/>
        <v>M</v>
      </c>
      <c r="P249" s="9">
        <f t="shared" si="30"/>
        <v>0</v>
      </c>
      <c r="Q249"/>
      <c r="R249"/>
      <c r="S249"/>
    </row>
    <row r="250" spans="1:19" ht="16.5" thickBot="1" x14ac:dyDescent="0.3">
      <c r="A250" s="175">
        <v>418</v>
      </c>
      <c r="B250" s="170" t="s">
        <v>2438</v>
      </c>
      <c r="C250" s="1" t="str">
        <f t="shared" si="25"/>
        <v>VF35</v>
      </c>
      <c r="D250" s="179" t="s">
        <v>154</v>
      </c>
      <c r="E250" s="182" t="s">
        <v>23</v>
      </c>
      <c r="F250" s="186">
        <v>43</v>
      </c>
      <c r="G250" s="180"/>
      <c r="H250" s="181">
        <v>27551</v>
      </c>
      <c r="I250" s="4"/>
      <c r="J250" s="4"/>
      <c r="K250" s="7" t="str">
        <f t="shared" si="24"/>
        <v/>
      </c>
      <c r="L250" s="8" t="str">
        <f t="shared" si="26"/>
        <v>Janine durrant</v>
      </c>
      <c r="M250" s="8" t="str">
        <f t="shared" si="27"/>
        <v>VF35</v>
      </c>
      <c r="N250" s="8" t="str">
        <f t="shared" si="28"/>
        <v>Eton Manor AC</v>
      </c>
      <c r="O250" s="8" t="str">
        <f t="shared" si="29"/>
        <v>F</v>
      </c>
      <c r="P250" s="9">
        <f t="shared" si="30"/>
        <v>0</v>
      </c>
      <c r="Q250"/>
      <c r="R250"/>
      <c r="S250"/>
    </row>
    <row r="251" spans="1:19" ht="16.5" thickBot="1" x14ac:dyDescent="0.3">
      <c r="A251" s="175">
        <v>419</v>
      </c>
      <c r="B251" s="170" t="s">
        <v>2469</v>
      </c>
      <c r="C251" s="1" t="str">
        <f t="shared" si="25"/>
        <v>VM40</v>
      </c>
      <c r="D251" s="179" t="s">
        <v>14</v>
      </c>
      <c r="E251" s="182" t="s">
        <v>24</v>
      </c>
      <c r="F251" s="186">
        <v>43</v>
      </c>
      <c r="G251" s="180"/>
      <c r="H251" s="181">
        <v>27337</v>
      </c>
      <c r="I251" s="4"/>
      <c r="J251" s="4"/>
      <c r="K251" s="7" t="str">
        <f t="shared" si="24"/>
        <v/>
      </c>
      <c r="L251" s="8" t="str">
        <f t="shared" si="26"/>
        <v>Bob Glasgow</v>
      </c>
      <c r="M251" s="8" t="str">
        <f t="shared" si="27"/>
        <v>VM40</v>
      </c>
      <c r="N251" s="8" t="str">
        <f t="shared" si="28"/>
        <v>Orion Harriers</v>
      </c>
      <c r="O251" s="8" t="str">
        <f t="shared" si="29"/>
        <v>M</v>
      </c>
      <c r="P251" s="9">
        <f t="shared" si="30"/>
        <v>0</v>
      </c>
      <c r="Q251"/>
      <c r="R251"/>
      <c r="S251"/>
    </row>
    <row r="252" spans="1:19" ht="16.5" thickBot="1" x14ac:dyDescent="0.3">
      <c r="A252" s="175">
        <v>420</v>
      </c>
      <c r="B252" s="170" t="s">
        <v>2124</v>
      </c>
      <c r="C252" s="1" t="str">
        <f t="shared" si="25"/>
        <v>VF35</v>
      </c>
      <c r="D252" s="179" t="s">
        <v>12</v>
      </c>
      <c r="E252" s="182" t="s">
        <v>23</v>
      </c>
      <c r="F252" s="186">
        <v>40</v>
      </c>
      <c r="G252" s="180"/>
      <c r="H252" s="181">
        <v>28378</v>
      </c>
      <c r="I252" s="4"/>
      <c r="J252" s="4"/>
      <c r="K252" s="7" t="str">
        <f t="shared" si="24"/>
        <v/>
      </c>
      <c r="L252" s="8" t="str">
        <f t="shared" si="26"/>
        <v>Caroline Frith</v>
      </c>
      <c r="M252" s="8" t="str">
        <f t="shared" si="27"/>
        <v>VF35</v>
      </c>
      <c r="N252" s="8" t="str">
        <f t="shared" si="28"/>
        <v>East London Runners</v>
      </c>
      <c r="O252" s="8" t="str">
        <f t="shared" si="29"/>
        <v>F</v>
      </c>
      <c r="P252" s="9">
        <f t="shared" si="30"/>
        <v>0</v>
      </c>
      <c r="Q252"/>
      <c r="R252"/>
      <c r="S252"/>
    </row>
    <row r="253" spans="1:19" ht="16.5" thickBot="1" x14ac:dyDescent="0.3">
      <c r="A253" s="175">
        <v>421</v>
      </c>
      <c r="B253" s="170" t="s">
        <v>365</v>
      </c>
      <c r="C253" s="1" t="str">
        <f t="shared" si="25"/>
        <v>VF45</v>
      </c>
      <c r="D253" s="179" t="s">
        <v>154</v>
      </c>
      <c r="E253" s="182" t="s">
        <v>23</v>
      </c>
      <c r="F253" s="186">
        <v>45</v>
      </c>
      <c r="G253" s="180"/>
      <c r="H253" s="181">
        <v>26654</v>
      </c>
      <c r="I253" s="4"/>
      <c r="J253" s="4"/>
      <c r="K253" s="7" t="str">
        <f t="shared" si="24"/>
        <v/>
      </c>
      <c r="L253" s="8" t="str">
        <f t="shared" si="26"/>
        <v>Kate Malcolm</v>
      </c>
      <c r="M253" s="8" t="str">
        <f t="shared" si="27"/>
        <v>VF45</v>
      </c>
      <c r="N253" s="8" t="str">
        <f t="shared" si="28"/>
        <v>Eton Manor AC</v>
      </c>
      <c r="O253" s="8" t="str">
        <f t="shared" si="29"/>
        <v>F</v>
      </c>
      <c r="P253" s="9">
        <f t="shared" si="30"/>
        <v>0</v>
      </c>
      <c r="Q253"/>
      <c r="R253"/>
      <c r="S253"/>
    </row>
    <row r="254" spans="1:19" ht="16.5" thickBot="1" x14ac:dyDescent="0.3">
      <c r="A254" s="175">
        <v>422</v>
      </c>
      <c r="B254" s="170" t="s">
        <v>541</v>
      </c>
      <c r="C254" s="1" t="str">
        <f t="shared" si="25"/>
        <v>VM70</v>
      </c>
      <c r="D254" s="179" t="s">
        <v>155</v>
      </c>
      <c r="E254" s="182" t="s">
        <v>24</v>
      </c>
      <c r="F254" s="186">
        <v>73</v>
      </c>
      <c r="G254" s="180"/>
      <c r="H254" s="181">
        <v>16676</v>
      </c>
      <c r="I254" s="4"/>
      <c r="J254" s="4"/>
      <c r="K254" s="7" t="str">
        <f t="shared" si="24"/>
        <v/>
      </c>
      <c r="L254" s="8" t="str">
        <f t="shared" si="26"/>
        <v>Sam Veerasamy</v>
      </c>
      <c r="M254" s="8" t="str">
        <f t="shared" si="27"/>
        <v>VM70</v>
      </c>
      <c r="N254" s="8" t="str">
        <f t="shared" si="28"/>
        <v>Dagenham 88 Runners</v>
      </c>
      <c r="O254" s="8" t="str">
        <f t="shared" si="29"/>
        <v>M</v>
      </c>
      <c r="P254" s="9">
        <f t="shared" si="30"/>
        <v>0</v>
      </c>
      <c r="Q254"/>
      <c r="R254"/>
      <c r="S254"/>
    </row>
    <row r="255" spans="1:19" ht="16.5" thickBot="1" x14ac:dyDescent="0.3">
      <c r="A255" s="175">
        <v>423</v>
      </c>
      <c r="B255" s="170" t="s">
        <v>2746</v>
      </c>
      <c r="C255" s="1" t="str">
        <f t="shared" si="25"/>
        <v>VF65</v>
      </c>
      <c r="D255" s="179" t="s">
        <v>155</v>
      </c>
      <c r="E255" s="182" t="s">
        <v>23</v>
      </c>
      <c r="F255" s="186">
        <v>66</v>
      </c>
      <c r="G255" s="180"/>
      <c r="H255" s="181">
        <v>18941</v>
      </c>
      <c r="I255" s="4"/>
      <c r="J255" s="4"/>
      <c r="K255" s="7" t="str">
        <f t="shared" ref="K255:K318" si="31">IF(ISERROR(CONCATENATE(LEFT(L255,3),MID(L255,(FIND(",",L255)+2),3))),"",CONCATENATE(LEFT(L255,3),MID(L255,(FIND(",",L255)+2),3)))</f>
        <v/>
      </c>
      <c r="L255" s="8" t="str">
        <f t="shared" si="26"/>
        <v>Selon Timi Veerasamy</v>
      </c>
      <c r="M255" s="8" t="str">
        <f t="shared" si="27"/>
        <v>VF65</v>
      </c>
      <c r="N255" s="8" t="str">
        <f t="shared" si="28"/>
        <v>Dagenham 88 Runners</v>
      </c>
      <c r="O255" s="8" t="str">
        <f t="shared" si="29"/>
        <v>F</v>
      </c>
      <c r="P255" s="9">
        <f t="shared" si="30"/>
        <v>0</v>
      </c>
      <c r="Q255"/>
      <c r="R255"/>
      <c r="S255"/>
    </row>
    <row r="256" spans="1:19" ht="16.5" thickBot="1" x14ac:dyDescent="0.3">
      <c r="A256" s="175">
        <v>424</v>
      </c>
      <c r="B256" s="170" t="s">
        <v>1059</v>
      </c>
      <c r="C256" s="1" t="str">
        <f t="shared" si="25"/>
        <v>VF35</v>
      </c>
      <c r="D256" s="179" t="s">
        <v>154</v>
      </c>
      <c r="E256" s="182" t="s">
        <v>23</v>
      </c>
      <c r="F256" s="186">
        <v>35</v>
      </c>
      <c r="G256" s="180"/>
      <c r="H256" s="181">
        <v>30221</v>
      </c>
      <c r="I256" s="4"/>
      <c r="J256" s="4"/>
      <c r="K256" s="7" t="str">
        <f t="shared" si="31"/>
        <v/>
      </c>
      <c r="L256" s="8" t="str">
        <f t="shared" si="26"/>
        <v>Sarah Giles</v>
      </c>
      <c r="M256" s="8" t="str">
        <f t="shared" si="27"/>
        <v>VF35</v>
      </c>
      <c r="N256" s="8" t="str">
        <f t="shared" si="28"/>
        <v>Eton Manor AC</v>
      </c>
      <c r="O256" s="8" t="str">
        <f t="shared" si="29"/>
        <v>F</v>
      </c>
      <c r="P256" s="9">
        <f t="shared" si="30"/>
        <v>0</v>
      </c>
      <c r="Q256"/>
      <c r="R256"/>
      <c r="S256"/>
    </row>
    <row r="257" spans="1:19" ht="16.5" thickBot="1" x14ac:dyDescent="0.3">
      <c r="A257" s="175">
        <v>425</v>
      </c>
      <c r="B257" s="170" t="s">
        <v>2747</v>
      </c>
      <c r="C257" s="1" t="str">
        <f t="shared" si="25"/>
        <v>VM50</v>
      </c>
      <c r="D257" s="179" t="s">
        <v>155</v>
      </c>
      <c r="E257" s="182" t="s">
        <v>24</v>
      </c>
      <c r="F257" s="186">
        <v>52</v>
      </c>
      <c r="G257" s="180"/>
      <c r="H257" s="181">
        <v>24087</v>
      </c>
      <c r="I257" s="4"/>
      <c r="J257" s="4"/>
      <c r="K257" s="7" t="str">
        <f t="shared" si="31"/>
        <v/>
      </c>
      <c r="L257" s="8" t="str">
        <f t="shared" si="26"/>
        <v>Alan Horne</v>
      </c>
      <c r="M257" s="8" t="str">
        <f t="shared" si="27"/>
        <v>VM50</v>
      </c>
      <c r="N257" s="8" t="str">
        <f t="shared" si="28"/>
        <v>Dagenham 88 Runners</v>
      </c>
      <c r="O257" s="8" t="str">
        <f t="shared" si="29"/>
        <v>M</v>
      </c>
      <c r="P257" s="9">
        <f t="shared" si="30"/>
        <v>0</v>
      </c>
      <c r="Q257"/>
      <c r="R257"/>
      <c r="S257"/>
    </row>
    <row r="258" spans="1:19" ht="16.5" thickBot="1" x14ac:dyDescent="0.3">
      <c r="A258" s="175">
        <v>426</v>
      </c>
      <c r="B258" s="170" t="s">
        <v>2299</v>
      </c>
      <c r="C258" s="1" t="str">
        <f t="shared" ref="C258:C321" si="32">IF(AND(E258="M",F258&lt;&gt;""),LOOKUP(F258,$Q$1:$Q$100,$R$1:$R$100),IF(AND(E258="F",F258&lt;&gt;""),LOOKUP(F258,$Q$1:$Q$100,$S$1:$S$100),""))</f>
        <v>VF35</v>
      </c>
      <c r="D258" s="179" t="s">
        <v>155</v>
      </c>
      <c r="E258" s="182" t="s">
        <v>23</v>
      </c>
      <c r="F258" s="186">
        <v>43</v>
      </c>
      <c r="G258" s="180"/>
      <c r="H258" s="181">
        <v>27301</v>
      </c>
      <c r="I258" s="4"/>
      <c r="J258" s="4"/>
      <c r="K258" s="7" t="str">
        <f t="shared" si="31"/>
        <v/>
      </c>
      <c r="L258" s="8" t="str">
        <f t="shared" ref="L258:L321" si="33">IF(LEN(B258)&lt;1,"",B258)</f>
        <v>Sarah Horne</v>
      </c>
      <c r="M258" s="8" t="str">
        <f t="shared" ref="M258:M321" si="34">IF(LEN(C258)&lt;1,"",C258)</f>
        <v>VF35</v>
      </c>
      <c r="N258" s="8" t="str">
        <f t="shared" ref="N258:N321" si="35">D258</f>
        <v>Dagenham 88 Runners</v>
      </c>
      <c r="O258" s="8" t="str">
        <f t="shared" ref="O258:O321" si="36">E258</f>
        <v>F</v>
      </c>
      <c r="P258" s="9">
        <f t="shared" ref="P258:P321" si="37">G258</f>
        <v>0</v>
      </c>
      <c r="Q258"/>
      <c r="R258"/>
      <c r="S258"/>
    </row>
    <row r="259" spans="1:19" ht="16.5" thickBot="1" x14ac:dyDescent="0.3">
      <c r="A259" s="175">
        <v>427</v>
      </c>
      <c r="B259" s="170" t="s">
        <v>2325</v>
      </c>
      <c r="C259" s="1" t="str">
        <f t="shared" si="32"/>
        <v>SM</v>
      </c>
      <c r="D259" s="179" t="s">
        <v>154</v>
      </c>
      <c r="E259" s="182" t="s">
        <v>24</v>
      </c>
      <c r="F259" s="186">
        <v>19</v>
      </c>
      <c r="G259" s="180"/>
      <c r="H259" s="181">
        <v>36358</v>
      </c>
      <c r="I259" s="4"/>
      <c r="J259" s="4"/>
      <c r="K259" s="7" t="str">
        <f t="shared" si="31"/>
        <v/>
      </c>
      <c r="L259" s="8" t="str">
        <f t="shared" si="33"/>
        <v>Dylan Williams</v>
      </c>
      <c r="M259" s="8" t="str">
        <f t="shared" si="34"/>
        <v>SM</v>
      </c>
      <c r="N259" s="8" t="str">
        <f t="shared" si="35"/>
        <v>Eton Manor AC</v>
      </c>
      <c r="O259" s="8" t="str">
        <f t="shared" si="36"/>
        <v>M</v>
      </c>
      <c r="P259" s="9">
        <f t="shared" si="37"/>
        <v>0</v>
      </c>
      <c r="Q259"/>
      <c r="R259"/>
      <c r="S259"/>
    </row>
    <row r="260" spans="1:19" ht="16.5" thickBot="1" x14ac:dyDescent="0.3">
      <c r="A260" s="175">
        <v>428</v>
      </c>
      <c r="B260" s="170" t="s">
        <v>2939</v>
      </c>
      <c r="C260" s="1" t="str">
        <f t="shared" si="32"/>
        <v>VM40</v>
      </c>
      <c r="D260" s="188" t="s">
        <v>38</v>
      </c>
      <c r="E260" s="182" t="s">
        <v>24</v>
      </c>
      <c r="F260" s="186">
        <v>46</v>
      </c>
      <c r="G260" s="180"/>
      <c r="H260" s="181">
        <v>26381</v>
      </c>
      <c r="I260" s="4"/>
      <c r="J260" s="4"/>
      <c r="K260" s="7" t="str">
        <f t="shared" si="31"/>
        <v/>
      </c>
      <c r="L260" s="8" t="str">
        <f t="shared" si="33"/>
        <v>Steve Constantinou</v>
      </c>
      <c r="M260" s="8" t="str">
        <f t="shared" si="34"/>
        <v>VM40</v>
      </c>
      <c r="N260" s="8" t="str">
        <f t="shared" si="35"/>
        <v>Havering 90 Joggers</v>
      </c>
      <c r="O260" s="8" t="str">
        <f t="shared" si="36"/>
        <v>M</v>
      </c>
      <c r="P260" s="9">
        <f t="shared" si="37"/>
        <v>0</v>
      </c>
      <c r="Q260"/>
      <c r="R260"/>
      <c r="S260"/>
    </row>
    <row r="261" spans="1:19" ht="16.5" thickBot="1" x14ac:dyDescent="0.3">
      <c r="A261" s="175">
        <v>429</v>
      </c>
      <c r="B261" s="170" t="s">
        <v>1756</v>
      </c>
      <c r="C261" s="1" t="str">
        <f t="shared" si="32"/>
        <v>VM40</v>
      </c>
      <c r="D261" s="179" t="s">
        <v>155</v>
      </c>
      <c r="E261" s="182" t="s">
        <v>24</v>
      </c>
      <c r="F261" s="186">
        <v>47</v>
      </c>
      <c r="G261" s="180"/>
      <c r="H261" s="181">
        <v>26057</v>
      </c>
      <c r="I261" s="4"/>
      <c r="J261" s="4"/>
      <c r="K261" s="7" t="str">
        <f t="shared" si="31"/>
        <v/>
      </c>
      <c r="L261" s="8" t="str">
        <f t="shared" si="33"/>
        <v>Jamie Smith</v>
      </c>
      <c r="M261" s="8" t="str">
        <f t="shared" si="34"/>
        <v>VM40</v>
      </c>
      <c r="N261" s="8" t="str">
        <f t="shared" si="35"/>
        <v>Dagenham 88 Runners</v>
      </c>
      <c r="O261" s="8" t="str">
        <f t="shared" si="36"/>
        <v>M</v>
      </c>
      <c r="P261" s="9">
        <f t="shared" si="37"/>
        <v>0</v>
      </c>
      <c r="Q261"/>
      <c r="R261"/>
      <c r="S261"/>
    </row>
    <row r="262" spans="1:19" ht="16.5" thickBot="1" x14ac:dyDescent="0.3">
      <c r="A262" s="175">
        <v>430</v>
      </c>
      <c r="B262" s="170" t="s">
        <v>230</v>
      </c>
      <c r="C262" s="1" t="str">
        <f t="shared" si="32"/>
        <v>SM</v>
      </c>
      <c r="D262" s="179" t="s">
        <v>2745</v>
      </c>
      <c r="E262" s="182" t="s">
        <v>24</v>
      </c>
      <c r="F262" s="186">
        <v>33</v>
      </c>
      <c r="G262" s="180"/>
      <c r="H262" s="181">
        <v>30935</v>
      </c>
      <c r="I262" s="4"/>
      <c r="J262" s="4"/>
      <c r="K262" s="7" t="str">
        <f t="shared" si="31"/>
        <v/>
      </c>
      <c r="L262" s="8" t="str">
        <f t="shared" si="33"/>
        <v>Russell Price</v>
      </c>
      <c r="M262" s="8" t="str">
        <f t="shared" si="34"/>
        <v>SM</v>
      </c>
      <c r="N262" s="8" t="str">
        <f t="shared" si="35"/>
        <v>Chorlton Runners</v>
      </c>
      <c r="O262" s="8" t="str">
        <f t="shared" si="36"/>
        <v>M</v>
      </c>
      <c r="P262" s="9">
        <f t="shared" si="37"/>
        <v>0</v>
      </c>
      <c r="Q262"/>
      <c r="R262"/>
      <c r="S262"/>
    </row>
    <row r="263" spans="1:19" ht="16.5" thickBot="1" x14ac:dyDescent="0.3">
      <c r="A263" s="175">
        <v>431</v>
      </c>
      <c r="B263" s="170" t="s">
        <v>178</v>
      </c>
      <c r="C263" s="1" t="str">
        <f t="shared" si="32"/>
        <v>SM</v>
      </c>
      <c r="D263" s="179" t="s">
        <v>12</v>
      </c>
      <c r="E263" s="182" t="s">
        <v>24</v>
      </c>
      <c r="F263" s="186">
        <v>29</v>
      </c>
      <c r="G263" s="180"/>
      <c r="H263" s="181">
        <v>32722</v>
      </c>
      <c r="I263" s="4"/>
      <c r="J263" s="4"/>
      <c r="K263" s="7" t="str">
        <f t="shared" si="31"/>
        <v/>
      </c>
      <c r="L263" s="8" t="str">
        <f t="shared" si="33"/>
        <v>Mark Wyatt</v>
      </c>
      <c r="M263" s="8" t="str">
        <f t="shared" si="34"/>
        <v>SM</v>
      </c>
      <c r="N263" s="8" t="str">
        <f t="shared" si="35"/>
        <v>East London Runners</v>
      </c>
      <c r="O263" s="8" t="str">
        <f t="shared" si="36"/>
        <v>M</v>
      </c>
      <c r="P263" s="9">
        <f t="shared" si="37"/>
        <v>0</v>
      </c>
      <c r="Q263"/>
      <c r="R263"/>
      <c r="S263"/>
    </row>
    <row r="264" spans="1:19" ht="16.5" thickBot="1" x14ac:dyDescent="0.3">
      <c r="A264" s="175">
        <v>432</v>
      </c>
      <c r="B264" s="170" t="s">
        <v>1153</v>
      </c>
      <c r="C264" s="1" t="str">
        <f t="shared" si="32"/>
        <v>VM50</v>
      </c>
      <c r="D264" s="179" t="s">
        <v>155</v>
      </c>
      <c r="E264" s="182" t="s">
        <v>24</v>
      </c>
      <c r="F264" s="186">
        <v>58</v>
      </c>
      <c r="G264" s="180"/>
      <c r="H264" s="181">
        <v>21811</v>
      </c>
      <c r="I264" s="4"/>
      <c r="J264" s="4"/>
      <c r="K264" s="7" t="str">
        <f t="shared" si="31"/>
        <v/>
      </c>
      <c r="L264" s="8" t="str">
        <f t="shared" si="33"/>
        <v>Leigh Moring</v>
      </c>
      <c r="M264" s="8" t="str">
        <f t="shared" si="34"/>
        <v>VM50</v>
      </c>
      <c r="N264" s="8" t="str">
        <f t="shared" si="35"/>
        <v>Dagenham 88 Runners</v>
      </c>
      <c r="O264" s="8" t="str">
        <f t="shared" si="36"/>
        <v>M</v>
      </c>
      <c r="P264" s="9">
        <f t="shared" si="37"/>
        <v>0</v>
      </c>
      <c r="Q264"/>
      <c r="R264"/>
      <c r="S264"/>
    </row>
    <row r="265" spans="1:19" ht="16.5" thickBot="1" x14ac:dyDescent="0.3">
      <c r="A265" s="175">
        <v>433</v>
      </c>
      <c r="B265" s="170" t="s">
        <v>1405</v>
      </c>
      <c r="C265" s="1" t="str">
        <f t="shared" si="32"/>
        <v>VF55</v>
      </c>
      <c r="D265" s="179" t="s">
        <v>155</v>
      </c>
      <c r="E265" s="182" t="s">
        <v>23</v>
      </c>
      <c r="F265" s="186">
        <v>55</v>
      </c>
      <c r="G265" s="180"/>
      <c r="H265" s="181">
        <v>22951</v>
      </c>
      <c r="I265" s="4"/>
      <c r="J265" s="4"/>
      <c r="K265" s="7" t="str">
        <f t="shared" si="31"/>
        <v/>
      </c>
      <c r="L265" s="8" t="str">
        <f t="shared" si="33"/>
        <v>Carol Moring</v>
      </c>
      <c r="M265" s="8" t="str">
        <f t="shared" si="34"/>
        <v>VF55</v>
      </c>
      <c r="N265" s="8" t="str">
        <f t="shared" si="35"/>
        <v>Dagenham 88 Runners</v>
      </c>
      <c r="O265" s="8" t="str">
        <f t="shared" si="36"/>
        <v>F</v>
      </c>
      <c r="P265" s="9">
        <f t="shared" si="37"/>
        <v>0</v>
      </c>
      <c r="Q265"/>
      <c r="R265"/>
      <c r="S265"/>
    </row>
    <row r="266" spans="1:19" ht="16.5" thickBot="1" x14ac:dyDescent="0.3">
      <c r="A266" s="175">
        <v>434</v>
      </c>
      <c r="B266" s="170" t="s">
        <v>2439</v>
      </c>
      <c r="C266" s="1" t="str">
        <f t="shared" si="32"/>
        <v>VM60</v>
      </c>
      <c r="D266" s="188" t="s">
        <v>108</v>
      </c>
      <c r="E266" s="180" t="s">
        <v>24</v>
      </c>
      <c r="F266" s="186">
        <v>65</v>
      </c>
      <c r="G266" s="180"/>
      <c r="H266" s="181">
        <v>19528</v>
      </c>
      <c r="I266" s="4"/>
      <c r="J266" s="4"/>
      <c r="K266" s="7" t="str">
        <f t="shared" si="31"/>
        <v/>
      </c>
      <c r="L266" s="8" t="str">
        <f t="shared" si="33"/>
        <v>Andrew Catton</v>
      </c>
      <c r="M266" s="8" t="str">
        <f t="shared" si="34"/>
        <v>VM60</v>
      </c>
      <c r="N266" s="8" t="str">
        <f t="shared" si="35"/>
        <v>Ilford AC</v>
      </c>
      <c r="O266" s="8" t="str">
        <f t="shared" si="36"/>
        <v>M</v>
      </c>
      <c r="P266" s="9">
        <f t="shared" si="37"/>
        <v>0</v>
      </c>
      <c r="Q266"/>
      <c r="R266"/>
      <c r="S266"/>
    </row>
    <row r="267" spans="1:19" ht="16.5" thickBot="1" x14ac:dyDescent="0.3">
      <c r="A267" s="175">
        <v>435</v>
      </c>
      <c r="B267" s="170" t="s">
        <v>1370</v>
      </c>
      <c r="C267" s="1" t="str">
        <f t="shared" si="32"/>
        <v>VM50</v>
      </c>
      <c r="D267" s="179" t="s">
        <v>155</v>
      </c>
      <c r="E267" s="182" t="s">
        <v>24</v>
      </c>
      <c r="F267" s="186">
        <v>52</v>
      </c>
      <c r="G267" s="180"/>
      <c r="H267" s="181">
        <v>24288</v>
      </c>
      <c r="I267" s="4"/>
      <c r="J267" s="4"/>
      <c r="K267" s="7" t="str">
        <f t="shared" si="31"/>
        <v/>
      </c>
      <c r="L267" s="8" t="str">
        <f t="shared" si="33"/>
        <v>Mick Brown</v>
      </c>
      <c r="M267" s="8" t="str">
        <f t="shared" si="34"/>
        <v>VM50</v>
      </c>
      <c r="N267" s="8" t="str">
        <f t="shared" si="35"/>
        <v>Dagenham 88 Runners</v>
      </c>
      <c r="O267" s="8" t="str">
        <f t="shared" si="36"/>
        <v>M</v>
      </c>
      <c r="P267" s="9">
        <f t="shared" si="37"/>
        <v>0</v>
      </c>
      <c r="Q267"/>
      <c r="R267"/>
      <c r="S267"/>
    </row>
    <row r="268" spans="1:19" ht="16.5" thickBot="1" x14ac:dyDescent="0.3">
      <c r="A268" s="175">
        <v>436</v>
      </c>
      <c r="B268" s="170" t="s">
        <v>2197</v>
      </c>
      <c r="C268" s="1" t="str">
        <f t="shared" si="32"/>
        <v>SM</v>
      </c>
      <c r="D268" s="179" t="s">
        <v>1805</v>
      </c>
      <c r="E268" s="182" t="s">
        <v>24</v>
      </c>
      <c r="F268" s="186">
        <v>31</v>
      </c>
      <c r="G268" s="180"/>
      <c r="H268" s="181">
        <v>31708</v>
      </c>
      <c r="I268" s="4"/>
      <c r="J268" s="4"/>
      <c r="K268" s="7" t="str">
        <f t="shared" si="31"/>
        <v/>
      </c>
      <c r="L268" s="8" t="str">
        <f t="shared" si="33"/>
        <v>Josh Jenner</v>
      </c>
      <c r="M268" s="8" t="str">
        <f t="shared" si="34"/>
        <v>SM</v>
      </c>
      <c r="N268" s="8" t="str">
        <f t="shared" si="35"/>
        <v>Harold Wood Running Club</v>
      </c>
      <c r="O268" s="8" t="str">
        <f t="shared" si="36"/>
        <v>M</v>
      </c>
      <c r="P268" s="9">
        <f t="shared" si="37"/>
        <v>0</v>
      </c>
      <c r="Q268"/>
      <c r="R268"/>
      <c r="S268"/>
    </row>
    <row r="269" spans="1:19" ht="16.5" thickBot="1" x14ac:dyDescent="0.3">
      <c r="A269" s="175">
        <v>437</v>
      </c>
      <c r="B269" s="170" t="s">
        <v>2234</v>
      </c>
      <c r="C269" s="1" t="str">
        <f t="shared" si="32"/>
        <v>VF35</v>
      </c>
      <c r="D269" s="188" t="s">
        <v>1805</v>
      </c>
      <c r="E269" s="182" t="s">
        <v>23</v>
      </c>
      <c r="F269" s="186">
        <v>38</v>
      </c>
      <c r="G269" s="180"/>
      <c r="H269" s="181">
        <v>29289</v>
      </c>
      <c r="I269" s="4"/>
      <c r="J269" s="4"/>
      <c r="K269" s="7" t="str">
        <f t="shared" si="31"/>
        <v/>
      </c>
      <c r="L269" s="8" t="str">
        <f t="shared" si="33"/>
        <v>Helen Jenner</v>
      </c>
      <c r="M269" s="8" t="str">
        <f t="shared" si="34"/>
        <v>VF35</v>
      </c>
      <c r="N269" s="8" t="str">
        <f t="shared" si="35"/>
        <v>Harold Wood Running Club</v>
      </c>
      <c r="O269" s="8" t="str">
        <f t="shared" si="36"/>
        <v>F</v>
      </c>
      <c r="P269" s="9">
        <f t="shared" si="37"/>
        <v>0</v>
      </c>
      <c r="Q269"/>
      <c r="R269"/>
      <c r="S269"/>
    </row>
    <row r="270" spans="1:19" ht="16.5" thickBot="1" x14ac:dyDescent="0.3">
      <c r="A270" s="175">
        <v>438</v>
      </c>
      <c r="B270" s="170" t="s">
        <v>2023</v>
      </c>
      <c r="C270" s="1" t="str">
        <f t="shared" si="32"/>
        <v>VF55</v>
      </c>
      <c r="D270" s="179" t="s">
        <v>1805</v>
      </c>
      <c r="E270" s="180" t="s">
        <v>23</v>
      </c>
      <c r="F270" s="186">
        <v>56</v>
      </c>
      <c r="G270" s="180"/>
      <c r="H270" s="181">
        <v>22786</v>
      </c>
      <c r="I270" s="4"/>
      <c r="J270" s="4"/>
      <c r="K270" s="7" t="str">
        <f t="shared" si="31"/>
        <v/>
      </c>
      <c r="L270" s="8" t="str">
        <f t="shared" si="33"/>
        <v>Tracy Giddings</v>
      </c>
      <c r="M270" s="8" t="str">
        <f t="shared" si="34"/>
        <v>VF55</v>
      </c>
      <c r="N270" s="8" t="str">
        <f t="shared" si="35"/>
        <v>Harold Wood Running Club</v>
      </c>
      <c r="O270" s="8" t="str">
        <f t="shared" si="36"/>
        <v>F</v>
      </c>
      <c r="P270" s="9">
        <f t="shared" si="37"/>
        <v>0</v>
      </c>
      <c r="Q270"/>
      <c r="R270"/>
      <c r="S270"/>
    </row>
    <row r="271" spans="1:19" ht="16.5" thickBot="1" x14ac:dyDescent="0.3">
      <c r="A271" s="175">
        <v>439</v>
      </c>
      <c r="B271" s="170" t="s">
        <v>1792</v>
      </c>
      <c r="C271" s="1" t="str">
        <f t="shared" si="32"/>
        <v>VM50</v>
      </c>
      <c r="D271" s="179" t="s">
        <v>1805</v>
      </c>
      <c r="E271" s="182" t="s">
        <v>24</v>
      </c>
      <c r="F271" s="186">
        <v>56</v>
      </c>
      <c r="G271" s="180"/>
      <c r="H271" s="181">
        <v>22737</v>
      </c>
      <c r="I271" s="4"/>
      <c r="J271" s="4"/>
      <c r="K271" s="7" t="str">
        <f t="shared" si="31"/>
        <v/>
      </c>
      <c r="L271" s="8" t="str">
        <f t="shared" si="33"/>
        <v>Brynley Giddings</v>
      </c>
      <c r="M271" s="8" t="str">
        <f t="shared" si="34"/>
        <v>VM50</v>
      </c>
      <c r="N271" s="8" t="str">
        <f t="shared" si="35"/>
        <v>Harold Wood Running Club</v>
      </c>
      <c r="O271" s="8" t="str">
        <f t="shared" si="36"/>
        <v>M</v>
      </c>
      <c r="P271" s="9">
        <f t="shared" si="37"/>
        <v>0</v>
      </c>
      <c r="Q271"/>
      <c r="R271"/>
      <c r="S271"/>
    </row>
    <row r="272" spans="1:19" ht="16.5" thickBot="1" x14ac:dyDescent="0.3">
      <c r="A272" s="175">
        <v>440</v>
      </c>
      <c r="B272" s="170" t="s">
        <v>218</v>
      </c>
      <c r="C272" s="1" t="str">
        <f t="shared" si="32"/>
        <v>VM70</v>
      </c>
      <c r="D272" s="179" t="s">
        <v>38</v>
      </c>
      <c r="E272" s="182" t="s">
        <v>24</v>
      </c>
      <c r="F272" s="186">
        <v>72</v>
      </c>
      <c r="G272" s="180"/>
      <c r="H272" s="181">
        <v>16849</v>
      </c>
      <c r="I272" s="4"/>
      <c r="J272" s="4"/>
      <c r="K272" s="7" t="str">
        <f t="shared" si="31"/>
        <v/>
      </c>
      <c r="L272" s="8" t="str">
        <f t="shared" si="33"/>
        <v>Brian Slade</v>
      </c>
      <c r="M272" s="8" t="str">
        <f t="shared" si="34"/>
        <v>VM70</v>
      </c>
      <c r="N272" s="8" t="str">
        <f t="shared" si="35"/>
        <v>Havering 90 Joggers</v>
      </c>
      <c r="O272" s="8" t="str">
        <f t="shared" si="36"/>
        <v>M</v>
      </c>
      <c r="P272" s="9">
        <f t="shared" si="37"/>
        <v>0</v>
      </c>
      <c r="Q272"/>
      <c r="R272"/>
      <c r="S272"/>
    </row>
    <row r="273" spans="1:19" ht="16.5" thickBot="1" x14ac:dyDescent="0.3">
      <c r="A273" s="175">
        <v>441</v>
      </c>
      <c r="B273" s="170" t="s">
        <v>1033</v>
      </c>
      <c r="C273" s="1" t="str">
        <f t="shared" si="32"/>
        <v>VM40</v>
      </c>
      <c r="D273" s="188" t="s">
        <v>12</v>
      </c>
      <c r="E273" s="182" t="s">
        <v>24</v>
      </c>
      <c r="F273" s="186">
        <v>43</v>
      </c>
      <c r="G273" s="180"/>
      <c r="H273" s="181">
        <v>27550</v>
      </c>
      <c r="I273" s="4"/>
      <c r="J273" s="4"/>
      <c r="K273" s="7" t="str">
        <f t="shared" si="31"/>
        <v/>
      </c>
      <c r="L273" s="8" t="str">
        <f t="shared" si="33"/>
        <v>Scott McMillan</v>
      </c>
      <c r="M273" s="8" t="str">
        <f t="shared" si="34"/>
        <v>VM40</v>
      </c>
      <c r="N273" s="8" t="str">
        <f t="shared" si="35"/>
        <v>East London Runners</v>
      </c>
      <c r="O273" s="8" t="str">
        <f t="shared" si="36"/>
        <v>M</v>
      </c>
      <c r="P273" s="9">
        <f t="shared" si="37"/>
        <v>0</v>
      </c>
      <c r="Q273"/>
      <c r="R273"/>
      <c r="S273"/>
    </row>
    <row r="274" spans="1:19" ht="16.5" thickBot="1" x14ac:dyDescent="0.3">
      <c r="A274" s="175">
        <v>442</v>
      </c>
      <c r="B274" s="170" t="s">
        <v>1855</v>
      </c>
      <c r="C274" s="1" t="str">
        <f t="shared" si="32"/>
        <v>VF35</v>
      </c>
      <c r="D274" s="179" t="s">
        <v>154</v>
      </c>
      <c r="E274" s="182" t="s">
        <v>23</v>
      </c>
      <c r="F274" s="186">
        <v>39</v>
      </c>
      <c r="G274" s="180"/>
      <c r="H274" s="181">
        <v>29055</v>
      </c>
      <c r="I274" s="4"/>
      <c r="J274" s="4"/>
      <c r="K274" s="7" t="str">
        <f t="shared" si="31"/>
        <v/>
      </c>
      <c r="L274" s="8" t="str">
        <f t="shared" si="33"/>
        <v>Kate Aldersey</v>
      </c>
      <c r="M274" s="8" t="str">
        <f t="shared" si="34"/>
        <v>VF35</v>
      </c>
      <c r="N274" s="8" t="str">
        <f t="shared" si="35"/>
        <v>Eton Manor AC</v>
      </c>
      <c r="O274" s="8" t="str">
        <f t="shared" si="36"/>
        <v>F</v>
      </c>
      <c r="P274" s="9">
        <f t="shared" si="37"/>
        <v>0</v>
      </c>
      <c r="Q274"/>
      <c r="R274"/>
      <c r="S274"/>
    </row>
    <row r="275" spans="1:19" ht="16.5" thickBot="1" x14ac:dyDescent="0.3">
      <c r="A275" s="175">
        <v>443</v>
      </c>
      <c r="B275" s="170" t="s">
        <v>2125</v>
      </c>
      <c r="C275" s="1" t="str">
        <f t="shared" si="32"/>
        <v>VF45</v>
      </c>
      <c r="D275" s="179" t="s">
        <v>1805</v>
      </c>
      <c r="E275" s="182" t="s">
        <v>23</v>
      </c>
      <c r="F275" s="186">
        <v>45</v>
      </c>
      <c r="G275" s="180"/>
      <c r="H275" s="181">
        <v>26781</v>
      </c>
      <c r="I275" s="4"/>
      <c r="J275" s="4"/>
      <c r="K275" s="7" t="str">
        <f t="shared" si="31"/>
        <v/>
      </c>
      <c r="L275" s="8" t="str">
        <f t="shared" si="33"/>
        <v>Donna Ball</v>
      </c>
      <c r="M275" s="8" t="str">
        <f t="shared" si="34"/>
        <v>VF45</v>
      </c>
      <c r="N275" s="8" t="str">
        <f t="shared" si="35"/>
        <v>Harold Wood Running Club</v>
      </c>
      <c r="O275" s="8" t="str">
        <f t="shared" si="36"/>
        <v>F</v>
      </c>
      <c r="P275" s="9">
        <f t="shared" si="37"/>
        <v>0</v>
      </c>
      <c r="Q275"/>
      <c r="R275"/>
      <c r="S275"/>
    </row>
    <row r="276" spans="1:19" ht="16.5" thickBot="1" x14ac:dyDescent="0.3">
      <c r="A276" s="175">
        <v>444</v>
      </c>
      <c r="B276" s="170" t="s">
        <v>2456</v>
      </c>
      <c r="C276" s="1" t="str">
        <f t="shared" si="32"/>
        <v>SM</v>
      </c>
      <c r="D276" s="179" t="s">
        <v>12</v>
      </c>
      <c r="E276" s="182" t="s">
        <v>24</v>
      </c>
      <c r="F276" s="186">
        <v>22</v>
      </c>
      <c r="G276" s="180"/>
      <c r="H276" s="181">
        <v>35095</v>
      </c>
      <c r="I276" s="4"/>
      <c r="J276" s="4"/>
      <c r="K276" s="7" t="str">
        <f t="shared" si="31"/>
        <v/>
      </c>
      <c r="L276" s="8" t="str">
        <f t="shared" si="33"/>
        <v>Karan Gadhia</v>
      </c>
      <c r="M276" s="8" t="str">
        <f t="shared" si="34"/>
        <v>SM</v>
      </c>
      <c r="N276" s="8" t="str">
        <f t="shared" si="35"/>
        <v>East London Runners</v>
      </c>
      <c r="O276" s="8" t="str">
        <f t="shared" si="36"/>
        <v>M</v>
      </c>
      <c r="P276" s="9">
        <f t="shared" si="37"/>
        <v>0</v>
      </c>
      <c r="Q276"/>
      <c r="R276"/>
      <c r="S276"/>
    </row>
    <row r="277" spans="1:19" ht="16.5" thickBot="1" x14ac:dyDescent="0.3">
      <c r="A277" s="175">
        <v>445</v>
      </c>
      <c r="B277" s="170" t="s">
        <v>2379</v>
      </c>
      <c r="C277" s="1" t="str">
        <f t="shared" si="32"/>
        <v>SF</v>
      </c>
      <c r="D277" s="188" t="s">
        <v>1805</v>
      </c>
      <c r="E277" s="182" t="s">
        <v>23</v>
      </c>
      <c r="F277" s="186">
        <v>30</v>
      </c>
      <c r="G277" s="180"/>
      <c r="H277" s="181">
        <v>32023</v>
      </c>
      <c r="I277" s="4"/>
      <c r="J277" s="4"/>
      <c r="K277" s="7" t="str">
        <f t="shared" si="31"/>
        <v/>
      </c>
      <c r="L277" s="8" t="str">
        <f t="shared" si="33"/>
        <v>Parisa Skeldon</v>
      </c>
      <c r="M277" s="8" t="str">
        <f t="shared" si="34"/>
        <v>SF</v>
      </c>
      <c r="N277" s="8" t="str">
        <f t="shared" si="35"/>
        <v>Harold Wood Running Club</v>
      </c>
      <c r="O277" s="8" t="str">
        <f t="shared" si="36"/>
        <v>F</v>
      </c>
      <c r="P277" s="9">
        <f t="shared" si="37"/>
        <v>0</v>
      </c>
      <c r="Q277"/>
      <c r="R277"/>
      <c r="S277"/>
    </row>
    <row r="278" spans="1:19" ht="16.5" thickBot="1" x14ac:dyDescent="0.3">
      <c r="A278" s="175">
        <v>446</v>
      </c>
      <c r="B278" s="170" t="s">
        <v>1133</v>
      </c>
      <c r="C278" s="1" t="str">
        <f t="shared" si="32"/>
        <v>VF45</v>
      </c>
      <c r="D278" s="179" t="s">
        <v>38</v>
      </c>
      <c r="E278" s="182" t="s">
        <v>23</v>
      </c>
      <c r="F278" s="186">
        <v>48</v>
      </c>
      <c r="G278" s="180"/>
      <c r="H278" s="181">
        <v>25468</v>
      </c>
      <c r="I278" s="4"/>
      <c r="J278" s="4"/>
      <c r="K278" s="7" t="str">
        <f t="shared" si="31"/>
        <v/>
      </c>
      <c r="L278" s="8" t="str">
        <f t="shared" si="33"/>
        <v>Lara Harradine</v>
      </c>
      <c r="M278" s="8" t="str">
        <f t="shared" si="34"/>
        <v>VF45</v>
      </c>
      <c r="N278" s="8" t="str">
        <f t="shared" si="35"/>
        <v>Havering 90 Joggers</v>
      </c>
      <c r="O278" s="8" t="str">
        <f t="shared" si="36"/>
        <v>F</v>
      </c>
      <c r="P278" s="9">
        <f t="shared" si="37"/>
        <v>0</v>
      </c>
      <c r="Q278"/>
      <c r="R278"/>
      <c r="S278"/>
    </row>
    <row r="279" spans="1:19" ht="16.5" thickBot="1" x14ac:dyDescent="0.3">
      <c r="A279" s="175">
        <v>447</v>
      </c>
      <c r="B279" s="170" t="s">
        <v>1822</v>
      </c>
      <c r="C279" s="1" t="str">
        <f t="shared" si="32"/>
        <v>SM</v>
      </c>
      <c r="D279" s="179" t="s">
        <v>1805</v>
      </c>
      <c r="E279" s="182" t="s">
        <v>24</v>
      </c>
      <c r="F279" s="186">
        <v>30</v>
      </c>
      <c r="G279" s="180"/>
      <c r="H279" s="181">
        <v>32188</v>
      </c>
      <c r="I279" s="4"/>
      <c r="J279" s="4"/>
      <c r="K279" s="7" t="str">
        <f t="shared" si="31"/>
        <v/>
      </c>
      <c r="L279" s="8" t="str">
        <f t="shared" si="33"/>
        <v>Christopher King</v>
      </c>
      <c r="M279" s="8" t="str">
        <f t="shared" si="34"/>
        <v>SM</v>
      </c>
      <c r="N279" s="8" t="str">
        <f t="shared" si="35"/>
        <v>Harold Wood Running Club</v>
      </c>
      <c r="O279" s="8" t="str">
        <f t="shared" si="36"/>
        <v>M</v>
      </c>
      <c r="P279" s="9">
        <f t="shared" si="37"/>
        <v>0</v>
      </c>
      <c r="Q279"/>
      <c r="R279"/>
      <c r="S279"/>
    </row>
    <row r="280" spans="1:19" ht="16.5" thickBot="1" x14ac:dyDescent="0.3">
      <c r="A280" s="175">
        <v>448</v>
      </c>
      <c r="B280" s="170" t="s">
        <v>2748</v>
      </c>
      <c r="C280" s="1" t="str">
        <f t="shared" si="32"/>
        <v>SM</v>
      </c>
      <c r="D280" s="179" t="s">
        <v>63</v>
      </c>
      <c r="E280" s="182" t="s">
        <v>24</v>
      </c>
      <c r="F280" s="186">
        <v>35</v>
      </c>
      <c r="G280" s="180"/>
      <c r="H280" s="181">
        <v>30229</v>
      </c>
      <c r="I280" s="4"/>
      <c r="J280" s="4"/>
      <c r="K280" s="7" t="str">
        <f t="shared" si="31"/>
        <v/>
      </c>
      <c r="L280" s="8" t="str">
        <f t="shared" si="33"/>
        <v>Nicholas Reeve</v>
      </c>
      <c r="M280" s="8" t="str">
        <f t="shared" si="34"/>
        <v>SM</v>
      </c>
      <c r="N280" s="8" t="str">
        <f t="shared" si="35"/>
        <v>East End Road Runners</v>
      </c>
      <c r="O280" s="8" t="str">
        <f t="shared" si="36"/>
        <v>M</v>
      </c>
      <c r="P280" s="9">
        <f t="shared" si="37"/>
        <v>0</v>
      </c>
      <c r="Q280"/>
      <c r="R280"/>
      <c r="S280"/>
    </row>
    <row r="281" spans="1:19" ht="16.5" thickBot="1" x14ac:dyDescent="0.3">
      <c r="A281" s="175">
        <v>449</v>
      </c>
      <c r="B281" s="170" t="s">
        <v>1891</v>
      </c>
      <c r="C281" s="1" t="str">
        <f t="shared" si="32"/>
        <v>VM50</v>
      </c>
      <c r="D281" s="179" t="s">
        <v>14</v>
      </c>
      <c r="E281" s="182" t="s">
        <v>24</v>
      </c>
      <c r="F281" s="186">
        <v>52</v>
      </c>
      <c r="G281" s="180"/>
      <c r="H281" s="181">
        <v>24046</v>
      </c>
      <c r="I281" s="4"/>
      <c r="J281" s="4"/>
      <c r="K281" s="7" t="str">
        <f t="shared" si="31"/>
        <v/>
      </c>
      <c r="L281" s="8" t="str">
        <f t="shared" si="33"/>
        <v>Dhurmendra Mistry</v>
      </c>
      <c r="M281" s="8" t="str">
        <f t="shared" si="34"/>
        <v>VM50</v>
      </c>
      <c r="N281" s="8" t="str">
        <f t="shared" si="35"/>
        <v>Orion Harriers</v>
      </c>
      <c r="O281" s="8" t="str">
        <f t="shared" si="36"/>
        <v>M</v>
      </c>
      <c r="P281" s="9">
        <f t="shared" si="37"/>
        <v>0</v>
      </c>
      <c r="Q281"/>
      <c r="R281"/>
      <c r="S281"/>
    </row>
    <row r="282" spans="1:19" ht="16.5" thickBot="1" x14ac:dyDescent="0.3">
      <c r="A282" s="175">
        <v>450</v>
      </c>
      <c r="B282" s="170" t="s">
        <v>522</v>
      </c>
      <c r="C282" s="1" t="str">
        <f t="shared" si="32"/>
        <v>SM</v>
      </c>
      <c r="D282" s="179" t="s">
        <v>108</v>
      </c>
      <c r="E282" s="182" t="s">
        <v>24</v>
      </c>
      <c r="F282" s="186">
        <v>35</v>
      </c>
      <c r="G282" s="180"/>
      <c r="H282" s="181">
        <v>30204</v>
      </c>
      <c r="I282" s="4"/>
      <c r="J282" s="4"/>
      <c r="K282" s="7" t="str">
        <f t="shared" si="31"/>
        <v/>
      </c>
      <c r="L282" s="8" t="str">
        <f t="shared" si="33"/>
        <v>Sam Rahman</v>
      </c>
      <c r="M282" s="8" t="str">
        <f t="shared" si="34"/>
        <v>SM</v>
      </c>
      <c r="N282" s="8" t="str">
        <f t="shared" si="35"/>
        <v>Ilford AC</v>
      </c>
      <c r="O282" s="8" t="str">
        <f t="shared" si="36"/>
        <v>M</v>
      </c>
      <c r="P282" s="9">
        <f t="shared" si="37"/>
        <v>0</v>
      </c>
      <c r="Q282"/>
      <c r="R282"/>
      <c r="S282"/>
    </row>
    <row r="283" spans="1:19" ht="16.5" thickBot="1" x14ac:dyDescent="0.3">
      <c r="A283" s="175">
        <v>451</v>
      </c>
      <c r="B283" s="170" t="s">
        <v>2749</v>
      </c>
      <c r="C283" s="1" t="str">
        <f t="shared" si="32"/>
        <v>SF</v>
      </c>
      <c r="D283" s="179" t="s">
        <v>12</v>
      </c>
      <c r="E283" s="182" t="s">
        <v>23</v>
      </c>
      <c r="F283" s="187">
        <v>24</v>
      </c>
      <c r="G283" s="180"/>
      <c r="H283" s="181">
        <v>34348</v>
      </c>
      <c r="I283" s="4"/>
      <c r="J283" s="4"/>
      <c r="K283" s="7" t="str">
        <f t="shared" si="31"/>
        <v/>
      </c>
      <c r="L283" s="8" t="str">
        <f t="shared" si="33"/>
        <v>Zoila Gilham-Fernandez</v>
      </c>
      <c r="M283" s="8" t="str">
        <f t="shared" si="34"/>
        <v>SF</v>
      </c>
      <c r="N283" s="8" t="str">
        <f t="shared" si="35"/>
        <v>East London Runners</v>
      </c>
      <c r="O283" s="8" t="str">
        <f t="shared" si="36"/>
        <v>F</v>
      </c>
      <c r="P283" s="9">
        <f t="shared" si="37"/>
        <v>0</v>
      </c>
      <c r="Q283"/>
      <c r="R283"/>
      <c r="S283"/>
    </row>
    <row r="284" spans="1:19" ht="16.5" thickBot="1" x14ac:dyDescent="0.3">
      <c r="A284" s="175">
        <v>452</v>
      </c>
      <c r="B284" s="170" t="s">
        <v>212</v>
      </c>
      <c r="C284" s="1" t="str">
        <f t="shared" si="32"/>
        <v>VM60</v>
      </c>
      <c r="D284" s="179" t="s">
        <v>38</v>
      </c>
      <c r="E284" s="182" t="s">
        <v>24</v>
      </c>
      <c r="F284" s="186">
        <v>66</v>
      </c>
      <c r="G284" s="180"/>
      <c r="H284" s="181">
        <v>18983</v>
      </c>
      <c r="I284" s="4"/>
      <c r="J284" s="4"/>
      <c r="K284" s="7" t="str">
        <f t="shared" si="31"/>
        <v/>
      </c>
      <c r="L284" s="8" t="str">
        <f t="shared" si="33"/>
        <v>Keith Penfold</v>
      </c>
      <c r="M284" s="8" t="str">
        <f t="shared" si="34"/>
        <v>VM60</v>
      </c>
      <c r="N284" s="8" t="str">
        <f t="shared" si="35"/>
        <v>Havering 90 Joggers</v>
      </c>
      <c r="O284" s="8" t="str">
        <f t="shared" si="36"/>
        <v>M</v>
      </c>
      <c r="P284" s="9">
        <f t="shared" si="37"/>
        <v>0</v>
      </c>
      <c r="Q284"/>
      <c r="R284"/>
      <c r="S284"/>
    </row>
    <row r="285" spans="1:19" ht="16.5" thickBot="1" x14ac:dyDescent="0.3">
      <c r="A285" s="175">
        <v>453</v>
      </c>
      <c r="B285" s="170" t="s">
        <v>2750</v>
      </c>
      <c r="C285" s="1" t="str">
        <f t="shared" si="32"/>
        <v>VM70</v>
      </c>
      <c r="D285" s="179" t="s">
        <v>38</v>
      </c>
      <c r="E285" s="180" t="s">
        <v>24</v>
      </c>
      <c r="F285" s="186">
        <v>72</v>
      </c>
      <c r="G285" s="180"/>
      <c r="H285" s="181">
        <v>16925</v>
      </c>
      <c r="I285" s="4"/>
      <c r="J285" s="4"/>
      <c r="K285" s="7" t="str">
        <f t="shared" si="31"/>
        <v/>
      </c>
      <c r="L285" s="8" t="str">
        <f t="shared" si="33"/>
        <v>Les Adler</v>
      </c>
      <c r="M285" s="8" t="str">
        <f t="shared" si="34"/>
        <v>VM70</v>
      </c>
      <c r="N285" s="8" t="str">
        <f t="shared" si="35"/>
        <v>Havering 90 Joggers</v>
      </c>
      <c r="O285" s="8" t="str">
        <f t="shared" si="36"/>
        <v>M</v>
      </c>
      <c r="P285" s="9">
        <f t="shared" si="37"/>
        <v>0</v>
      </c>
      <c r="Q285"/>
      <c r="R285"/>
      <c r="S285"/>
    </row>
    <row r="286" spans="1:19" ht="16.5" thickBot="1" x14ac:dyDescent="0.3">
      <c r="A286" s="175">
        <v>454</v>
      </c>
      <c r="B286" s="170" t="s">
        <v>2751</v>
      </c>
      <c r="C286" s="1" t="str">
        <f t="shared" si="32"/>
        <v>VM60</v>
      </c>
      <c r="D286" s="179" t="s">
        <v>14</v>
      </c>
      <c r="E286" s="182" t="s">
        <v>24</v>
      </c>
      <c r="F286" s="186">
        <v>64</v>
      </c>
      <c r="G286" s="180"/>
      <c r="H286" s="181">
        <v>19774</v>
      </c>
      <c r="I286" s="4"/>
      <c r="J286" s="4"/>
      <c r="K286" s="7" t="str">
        <f t="shared" si="31"/>
        <v/>
      </c>
      <c r="L286" s="8" t="str">
        <f t="shared" si="33"/>
        <v>Peter Bulaitis</v>
      </c>
      <c r="M286" s="8" t="str">
        <f t="shared" si="34"/>
        <v>VM60</v>
      </c>
      <c r="N286" s="8" t="str">
        <f t="shared" si="35"/>
        <v>Orion Harriers</v>
      </c>
      <c r="O286" s="8" t="str">
        <f t="shared" si="36"/>
        <v>M</v>
      </c>
      <c r="P286" s="9">
        <f t="shared" si="37"/>
        <v>0</v>
      </c>
      <c r="Q286"/>
      <c r="R286"/>
      <c r="S286"/>
    </row>
    <row r="287" spans="1:19" ht="16.5" thickBot="1" x14ac:dyDescent="0.3">
      <c r="A287" s="175">
        <v>455</v>
      </c>
      <c r="B287" s="170" t="s">
        <v>2458</v>
      </c>
      <c r="C287" s="1" t="str">
        <f t="shared" si="32"/>
        <v>VM60</v>
      </c>
      <c r="D287" s="179" t="s">
        <v>38</v>
      </c>
      <c r="E287" s="182" t="s">
        <v>24</v>
      </c>
      <c r="F287" s="186">
        <v>68</v>
      </c>
      <c r="G287" s="180"/>
      <c r="H287" s="181">
        <v>18248</v>
      </c>
      <c r="I287" s="4"/>
      <c r="J287" s="4"/>
      <c r="K287" s="7" t="str">
        <f t="shared" si="31"/>
        <v/>
      </c>
      <c r="L287" s="8" t="str">
        <f t="shared" si="33"/>
        <v>Henry Monaghan</v>
      </c>
      <c r="M287" s="8" t="str">
        <f t="shared" si="34"/>
        <v>VM60</v>
      </c>
      <c r="N287" s="8" t="str">
        <f t="shared" si="35"/>
        <v>Havering 90 Joggers</v>
      </c>
      <c r="O287" s="8" t="str">
        <f t="shared" si="36"/>
        <v>M</v>
      </c>
      <c r="P287" s="9">
        <f t="shared" si="37"/>
        <v>0</v>
      </c>
      <c r="Q287"/>
      <c r="R287"/>
      <c r="S287"/>
    </row>
    <row r="288" spans="1:19" ht="16.5" thickBot="1" x14ac:dyDescent="0.3">
      <c r="A288" s="175">
        <v>456</v>
      </c>
      <c r="B288" s="170" t="s">
        <v>296</v>
      </c>
      <c r="C288" s="1" t="str">
        <f t="shared" si="32"/>
        <v>VF35</v>
      </c>
      <c r="D288" s="179" t="s">
        <v>38</v>
      </c>
      <c r="E288" s="182" t="s">
        <v>23</v>
      </c>
      <c r="F288" s="186">
        <v>41</v>
      </c>
      <c r="G288" s="180"/>
      <c r="H288" s="181">
        <v>28195</v>
      </c>
      <c r="I288" s="4"/>
      <c r="J288" s="4"/>
      <c r="K288" s="7" t="str">
        <f t="shared" si="31"/>
        <v/>
      </c>
      <c r="L288" s="8" t="str">
        <f t="shared" si="33"/>
        <v>Laura Thomas</v>
      </c>
      <c r="M288" s="8" t="str">
        <f t="shared" si="34"/>
        <v>VF35</v>
      </c>
      <c r="N288" s="8" t="str">
        <f t="shared" si="35"/>
        <v>Havering 90 Joggers</v>
      </c>
      <c r="O288" s="8" t="str">
        <f t="shared" si="36"/>
        <v>F</v>
      </c>
      <c r="P288" s="9">
        <f t="shared" si="37"/>
        <v>0</v>
      </c>
      <c r="Q288"/>
      <c r="R288"/>
      <c r="S288"/>
    </row>
    <row r="289" spans="1:19" ht="16.5" thickBot="1" x14ac:dyDescent="0.3">
      <c r="A289" s="175">
        <v>457</v>
      </c>
      <c r="B289" s="170" t="s">
        <v>2198</v>
      </c>
      <c r="C289" s="1" t="str">
        <f t="shared" si="32"/>
        <v>SM</v>
      </c>
      <c r="D289" s="188" t="s">
        <v>38</v>
      </c>
      <c r="E289" s="182" t="s">
        <v>24</v>
      </c>
      <c r="F289" s="186">
        <v>33</v>
      </c>
      <c r="G289" s="180"/>
      <c r="H289" s="181">
        <v>31089</v>
      </c>
      <c r="I289" s="4"/>
      <c r="J289" s="4"/>
      <c r="K289" s="7" t="str">
        <f t="shared" si="31"/>
        <v/>
      </c>
      <c r="L289" s="8" t="str">
        <f t="shared" si="33"/>
        <v>Daniel Elwood</v>
      </c>
      <c r="M289" s="8" t="str">
        <f t="shared" si="34"/>
        <v>SM</v>
      </c>
      <c r="N289" s="8" t="str">
        <f t="shared" si="35"/>
        <v>Havering 90 Joggers</v>
      </c>
      <c r="O289" s="8" t="str">
        <f t="shared" si="36"/>
        <v>M</v>
      </c>
      <c r="P289" s="9">
        <f t="shared" si="37"/>
        <v>0</v>
      </c>
      <c r="Q289"/>
      <c r="R289"/>
      <c r="S289"/>
    </row>
    <row r="290" spans="1:19" ht="16.5" thickBot="1" x14ac:dyDescent="0.3">
      <c r="A290" s="175">
        <v>458</v>
      </c>
      <c r="B290" s="170" t="s">
        <v>387</v>
      </c>
      <c r="C290" s="1" t="str">
        <f t="shared" si="32"/>
        <v>VF45</v>
      </c>
      <c r="D290" s="179" t="s">
        <v>38</v>
      </c>
      <c r="E290" s="182" t="s">
        <v>23</v>
      </c>
      <c r="F290" s="186">
        <v>51</v>
      </c>
      <c r="G290" s="180"/>
      <c r="H290" s="181">
        <v>24399</v>
      </c>
      <c r="I290" s="4"/>
      <c r="J290" s="4"/>
      <c r="K290" s="7" t="str">
        <f t="shared" si="31"/>
        <v/>
      </c>
      <c r="L290" s="8" t="str">
        <f t="shared" si="33"/>
        <v>Christina Kelekun</v>
      </c>
      <c r="M290" s="8" t="str">
        <f t="shared" si="34"/>
        <v>VF45</v>
      </c>
      <c r="N290" s="8" t="str">
        <f t="shared" si="35"/>
        <v>Havering 90 Joggers</v>
      </c>
      <c r="O290" s="8" t="str">
        <f t="shared" si="36"/>
        <v>F</v>
      </c>
      <c r="P290" s="9">
        <f t="shared" si="37"/>
        <v>0</v>
      </c>
      <c r="Q290"/>
      <c r="R290"/>
      <c r="S290"/>
    </row>
    <row r="291" spans="1:19" ht="16.5" thickBot="1" x14ac:dyDescent="0.3">
      <c r="A291" s="175">
        <v>459</v>
      </c>
      <c r="B291" s="170" t="s">
        <v>214</v>
      </c>
      <c r="C291" s="1" t="str">
        <f t="shared" si="32"/>
        <v>VM60</v>
      </c>
      <c r="D291" s="179" t="s">
        <v>38</v>
      </c>
      <c r="E291" s="182" t="s">
        <v>24</v>
      </c>
      <c r="F291" s="186">
        <v>65</v>
      </c>
      <c r="G291" s="180"/>
      <c r="H291" s="181">
        <v>19455</v>
      </c>
      <c r="I291" s="4"/>
      <c r="J291" s="4"/>
      <c r="K291" s="7" t="str">
        <f t="shared" si="31"/>
        <v/>
      </c>
      <c r="L291" s="8" t="str">
        <f t="shared" si="33"/>
        <v>Bernard Savage</v>
      </c>
      <c r="M291" s="8" t="str">
        <f t="shared" si="34"/>
        <v>VM60</v>
      </c>
      <c r="N291" s="8" t="str">
        <f t="shared" si="35"/>
        <v>Havering 90 Joggers</v>
      </c>
      <c r="O291" s="8" t="str">
        <f t="shared" si="36"/>
        <v>M</v>
      </c>
      <c r="P291" s="9">
        <f t="shared" si="37"/>
        <v>0</v>
      </c>
      <c r="Q291"/>
      <c r="R291"/>
      <c r="S291"/>
    </row>
    <row r="292" spans="1:19" ht="16.5" thickBot="1" x14ac:dyDescent="0.3">
      <c r="A292" s="175">
        <v>460</v>
      </c>
      <c r="B292" s="170" t="s">
        <v>2028</v>
      </c>
      <c r="C292" s="1" t="str">
        <f t="shared" si="32"/>
        <v>SM</v>
      </c>
      <c r="D292" s="188" t="s">
        <v>1805</v>
      </c>
      <c r="E292" s="182" t="s">
        <v>24</v>
      </c>
      <c r="F292" s="186">
        <v>29</v>
      </c>
      <c r="G292" s="180"/>
      <c r="H292" s="181">
        <v>32449</v>
      </c>
      <c r="I292" s="4"/>
      <c r="J292" s="4"/>
      <c r="K292" s="7" t="str">
        <f t="shared" si="31"/>
        <v/>
      </c>
      <c r="L292" s="8" t="str">
        <f t="shared" si="33"/>
        <v>James Coker</v>
      </c>
      <c r="M292" s="8" t="str">
        <f t="shared" si="34"/>
        <v>SM</v>
      </c>
      <c r="N292" s="8" t="str">
        <f t="shared" si="35"/>
        <v>Harold Wood Running Club</v>
      </c>
      <c r="O292" s="8" t="str">
        <f t="shared" si="36"/>
        <v>M</v>
      </c>
      <c r="P292" s="9">
        <f t="shared" si="37"/>
        <v>0</v>
      </c>
      <c r="Q292"/>
      <c r="R292"/>
      <c r="S292"/>
    </row>
    <row r="293" spans="1:19" ht="16.5" thickBot="1" x14ac:dyDescent="0.3">
      <c r="A293" s="175">
        <v>461</v>
      </c>
      <c r="B293" s="170" t="s">
        <v>2752</v>
      </c>
      <c r="C293" s="1" t="str">
        <f t="shared" si="32"/>
        <v>VM40</v>
      </c>
      <c r="D293" s="179" t="s">
        <v>12</v>
      </c>
      <c r="E293" s="182" t="s">
        <v>24</v>
      </c>
      <c r="F293" s="186">
        <v>44</v>
      </c>
      <c r="G293" s="180"/>
      <c r="H293" s="181">
        <v>27164</v>
      </c>
      <c r="I293" s="4"/>
      <c r="J293" s="4"/>
      <c r="K293" s="7" t="str">
        <f t="shared" si="31"/>
        <v/>
      </c>
      <c r="L293" s="8" t="str">
        <f t="shared" si="33"/>
        <v>peter hatley</v>
      </c>
      <c r="M293" s="8" t="str">
        <f t="shared" si="34"/>
        <v>VM40</v>
      </c>
      <c r="N293" s="8" t="str">
        <f t="shared" si="35"/>
        <v>East London Runners</v>
      </c>
      <c r="O293" s="8" t="str">
        <f t="shared" si="36"/>
        <v>M</v>
      </c>
      <c r="P293" s="9">
        <f t="shared" si="37"/>
        <v>0</v>
      </c>
      <c r="Q293"/>
      <c r="R293"/>
      <c r="S293"/>
    </row>
    <row r="294" spans="1:19" ht="16.5" thickBot="1" x14ac:dyDescent="0.3">
      <c r="A294" s="175">
        <v>462</v>
      </c>
      <c r="B294" s="170" t="s">
        <v>963</v>
      </c>
      <c r="C294" s="1" t="str">
        <f t="shared" si="32"/>
        <v>VF35</v>
      </c>
      <c r="D294" s="179" t="s">
        <v>12</v>
      </c>
      <c r="E294" s="180" t="s">
        <v>23</v>
      </c>
      <c r="F294" s="186">
        <v>44</v>
      </c>
      <c r="G294" s="180"/>
      <c r="H294" s="181">
        <v>27116</v>
      </c>
      <c r="I294" s="4"/>
      <c r="J294" s="4"/>
      <c r="K294" s="7" t="str">
        <f t="shared" si="31"/>
        <v/>
      </c>
      <c r="L294" s="8" t="str">
        <f t="shared" si="33"/>
        <v>Katy Taylor</v>
      </c>
      <c r="M294" s="8" t="str">
        <f t="shared" si="34"/>
        <v>VF35</v>
      </c>
      <c r="N294" s="8" t="str">
        <f t="shared" si="35"/>
        <v>East London Runners</v>
      </c>
      <c r="O294" s="8" t="str">
        <f t="shared" si="36"/>
        <v>F</v>
      </c>
      <c r="P294" s="9">
        <f t="shared" si="37"/>
        <v>0</v>
      </c>
      <c r="Q294"/>
      <c r="R294"/>
      <c r="S294"/>
    </row>
    <row r="295" spans="1:19" ht="16.5" thickBot="1" x14ac:dyDescent="0.3">
      <c r="A295" s="175">
        <v>463</v>
      </c>
      <c r="B295" s="170" t="s">
        <v>2267</v>
      </c>
      <c r="C295" s="1" t="str">
        <f t="shared" si="32"/>
        <v>VM50</v>
      </c>
      <c r="D295" s="179" t="s">
        <v>38</v>
      </c>
      <c r="E295" s="182" t="s">
        <v>24</v>
      </c>
      <c r="F295" s="186">
        <v>53</v>
      </c>
      <c r="G295" s="180"/>
      <c r="H295" s="181">
        <v>23714</v>
      </c>
      <c r="I295" s="4"/>
      <c r="J295" s="4"/>
      <c r="K295" s="7" t="str">
        <f t="shared" si="31"/>
        <v/>
      </c>
      <c r="L295" s="8" t="str">
        <f t="shared" si="33"/>
        <v>Brian Cross</v>
      </c>
      <c r="M295" s="8" t="str">
        <f t="shared" si="34"/>
        <v>VM50</v>
      </c>
      <c r="N295" s="8" t="str">
        <f t="shared" si="35"/>
        <v>Havering 90 Joggers</v>
      </c>
      <c r="O295" s="8" t="str">
        <f t="shared" si="36"/>
        <v>M</v>
      </c>
      <c r="P295" s="9">
        <f t="shared" si="37"/>
        <v>0</v>
      </c>
      <c r="Q295"/>
      <c r="R295"/>
      <c r="S295"/>
    </row>
    <row r="296" spans="1:19" ht="16.5" thickBot="1" x14ac:dyDescent="0.3">
      <c r="A296" s="175">
        <v>464</v>
      </c>
      <c r="B296" s="170" t="s">
        <v>2753</v>
      </c>
      <c r="C296" s="1" t="str">
        <f t="shared" si="32"/>
        <v>VF45</v>
      </c>
      <c r="D296" s="179" t="s">
        <v>38</v>
      </c>
      <c r="E296" s="182" t="s">
        <v>23</v>
      </c>
      <c r="F296" s="186">
        <v>53</v>
      </c>
      <c r="G296" s="180"/>
      <c r="H296" s="181">
        <v>23812</v>
      </c>
      <c r="I296" s="4"/>
      <c r="J296" s="4"/>
      <c r="K296" s="7" t="str">
        <f t="shared" si="31"/>
        <v/>
      </c>
      <c r="L296" s="8" t="str">
        <f t="shared" si="33"/>
        <v>Caroline Cross</v>
      </c>
      <c r="M296" s="8" t="str">
        <f t="shared" si="34"/>
        <v>VF45</v>
      </c>
      <c r="N296" s="8" t="str">
        <f t="shared" si="35"/>
        <v>Havering 90 Joggers</v>
      </c>
      <c r="O296" s="8" t="str">
        <f t="shared" si="36"/>
        <v>F</v>
      </c>
      <c r="P296" s="9">
        <f t="shared" si="37"/>
        <v>0</v>
      </c>
      <c r="Q296"/>
      <c r="R296"/>
      <c r="S296"/>
    </row>
    <row r="297" spans="1:19" ht="16.5" thickBot="1" x14ac:dyDescent="0.3">
      <c r="A297" s="175">
        <v>465</v>
      </c>
      <c r="B297" s="170" t="s">
        <v>2754</v>
      </c>
      <c r="C297" s="1" t="str">
        <f t="shared" si="32"/>
        <v>VM70</v>
      </c>
      <c r="D297" s="188" t="s">
        <v>38</v>
      </c>
      <c r="E297" s="182" t="s">
        <v>24</v>
      </c>
      <c r="F297" s="186">
        <v>75</v>
      </c>
      <c r="G297" s="180"/>
      <c r="H297" s="181">
        <v>15750</v>
      </c>
      <c r="I297" s="4"/>
      <c r="J297" s="4"/>
      <c r="K297" s="7" t="str">
        <f t="shared" si="31"/>
        <v/>
      </c>
      <c r="L297" s="8" t="str">
        <f t="shared" si="33"/>
        <v>ray shaw</v>
      </c>
      <c r="M297" s="8" t="str">
        <f t="shared" si="34"/>
        <v>VM70</v>
      </c>
      <c r="N297" s="8" t="str">
        <f t="shared" si="35"/>
        <v>Havering 90 Joggers</v>
      </c>
      <c r="O297" s="8" t="str">
        <f t="shared" si="36"/>
        <v>M</v>
      </c>
      <c r="P297" s="9">
        <f t="shared" si="37"/>
        <v>0</v>
      </c>
      <c r="Q297"/>
      <c r="R297"/>
      <c r="S297"/>
    </row>
    <row r="298" spans="1:19" ht="16.5" thickBot="1" x14ac:dyDescent="0.3">
      <c r="A298" s="175">
        <v>466</v>
      </c>
      <c r="B298" s="170" t="s">
        <v>2399</v>
      </c>
      <c r="C298" s="1" t="str">
        <f t="shared" si="32"/>
        <v>VF65</v>
      </c>
      <c r="D298" s="179" t="s">
        <v>38</v>
      </c>
      <c r="E298" s="182" t="s">
        <v>23</v>
      </c>
      <c r="F298" s="186">
        <v>72</v>
      </c>
      <c r="G298" s="180"/>
      <c r="H298" s="181">
        <v>17012</v>
      </c>
      <c r="I298" s="4"/>
      <c r="J298" s="4"/>
      <c r="K298" s="7" t="str">
        <f t="shared" si="31"/>
        <v/>
      </c>
      <c r="L298" s="8" t="str">
        <f t="shared" si="33"/>
        <v>Janet Shaw</v>
      </c>
      <c r="M298" s="8" t="str">
        <f t="shared" si="34"/>
        <v>VF65</v>
      </c>
      <c r="N298" s="8" t="str">
        <f t="shared" si="35"/>
        <v>Havering 90 Joggers</v>
      </c>
      <c r="O298" s="8" t="str">
        <f t="shared" si="36"/>
        <v>F</v>
      </c>
      <c r="P298" s="9">
        <f t="shared" si="37"/>
        <v>0</v>
      </c>
      <c r="Q298"/>
      <c r="R298"/>
      <c r="S298"/>
    </row>
    <row r="299" spans="1:19" ht="16.5" thickBot="1" x14ac:dyDescent="0.3">
      <c r="A299" s="175">
        <v>467</v>
      </c>
      <c r="B299" s="170" t="s">
        <v>2755</v>
      </c>
      <c r="C299" s="1" t="str">
        <f t="shared" si="32"/>
        <v>SF</v>
      </c>
      <c r="D299" s="179" t="s">
        <v>1805</v>
      </c>
      <c r="E299" s="182" t="s">
        <v>23</v>
      </c>
      <c r="F299" s="186">
        <v>30</v>
      </c>
      <c r="G299" s="180"/>
      <c r="H299" s="181">
        <v>32326</v>
      </c>
      <c r="I299" s="4"/>
      <c r="J299" s="4"/>
      <c r="K299" s="7" t="str">
        <f t="shared" si="31"/>
        <v/>
      </c>
      <c r="L299" s="8" t="str">
        <f t="shared" si="33"/>
        <v>Ilona Alaburda</v>
      </c>
      <c r="M299" s="8" t="str">
        <f t="shared" si="34"/>
        <v>SF</v>
      </c>
      <c r="N299" s="8" t="str">
        <f t="shared" si="35"/>
        <v>Harold Wood Running Club</v>
      </c>
      <c r="O299" s="8" t="str">
        <f t="shared" si="36"/>
        <v>F</v>
      </c>
      <c r="P299" s="9">
        <f t="shared" si="37"/>
        <v>0</v>
      </c>
      <c r="Q299"/>
      <c r="R299"/>
      <c r="S299"/>
    </row>
    <row r="300" spans="1:19" ht="16.5" thickBot="1" x14ac:dyDescent="0.3">
      <c r="A300" s="175">
        <v>468</v>
      </c>
      <c r="B300" s="170" t="s">
        <v>1390</v>
      </c>
      <c r="C300" s="1" t="str">
        <f t="shared" si="32"/>
        <v>VM50</v>
      </c>
      <c r="D300" s="179" t="s">
        <v>38</v>
      </c>
      <c r="E300" s="180" t="s">
        <v>24</v>
      </c>
      <c r="F300" s="186">
        <v>56</v>
      </c>
      <c r="G300" s="180"/>
      <c r="H300" s="181">
        <v>22525</v>
      </c>
      <c r="I300" s="4"/>
      <c r="J300" s="4"/>
      <c r="K300" s="7" t="str">
        <f t="shared" si="31"/>
        <v/>
      </c>
      <c r="L300" s="8" t="str">
        <f t="shared" si="33"/>
        <v>Anbarasu Govindasamy</v>
      </c>
      <c r="M300" s="8" t="str">
        <f t="shared" si="34"/>
        <v>VM50</v>
      </c>
      <c r="N300" s="8" t="str">
        <f t="shared" si="35"/>
        <v>Havering 90 Joggers</v>
      </c>
      <c r="O300" s="8" t="str">
        <f t="shared" si="36"/>
        <v>M</v>
      </c>
      <c r="P300" s="9">
        <f t="shared" si="37"/>
        <v>0</v>
      </c>
      <c r="Q300"/>
      <c r="R300"/>
      <c r="S300"/>
    </row>
    <row r="301" spans="1:19" ht="16.5" thickBot="1" x14ac:dyDescent="0.3">
      <c r="A301" s="175">
        <v>469</v>
      </c>
      <c r="B301" s="170" t="s">
        <v>1511</v>
      </c>
      <c r="C301" s="1" t="str">
        <f t="shared" si="32"/>
        <v>VF45</v>
      </c>
      <c r="D301" s="179" t="s">
        <v>155</v>
      </c>
      <c r="E301" s="182" t="s">
        <v>23</v>
      </c>
      <c r="F301" s="186">
        <v>45</v>
      </c>
      <c r="G301" s="180"/>
      <c r="H301" s="181">
        <v>26793</v>
      </c>
      <c r="I301" s="4"/>
      <c r="J301" s="4"/>
      <c r="K301" s="7" t="str">
        <f t="shared" si="31"/>
        <v/>
      </c>
      <c r="L301" s="8" t="str">
        <f t="shared" si="33"/>
        <v>Hannah Sheikh</v>
      </c>
      <c r="M301" s="8" t="str">
        <f t="shared" si="34"/>
        <v>VF45</v>
      </c>
      <c r="N301" s="8" t="str">
        <f t="shared" si="35"/>
        <v>Dagenham 88 Runners</v>
      </c>
      <c r="O301" s="8" t="str">
        <f t="shared" si="36"/>
        <v>F</v>
      </c>
      <c r="P301" s="9">
        <f t="shared" si="37"/>
        <v>0</v>
      </c>
      <c r="Q301"/>
      <c r="R301"/>
      <c r="S301"/>
    </row>
    <row r="302" spans="1:19" ht="16.5" thickBot="1" x14ac:dyDescent="0.3">
      <c r="A302" s="175">
        <v>470</v>
      </c>
      <c r="B302" s="170" t="s">
        <v>413</v>
      </c>
      <c r="C302" s="1" t="str">
        <f t="shared" si="32"/>
        <v>VM50</v>
      </c>
      <c r="D302" s="188" t="s">
        <v>108</v>
      </c>
      <c r="E302" s="182" t="s">
        <v>24</v>
      </c>
      <c r="F302" s="186">
        <v>58</v>
      </c>
      <c r="G302" s="180"/>
      <c r="H302" s="181">
        <v>22119</v>
      </c>
      <c r="I302" s="4"/>
      <c r="J302" s="4"/>
      <c r="K302" s="7" t="str">
        <f t="shared" si="31"/>
        <v/>
      </c>
      <c r="L302" s="8" t="str">
        <f t="shared" si="33"/>
        <v>Terry Knightley</v>
      </c>
      <c r="M302" s="8" t="str">
        <f t="shared" si="34"/>
        <v>VM50</v>
      </c>
      <c r="N302" s="8" t="str">
        <f t="shared" si="35"/>
        <v>Ilford AC</v>
      </c>
      <c r="O302" s="8" t="str">
        <f t="shared" si="36"/>
        <v>M</v>
      </c>
      <c r="P302" s="9">
        <f t="shared" si="37"/>
        <v>0</v>
      </c>
      <c r="Q302"/>
      <c r="R302"/>
      <c r="S302"/>
    </row>
    <row r="303" spans="1:19" ht="16.5" thickBot="1" x14ac:dyDescent="0.3">
      <c r="A303" s="175">
        <v>471</v>
      </c>
      <c r="B303" s="170" t="s">
        <v>1516</v>
      </c>
      <c r="C303" s="1" t="str">
        <f t="shared" si="32"/>
        <v>VF45</v>
      </c>
      <c r="D303" s="179" t="s">
        <v>38</v>
      </c>
      <c r="E303" s="182" t="s">
        <v>23</v>
      </c>
      <c r="F303" s="186">
        <v>50</v>
      </c>
      <c r="G303" s="180"/>
      <c r="H303" s="181">
        <v>24749</v>
      </c>
      <c r="I303" s="4"/>
      <c r="J303" s="4"/>
      <c r="K303" s="7" t="str">
        <f t="shared" si="31"/>
        <v/>
      </c>
      <c r="L303" s="8" t="str">
        <f t="shared" si="33"/>
        <v>Amanda Keasley</v>
      </c>
      <c r="M303" s="8" t="str">
        <f t="shared" si="34"/>
        <v>VF45</v>
      </c>
      <c r="N303" s="8" t="str">
        <f t="shared" si="35"/>
        <v>Havering 90 Joggers</v>
      </c>
      <c r="O303" s="8" t="str">
        <f t="shared" si="36"/>
        <v>F</v>
      </c>
      <c r="P303" s="9">
        <f t="shared" si="37"/>
        <v>0</v>
      </c>
      <c r="Q303"/>
      <c r="R303"/>
      <c r="S303"/>
    </row>
    <row r="304" spans="1:19" ht="16.5" thickBot="1" x14ac:dyDescent="0.3">
      <c r="A304" s="175">
        <v>472</v>
      </c>
      <c r="B304" s="170" t="s">
        <v>2202</v>
      </c>
      <c r="C304" s="1" t="str">
        <f t="shared" si="32"/>
        <v>VM50</v>
      </c>
      <c r="D304" s="179" t="s">
        <v>38</v>
      </c>
      <c r="E304" s="182" t="s">
        <v>24</v>
      </c>
      <c r="F304" s="186">
        <v>54</v>
      </c>
      <c r="G304" s="180"/>
      <c r="H304" s="181">
        <v>23321</v>
      </c>
      <c r="I304" s="4"/>
      <c r="J304" s="4"/>
      <c r="K304" s="7" t="str">
        <f t="shared" si="31"/>
        <v/>
      </c>
      <c r="L304" s="8" t="str">
        <f t="shared" si="33"/>
        <v>Gary Flint</v>
      </c>
      <c r="M304" s="8" t="str">
        <f t="shared" si="34"/>
        <v>VM50</v>
      </c>
      <c r="N304" s="8" t="str">
        <f t="shared" si="35"/>
        <v>Havering 90 Joggers</v>
      </c>
      <c r="O304" s="8" t="str">
        <f t="shared" si="36"/>
        <v>M</v>
      </c>
      <c r="P304" s="9">
        <f t="shared" si="37"/>
        <v>0</v>
      </c>
      <c r="Q304"/>
      <c r="R304"/>
      <c r="S304"/>
    </row>
    <row r="305" spans="1:19" ht="16.5" thickBot="1" x14ac:dyDescent="0.3">
      <c r="A305" s="175">
        <v>473</v>
      </c>
      <c r="B305" s="170" t="s">
        <v>2223</v>
      </c>
      <c r="C305" s="1" t="str">
        <f t="shared" si="32"/>
        <v>VF45</v>
      </c>
      <c r="D305" s="179" t="s">
        <v>38</v>
      </c>
      <c r="E305" s="182" t="s">
        <v>23</v>
      </c>
      <c r="F305" s="186">
        <v>47</v>
      </c>
      <c r="G305" s="180"/>
      <c r="H305" s="181">
        <v>26106</v>
      </c>
      <c r="I305" s="4"/>
      <c r="J305" s="4"/>
      <c r="K305" s="7" t="str">
        <f t="shared" si="31"/>
        <v/>
      </c>
      <c r="L305" s="8" t="str">
        <f t="shared" si="33"/>
        <v>Kate Pettit</v>
      </c>
      <c r="M305" s="8" t="str">
        <f t="shared" si="34"/>
        <v>VF45</v>
      </c>
      <c r="N305" s="8" t="str">
        <f t="shared" si="35"/>
        <v>Havering 90 Joggers</v>
      </c>
      <c r="O305" s="8" t="str">
        <f t="shared" si="36"/>
        <v>F</v>
      </c>
      <c r="P305" s="9">
        <f t="shared" si="37"/>
        <v>0</v>
      </c>
      <c r="Q305"/>
      <c r="R305"/>
      <c r="S305"/>
    </row>
    <row r="306" spans="1:19" ht="16.5" thickBot="1" x14ac:dyDescent="0.3">
      <c r="A306" s="175">
        <v>474</v>
      </c>
      <c r="B306" s="170" t="s">
        <v>332</v>
      </c>
      <c r="C306" s="1" t="str">
        <f t="shared" si="32"/>
        <v>SM</v>
      </c>
      <c r="D306" s="188" t="s">
        <v>12</v>
      </c>
      <c r="E306" s="182" t="s">
        <v>24</v>
      </c>
      <c r="F306" s="186">
        <v>35</v>
      </c>
      <c r="G306" s="180"/>
      <c r="H306" s="181">
        <v>30253</v>
      </c>
      <c r="I306" s="4"/>
      <c r="J306" s="4"/>
      <c r="K306" s="7" t="str">
        <f t="shared" si="31"/>
        <v/>
      </c>
      <c r="L306" s="8" t="str">
        <f t="shared" si="33"/>
        <v>Richard Potter</v>
      </c>
      <c r="M306" s="8" t="str">
        <f t="shared" si="34"/>
        <v>SM</v>
      </c>
      <c r="N306" s="8" t="str">
        <f t="shared" si="35"/>
        <v>East London Runners</v>
      </c>
      <c r="O306" s="8" t="str">
        <f t="shared" si="36"/>
        <v>M</v>
      </c>
      <c r="P306" s="9">
        <f t="shared" si="37"/>
        <v>0</v>
      </c>
      <c r="Q306"/>
      <c r="R306"/>
      <c r="S306"/>
    </row>
    <row r="307" spans="1:19" ht="16.5" thickBot="1" x14ac:dyDescent="0.3">
      <c r="A307" s="175">
        <v>475</v>
      </c>
      <c r="B307" s="170" t="s">
        <v>197</v>
      </c>
      <c r="C307" s="1" t="str">
        <f t="shared" si="32"/>
        <v>SM</v>
      </c>
      <c r="D307" s="188" t="s">
        <v>12</v>
      </c>
      <c r="E307" s="180" t="s">
        <v>24</v>
      </c>
      <c r="F307" s="186">
        <v>30</v>
      </c>
      <c r="G307" s="180"/>
      <c r="H307" s="181">
        <v>32160</v>
      </c>
      <c r="I307" s="4"/>
      <c r="J307" s="4"/>
      <c r="K307" s="7" t="str">
        <f t="shared" si="31"/>
        <v/>
      </c>
      <c r="L307" s="8" t="str">
        <f t="shared" si="33"/>
        <v>Spencer Evans</v>
      </c>
      <c r="M307" s="8" t="str">
        <f t="shared" si="34"/>
        <v>SM</v>
      </c>
      <c r="N307" s="8" t="str">
        <f t="shared" si="35"/>
        <v>East London Runners</v>
      </c>
      <c r="O307" s="8" t="str">
        <f t="shared" si="36"/>
        <v>M</v>
      </c>
      <c r="P307" s="9">
        <f t="shared" si="37"/>
        <v>0</v>
      </c>
      <c r="Q307"/>
      <c r="R307"/>
      <c r="S307"/>
    </row>
    <row r="308" spans="1:19" ht="16.5" thickBot="1" x14ac:dyDescent="0.3">
      <c r="A308" s="175">
        <v>476</v>
      </c>
      <c r="B308" s="170" t="s">
        <v>1183</v>
      </c>
      <c r="C308" s="1" t="str">
        <f t="shared" si="32"/>
        <v>VF45</v>
      </c>
      <c r="D308" s="179" t="s">
        <v>108</v>
      </c>
      <c r="E308" s="182" t="s">
        <v>23</v>
      </c>
      <c r="F308" s="186">
        <v>53</v>
      </c>
      <c r="G308" s="180"/>
      <c r="H308" s="181">
        <v>23938</v>
      </c>
      <c r="I308" s="4"/>
      <c r="J308" s="4"/>
      <c r="K308" s="7" t="str">
        <f t="shared" si="31"/>
        <v/>
      </c>
      <c r="L308" s="8" t="str">
        <f t="shared" si="33"/>
        <v>Alison Sale</v>
      </c>
      <c r="M308" s="8" t="str">
        <f t="shared" si="34"/>
        <v>VF45</v>
      </c>
      <c r="N308" s="8" t="str">
        <f t="shared" si="35"/>
        <v>Ilford AC</v>
      </c>
      <c r="O308" s="8" t="str">
        <f t="shared" si="36"/>
        <v>F</v>
      </c>
      <c r="P308" s="9">
        <f t="shared" si="37"/>
        <v>0</v>
      </c>
      <c r="Q308"/>
      <c r="R308"/>
      <c r="S308"/>
    </row>
    <row r="309" spans="1:19" ht="16.5" thickBot="1" x14ac:dyDescent="0.3">
      <c r="A309" s="175">
        <v>477</v>
      </c>
      <c r="B309" s="170" t="s">
        <v>192</v>
      </c>
      <c r="C309" s="1" t="str">
        <f t="shared" si="32"/>
        <v>VF65</v>
      </c>
      <c r="D309" s="188" t="s">
        <v>108</v>
      </c>
      <c r="E309" s="182" t="s">
        <v>23</v>
      </c>
      <c r="F309" s="186">
        <v>82</v>
      </c>
      <c r="G309" s="180"/>
      <c r="H309" s="181">
        <v>13338</v>
      </c>
      <c r="I309" s="4"/>
      <c r="J309" s="4"/>
      <c r="K309" s="7" t="str">
        <f t="shared" si="31"/>
        <v/>
      </c>
      <c r="L309" s="8" t="str">
        <f t="shared" si="33"/>
        <v>Pam Jones</v>
      </c>
      <c r="M309" s="8" t="str">
        <f t="shared" si="34"/>
        <v>VF65</v>
      </c>
      <c r="N309" s="8" t="str">
        <f t="shared" si="35"/>
        <v>Ilford AC</v>
      </c>
      <c r="O309" s="8" t="str">
        <f t="shared" si="36"/>
        <v>F</v>
      </c>
      <c r="P309" s="9">
        <f t="shared" si="37"/>
        <v>0</v>
      </c>
      <c r="Q309"/>
      <c r="R309"/>
      <c r="S309"/>
    </row>
    <row r="310" spans="1:19" ht="16.5" thickBot="1" x14ac:dyDescent="0.3">
      <c r="A310" s="175">
        <v>478</v>
      </c>
      <c r="B310" s="170" t="s">
        <v>251</v>
      </c>
      <c r="C310" s="1" t="str">
        <f t="shared" si="32"/>
        <v>VF35</v>
      </c>
      <c r="D310" s="179" t="s">
        <v>63</v>
      </c>
      <c r="E310" s="182" t="s">
        <v>23</v>
      </c>
      <c r="F310" s="186">
        <v>44</v>
      </c>
      <c r="G310" s="180"/>
      <c r="H310" s="181">
        <v>27202</v>
      </c>
      <c r="I310" s="4"/>
      <c r="J310" s="4"/>
      <c r="K310" s="7" t="str">
        <f t="shared" si="31"/>
        <v/>
      </c>
      <c r="L310" s="8" t="str">
        <f t="shared" si="33"/>
        <v>Sarah Bemand</v>
      </c>
      <c r="M310" s="8" t="str">
        <f t="shared" si="34"/>
        <v>VF35</v>
      </c>
      <c r="N310" s="8" t="str">
        <f t="shared" si="35"/>
        <v>East End Road Runners</v>
      </c>
      <c r="O310" s="8" t="str">
        <f t="shared" si="36"/>
        <v>F</v>
      </c>
      <c r="P310" s="9">
        <f t="shared" si="37"/>
        <v>0</v>
      </c>
      <c r="Q310"/>
      <c r="R310"/>
      <c r="S310"/>
    </row>
    <row r="311" spans="1:19" ht="16.5" thickBot="1" x14ac:dyDescent="0.3">
      <c r="A311" s="175">
        <v>479</v>
      </c>
      <c r="B311" s="170" t="s">
        <v>2287</v>
      </c>
      <c r="C311" s="1" t="str">
        <f t="shared" si="32"/>
        <v>VM60</v>
      </c>
      <c r="D311" s="179" t="s">
        <v>1805</v>
      </c>
      <c r="E311" s="182" t="s">
        <v>24</v>
      </c>
      <c r="F311" s="186">
        <v>66</v>
      </c>
      <c r="G311" s="180"/>
      <c r="H311" s="181">
        <v>19178</v>
      </c>
      <c r="I311" s="4"/>
      <c r="J311" s="4"/>
      <c r="K311" s="7" t="str">
        <f t="shared" si="31"/>
        <v/>
      </c>
      <c r="L311" s="8" t="str">
        <f t="shared" si="33"/>
        <v>Richard Rockliffe</v>
      </c>
      <c r="M311" s="8" t="str">
        <f t="shared" si="34"/>
        <v>VM60</v>
      </c>
      <c r="N311" s="8" t="str">
        <f t="shared" si="35"/>
        <v>Harold Wood Running Club</v>
      </c>
      <c r="O311" s="8" t="str">
        <f t="shared" si="36"/>
        <v>M</v>
      </c>
      <c r="P311" s="9">
        <f t="shared" si="37"/>
        <v>0</v>
      </c>
      <c r="Q311"/>
      <c r="R311"/>
      <c r="S311"/>
    </row>
    <row r="312" spans="1:19" ht="16.5" thickBot="1" x14ac:dyDescent="0.3">
      <c r="A312" s="175">
        <v>480</v>
      </c>
      <c r="B312" s="170" t="s">
        <v>2272</v>
      </c>
      <c r="C312" s="1" t="str">
        <f t="shared" si="32"/>
        <v>VF35</v>
      </c>
      <c r="D312" s="179" t="s">
        <v>155</v>
      </c>
      <c r="E312" s="180" t="s">
        <v>23</v>
      </c>
      <c r="F312" s="186">
        <v>44</v>
      </c>
      <c r="G312" s="180"/>
      <c r="H312" s="181">
        <v>27116</v>
      </c>
      <c r="I312" s="4"/>
      <c r="J312" s="4"/>
      <c r="K312" s="7" t="str">
        <f t="shared" si="31"/>
        <v/>
      </c>
      <c r="L312" s="8" t="str">
        <f t="shared" si="33"/>
        <v>Emma O'Shea</v>
      </c>
      <c r="M312" s="8" t="str">
        <f t="shared" si="34"/>
        <v>VF35</v>
      </c>
      <c r="N312" s="8" t="str">
        <f t="shared" si="35"/>
        <v>Dagenham 88 Runners</v>
      </c>
      <c r="O312" s="8" t="str">
        <f t="shared" si="36"/>
        <v>F</v>
      </c>
      <c r="P312" s="9">
        <f t="shared" si="37"/>
        <v>0</v>
      </c>
      <c r="Q312"/>
      <c r="R312"/>
      <c r="S312"/>
    </row>
    <row r="313" spans="1:19" ht="16.5" thickBot="1" x14ac:dyDescent="0.3">
      <c r="A313" s="175">
        <v>481</v>
      </c>
      <c r="B313" s="170" t="s">
        <v>2349</v>
      </c>
      <c r="C313" s="1" t="str">
        <f t="shared" si="32"/>
        <v>SM</v>
      </c>
      <c r="D313" s="179" t="s">
        <v>63</v>
      </c>
      <c r="E313" s="182" t="s">
        <v>24</v>
      </c>
      <c r="F313" s="186">
        <v>39</v>
      </c>
      <c r="G313" s="180"/>
      <c r="H313" s="181">
        <v>28962</v>
      </c>
      <c r="I313" s="4"/>
      <c r="J313" s="4"/>
      <c r="K313" s="7" t="str">
        <f t="shared" si="31"/>
        <v/>
      </c>
      <c r="L313" s="8" t="str">
        <f t="shared" si="33"/>
        <v>Imran Patel</v>
      </c>
      <c r="M313" s="8" t="str">
        <f t="shared" si="34"/>
        <v>SM</v>
      </c>
      <c r="N313" s="8" t="str">
        <f t="shared" si="35"/>
        <v>East End Road Runners</v>
      </c>
      <c r="O313" s="8" t="str">
        <f t="shared" si="36"/>
        <v>M</v>
      </c>
      <c r="P313" s="9">
        <f t="shared" si="37"/>
        <v>0</v>
      </c>
      <c r="Q313"/>
      <c r="R313"/>
      <c r="S313"/>
    </row>
    <row r="314" spans="1:19" ht="16.5" thickBot="1" x14ac:dyDescent="0.3">
      <c r="A314" s="175">
        <v>482</v>
      </c>
      <c r="B314" s="170" t="s">
        <v>1624</v>
      </c>
      <c r="C314" s="1" t="str">
        <f t="shared" si="32"/>
        <v>VF55</v>
      </c>
      <c r="D314" s="179" t="s">
        <v>38</v>
      </c>
      <c r="E314" s="182" t="s">
        <v>23</v>
      </c>
      <c r="F314" s="186">
        <v>61</v>
      </c>
      <c r="G314" s="180"/>
      <c r="H314" s="181">
        <v>20708</v>
      </c>
      <c r="I314" s="4"/>
      <c r="J314" s="4"/>
      <c r="K314" s="7" t="str">
        <f t="shared" si="31"/>
        <v/>
      </c>
      <c r="L314" s="8" t="str">
        <f t="shared" si="33"/>
        <v>Maria Brill</v>
      </c>
      <c r="M314" s="8" t="str">
        <f t="shared" si="34"/>
        <v>VF55</v>
      </c>
      <c r="N314" s="8" t="str">
        <f t="shared" si="35"/>
        <v>Havering 90 Joggers</v>
      </c>
      <c r="O314" s="8" t="str">
        <f t="shared" si="36"/>
        <v>F</v>
      </c>
      <c r="P314" s="9">
        <f t="shared" si="37"/>
        <v>0</v>
      </c>
      <c r="Q314"/>
      <c r="R314"/>
      <c r="S314"/>
    </row>
    <row r="315" spans="1:19" ht="16.5" thickBot="1" x14ac:dyDescent="0.3">
      <c r="A315" s="175">
        <v>483</v>
      </c>
      <c r="B315" s="170" t="s">
        <v>961</v>
      </c>
      <c r="C315" s="1" t="str">
        <f t="shared" si="32"/>
        <v>VM40</v>
      </c>
      <c r="D315" s="188" t="s">
        <v>12</v>
      </c>
      <c r="E315" s="182" t="s">
        <v>24</v>
      </c>
      <c r="F315" s="186">
        <v>49</v>
      </c>
      <c r="G315" s="180"/>
      <c r="H315" s="181">
        <v>25300</v>
      </c>
      <c r="I315" s="4"/>
      <c r="J315" s="4"/>
      <c r="K315" s="7" t="str">
        <f t="shared" si="31"/>
        <v/>
      </c>
      <c r="L315" s="8" t="str">
        <f t="shared" si="33"/>
        <v>George Georgiou</v>
      </c>
      <c r="M315" s="8" t="str">
        <f t="shared" si="34"/>
        <v>VM40</v>
      </c>
      <c r="N315" s="8" t="str">
        <f t="shared" si="35"/>
        <v>East London Runners</v>
      </c>
      <c r="O315" s="8" t="str">
        <f t="shared" si="36"/>
        <v>M</v>
      </c>
      <c r="P315" s="9">
        <f t="shared" si="37"/>
        <v>0</v>
      </c>
      <c r="Q315"/>
      <c r="R315"/>
      <c r="S315"/>
    </row>
    <row r="316" spans="1:19" ht="16.5" thickBot="1" x14ac:dyDescent="0.3">
      <c r="A316" s="175">
        <v>484</v>
      </c>
      <c r="B316" s="170" t="s">
        <v>1352</v>
      </c>
      <c r="C316" s="1" t="str">
        <f t="shared" si="32"/>
        <v>VM40</v>
      </c>
      <c r="D316" s="179" t="s">
        <v>12</v>
      </c>
      <c r="E316" s="182" t="s">
        <v>24</v>
      </c>
      <c r="F316" s="186">
        <v>41</v>
      </c>
      <c r="G316" s="180"/>
      <c r="H316" s="181">
        <v>28000</v>
      </c>
      <c r="I316" s="4"/>
      <c r="J316" s="4"/>
      <c r="K316" s="7" t="str">
        <f t="shared" si="31"/>
        <v/>
      </c>
      <c r="L316" s="8" t="str">
        <f t="shared" si="33"/>
        <v>Neil Gage</v>
      </c>
      <c r="M316" s="8" t="str">
        <f t="shared" si="34"/>
        <v>VM40</v>
      </c>
      <c r="N316" s="8" t="str">
        <f t="shared" si="35"/>
        <v>East London Runners</v>
      </c>
      <c r="O316" s="8" t="str">
        <f t="shared" si="36"/>
        <v>M</v>
      </c>
      <c r="P316" s="9">
        <f t="shared" si="37"/>
        <v>0</v>
      </c>
      <c r="Q316"/>
      <c r="R316"/>
      <c r="S316"/>
    </row>
    <row r="317" spans="1:19" ht="16.5" thickBot="1" x14ac:dyDescent="0.3">
      <c r="A317" s="175">
        <v>485</v>
      </c>
      <c r="B317" s="170" t="s">
        <v>2757</v>
      </c>
      <c r="C317" s="1" t="str">
        <f t="shared" si="32"/>
        <v>VF55</v>
      </c>
      <c r="D317" s="179" t="s">
        <v>38</v>
      </c>
      <c r="E317" s="182" t="s">
        <v>23</v>
      </c>
      <c r="F317" s="186">
        <v>55</v>
      </c>
      <c r="G317" s="180"/>
      <c r="H317" s="181">
        <v>22951</v>
      </c>
      <c r="I317" s="4"/>
      <c r="J317" s="4"/>
      <c r="K317" s="7" t="str">
        <f t="shared" si="31"/>
        <v/>
      </c>
      <c r="L317" s="8" t="str">
        <f t="shared" si="33"/>
        <v>jane evans</v>
      </c>
      <c r="M317" s="8" t="str">
        <f t="shared" si="34"/>
        <v>VF55</v>
      </c>
      <c r="N317" s="8" t="str">
        <f t="shared" si="35"/>
        <v>Havering 90 Joggers</v>
      </c>
      <c r="O317" s="8" t="str">
        <f t="shared" si="36"/>
        <v>F</v>
      </c>
      <c r="P317" s="9">
        <f t="shared" si="37"/>
        <v>0</v>
      </c>
      <c r="Q317"/>
      <c r="R317"/>
      <c r="S317"/>
    </row>
    <row r="318" spans="1:19" ht="16.5" thickBot="1" x14ac:dyDescent="0.3">
      <c r="A318" s="175">
        <v>486</v>
      </c>
      <c r="B318" s="170" t="s">
        <v>180</v>
      </c>
      <c r="C318" s="1" t="str">
        <f t="shared" si="32"/>
        <v>VM50</v>
      </c>
      <c r="D318" s="179" t="s">
        <v>12</v>
      </c>
      <c r="E318" s="182" t="s">
        <v>24</v>
      </c>
      <c r="F318" s="186">
        <v>50</v>
      </c>
      <c r="G318" s="180"/>
      <c r="H318" s="181">
        <v>25069</v>
      </c>
      <c r="I318" s="4"/>
      <c r="J318" s="4"/>
      <c r="K318" s="7" t="str">
        <f t="shared" si="31"/>
        <v/>
      </c>
      <c r="L318" s="8" t="str">
        <f t="shared" si="33"/>
        <v>Paul Thompson</v>
      </c>
      <c r="M318" s="8" t="str">
        <f t="shared" si="34"/>
        <v>VM50</v>
      </c>
      <c r="N318" s="8" t="str">
        <f t="shared" si="35"/>
        <v>East London Runners</v>
      </c>
      <c r="O318" s="8" t="str">
        <f t="shared" si="36"/>
        <v>M</v>
      </c>
      <c r="P318" s="9">
        <f t="shared" si="37"/>
        <v>0</v>
      </c>
      <c r="Q318"/>
      <c r="R318"/>
      <c r="S318"/>
    </row>
    <row r="319" spans="1:19" ht="16.5" thickBot="1" x14ac:dyDescent="0.3">
      <c r="A319" s="175">
        <v>487</v>
      </c>
      <c r="B319" s="170" t="s">
        <v>385</v>
      </c>
      <c r="C319" s="1" t="str">
        <f t="shared" si="32"/>
        <v>VF45</v>
      </c>
      <c r="D319" s="179" t="s">
        <v>2253</v>
      </c>
      <c r="E319" s="182" t="s">
        <v>23</v>
      </c>
      <c r="F319" s="186">
        <v>54</v>
      </c>
      <c r="G319" s="180"/>
      <c r="H319" s="181">
        <v>23285</v>
      </c>
      <c r="I319" s="4"/>
      <c r="J319" s="4"/>
      <c r="K319" s="7" t="str">
        <f t="shared" ref="K319:K382" si="38">IF(ISERROR(CONCATENATE(LEFT(L319,3),MID(L319,(FIND(",",L319)+2),3))),"",CONCATENATE(LEFT(L319,3),MID(L319,(FIND(",",L319)+2),3)))</f>
        <v/>
      </c>
      <c r="L319" s="8" t="str">
        <f t="shared" si="33"/>
        <v>Jayne Browne</v>
      </c>
      <c r="M319" s="8" t="str">
        <f t="shared" si="34"/>
        <v>VF45</v>
      </c>
      <c r="N319" s="8" t="str">
        <f t="shared" si="35"/>
        <v>East London runners</v>
      </c>
      <c r="O319" s="8" t="str">
        <f t="shared" si="36"/>
        <v>F</v>
      </c>
      <c r="P319" s="9">
        <f t="shared" si="37"/>
        <v>0</v>
      </c>
      <c r="Q319"/>
      <c r="R319"/>
      <c r="S319"/>
    </row>
    <row r="320" spans="1:19" ht="16.5" thickBot="1" x14ac:dyDescent="0.3">
      <c r="A320" s="175">
        <v>488</v>
      </c>
      <c r="B320" s="170" t="s">
        <v>2758</v>
      </c>
      <c r="C320" s="1" t="str">
        <f t="shared" si="32"/>
        <v>VF55</v>
      </c>
      <c r="D320" s="179" t="s">
        <v>12</v>
      </c>
      <c r="E320" s="182" t="s">
        <v>23</v>
      </c>
      <c r="F320" s="186">
        <v>62</v>
      </c>
      <c r="G320" s="180"/>
      <c r="H320" s="181">
        <v>20504</v>
      </c>
      <c r="I320" s="4"/>
      <c r="J320" s="4"/>
      <c r="K320" s="7" t="str">
        <f t="shared" si="38"/>
        <v/>
      </c>
      <c r="L320" s="8" t="str">
        <f t="shared" si="33"/>
        <v>Susan Bushnell</v>
      </c>
      <c r="M320" s="8" t="str">
        <f t="shared" si="34"/>
        <v>VF55</v>
      </c>
      <c r="N320" s="8" t="str">
        <f t="shared" si="35"/>
        <v>East London Runners</v>
      </c>
      <c r="O320" s="8" t="str">
        <f t="shared" si="36"/>
        <v>F</v>
      </c>
      <c r="P320" s="9">
        <f t="shared" si="37"/>
        <v>0</v>
      </c>
      <c r="Q320"/>
      <c r="R320"/>
      <c r="S320"/>
    </row>
    <row r="321" spans="1:19" ht="16.5" thickBot="1" x14ac:dyDescent="0.3">
      <c r="A321" s="175">
        <v>489</v>
      </c>
      <c r="B321" s="170" t="s">
        <v>2233</v>
      </c>
      <c r="C321" s="1" t="str">
        <f t="shared" si="32"/>
        <v>VM50</v>
      </c>
      <c r="D321" s="179" t="s">
        <v>38</v>
      </c>
      <c r="E321" s="182" t="s">
        <v>24</v>
      </c>
      <c r="F321" s="186">
        <v>55</v>
      </c>
      <c r="G321" s="180"/>
      <c r="H321" s="181">
        <v>23242</v>
      </c>
      <c r="I321" s="4"/>
      <c r="J321" s="4"/>
      <c r="K321" s="7" t="str">
        <f t="shared" si="38"/>
        <v/>
      </c>
      <c r="L321" s="8" t="str">
        <f t="shared" si="33"/>
        <v>Darren Radford</v>
      </c>
      <c r="M321" s="8" t="str">
        <f t="shared" si="34"/>
        <v>VM50</v>
      </c>
      <c r="N321" s="8" t="str">
        <f t="shared" si="35"/>
        <v>Havering 90 Joggers</v>
      </c>
      <c r="O321" s="8" t="str">
        <f t="shared" si="36"/>
        <v>M</v>
      </c>
      <c r="P321" s="9">
        <f t="shared" si="37"/>
        <v>0</v>
      </c>
      <c r="Q321"/>
      <c r="R321"/>
      <c r="S321"/>
    </row>
    <row r="322" spans="1:19" ht="16.5" thickBot="1" x14ac:dyDescent="0.3">
      <c r="A322" s="175">
        <v>490</v>
      </c>
      <c r="B322" s="170" t="s">
        <v>1366</v>
      </c>
      <c r="C322" s="1" t="str">
        <f t="shared" ref="C322:C333" si="39">IF(AND(E322="M",F322&lt;&gt;""),LOOKUP(F322,$Q$1:$Q$100,$R$1:$R$100),IF(AND(E322="F",F322&lt;&gt;""),LOOKUP(F322,$Q$1:$Q$100,$S$1:$S$100),""))</f>
        <v>VF45</v>
      </c>
      <c r="D322" s="179" t="s">
        <v>38</v>
      </c>
      <c r="E322" s="182" t="s">
        <v>23</v>
      </c>
      <c r="F322" s="186">
        <v>45</v>
      </c>
      <c r="G322" s="180"/>
      <c r="H322" s="181">
        <v>26794</v>
      </c>
      <c r="I322" s="4"/>
      <c r="J322" s="4"/>
      <c r="K322" s="7" t="str">
        <f t="shared" si="38"/>
        <v/>
      </c>
      <c r="L322" s="8" t="str">
        <f t="shared" ref="L322:L385" si="40">IF(LEN(B322)&lt;1,"",B322)</f>
        <v>Melanie Green</v>
      </c>
      <c r="M322" s="8" t="str">
        <f t="shared" ref="M322:M385" si="41">IF(LEN(C322)&lt;1,"",C322)</f>
        <v>VF45</v>
      </c>
      <c r="N322" s="8" t="str">
        <f t="shared" ref="N322:N385" si="42">D322</f>
        <v>Havering 90 Joggers</v>
      </c>
      <c r="O322" s="8" t="str">
        <f t="shared" ref="O322:O385" si="43">E322</f>
        <v>F</v>
      </c>
      <c r="P322" s="9">
        <f t="shared" ref="P322:P385" si="44">G322</f>
        <v>0</v>
      </c>
      <c r="Q322"/>
      <c r="R322"/>
      <c r="S322"/>
    </row>
    <row r="323" spans="1:19" ht="16.5" thickBot="1" x14ac:dyDescent="0.3">
      <c r="A323" s="175">
        <v>491</v>
      </c>
      <c r="B323" s="170" t="s">
        <v>280</v>
      </c>
      <c r="C323" s="1" t="str">
        <f t="shared" si="39"/>
        <v>VF35</v>
      </c>
      <c r="D323" s="188" t="s">
        <v>155</v>
      </c>
      <c r="E323" s="180" t="s">
        <v>23</v>
      </c>
      <c r="F323" s="186">
        <v>44</v>
      </c>
      <c r="G323" s="180"/>
      <c r="H323" s="181">
        <v>26975</v>
      </c>
      <c r="I323" s="4"/>
      <c r="J323" s="4"/>
      <c r="K323" s="7" t="str">
        <f t="shared" si="38"/>
        <v/>
      </c>
      <c r="L323" s="8" t="str">
        <f t="shared" si="40"/>
        <v>Louise Chappell</v>
      </c>
      <c r="M323" s="8" t="str">
        <f t="shared" si="41"/>
        <v>VF35</v>
      </c>
      <c r="N323" s="8" t="str">
        <f t="shared" si="42"/>
        <v>Dagenham 88 Runners</v>
      </c>
      <c r="O323" s="8" t="str">
        <f t="shared" si="43"/>
        <v>F</v>
      </c>
      <c r="P323" s="9">
        <f t="shared" si="44"/>
        <v>0</v>
      </c>
      <c r="Q323"/>
      <c r="R323"/>
      <c r="S323"/>
    </row>
    <row r="324" spans="1:19" ht="16.5" thickBot="1" x14ac:dyDescent="0.3">
      <c r="A324" s="175">
        <v>492</v>
      </c>
      <c r="B324" s="170" t="s">
        <v>1654</v>
      </c>
      <c r="C324" s="1" t="str">
        <f t="shared" si="39"/>
        <v>VM50</v>
      </c>
      <c r="D324" s="179" t="s">
        <v>12</v>
      </c>
      <c r="E324" s="182" t="s">
        <v>24</v>
      </c>
      <c r="F324" s="186">
        <v>57</v>
      </c>
      <c r="G324" s="180"/>
      <c r="H324" s="181">
        <v>22375</v>
      </c>
      <c r="I324" s="4"/>
      <c r="J324" s="4"/>
      <c r="K324" s="7" t="str">
        <f t="shared" si="38"/>
        <v/>
      </c>
      <c r="L324" s="8" t="str">
        <f t="shared" si="40"/>
        <v>Andrew Howard</v>
      </c>
      <c r="M324" s="8" t="str">
        <f t="shared" si="41"/>
        <v>VM50</v>
      </c>
      <c r="N324" s="8" t="str">
        <f t="shared" si="42"/>
        <v>East London Runners</v>
      </c>
      <c r="O324" s="8" t="str">
        <f t="shared" si="43"/>
        <v>M</v>
      </c>
      <c r="P324" s="9">
        <f t="shared" si="44"/>
        <v>0</v>
      </c>
      <c r="Q324"/>
      <c r="R324"/>
      <c r="S324"/>
    </row>
    <row r="325" spans="1:19" ht="16.5" thickBot="1" x14ac:dyDescent="0.3">
      <c r="A325" s="175">
        <v>493</v>
      </c>
      <c r="B325" s="170" t="s">
        <v>2130</v>
      </c>
      <c r="C325" s="1" t="str">
        <f t="shared" si="39"/>
        <v>VF45</v>
      </c>
      <c r="D325" s="179" t="s">
        <v>1805</v>
      </c>
      <c r="E325" s="182" t="s">
        <v>23</v>
      </c>
      <c r="F325" s="186">
        <v>46</v>
      </c>
      <c r="G325" s="180"/>
      <c r="H325" s="181">
        <v>26498</v>
      </c>
      <c r="I325" s="4"/>
      <c r="J325" s="4"/>
      <c r="K325" s="7" t="str">
        <f t="shared" si="38"/>
        <v/>
      </c>
      <c r="L325" s="8" t="str">
        <f t="shared" si="40"/>
        <v>Linda Day</v>
      </c>
      <c r="M325" s="8" t="str">
        <f t="shared" si="41"/>
        <v>VF45</v>
      </c>
      <c r="N325" s="8" t="str">
        <f t="shared" si="42"/>
        <v>Harold Wood Running Club</v>
      </c>
      <c r="O325" s="8" t="str">
        <f t="shared" si="43"/>
        <v>F</v>
      </c>
      <c r="P325" s="9">
        <f t="shared" si="44"/>
        <v>0</v>
      </c>
      <c r="Q325"/>
      <c r="R325"/>
      <c r="S325"/>
    </row>
    <row r="326" spans="1:19" ht="16.5" thickBot="1" x14ac:dyDescent="0.3">
      <c r="A326" s="175">
        <v>494</v>
      </c>
      <c r="B326" s="170" t="s">
        <v>839</v>
      </c>
      <c r="C326" s="1" t="str">
        <f t="shared" si="39"/>
        <v>VF55</v>
      </c>
      <c r="D326" s="179" t="s">
        <v>63</v>
      </c>
      <c r="E326" s="180" t="s">
        <v>23</v>
      </c>
      <c r="F326" s="186">
        <v>57</v>
      </c>
      <c r="G326" s="180"/>
      <c r="H326" s="181">
        <v>22163</v>
      </c>
      <c r="I326" s="4"/>
      <c r="J326" s="4"/>
      <c r="K326" s="7" t="str">
        <f t="shared" si="38"/>
        <v/>
      </c>
      <c r="L326" s="8" t="str">
        <f t="shared" si="40"/>
        <v>Vinodini Patel</v>
      </c>
      <c r="M326" s="8" t="str">
        <f t="shared" si="41"/>
        <v>VF55</v>
      </c>
      <c r="N326" s="8" t="str">
        <f t="shared" si="42"/>
        <v>East End Road Runners</v>
      </c>
      <c r="O326" s="8" t="str">
        <f t="shared" si="43"/>
        <v>F</v>
      </c>
      <c r="P326" s="9">
        <f t="shared" si="44"/>
        <v>0</v>
      </c>
      <c r="Q326"/>
      <c r="R326"/>
      <c r="S326"/>
    </row>
    <row r="327" spans="1:19" ht="16.5" thickBot="1" x14ac:dyDescent="0.3">
      <c r="A327" s="175">
        <v>495</v>
      </c>
      <c r="B327" s="170" t="s">
        <v>2759</v>
      </c>
      <c r="C327" s="1" t="str">
        <f t="shared" si="39"/>
        <v>VF45</v>
      </c>
      <c r="D327" s="179" t="s">
        <v>505</v>
      </c>
      <c r="E327" s="182" t="s">
        <v>23</v>
      </c>
      <c r="F327" s="186">
        <v>49</v>
      </c>
      <c r="G327" s="180"/>
      <c r="H327" s="181">
        <v>25229</v>
      </c>
      <c r="I327" s="4"/>
      <c r="J327" s="4"/>
      <c r="K327" s="7" t="str">
        <f t="shared" si="38"/>
        <v/>
      </c>
      <c r="L327" s="8" t="str">
        <f t="shared" si="40"/>
        <v>Alison Hinton</v>
      </c>
      <c r="M327" s="8" t="str">
        <f t="shared" si="41"/>
        <v>VF45</v>
      </c>
      <c r="N327" s="8" t="str">
        <f t="shared" si="42"/>
        <v>Unattached</v>
      </c>
      <c r="O327" s="8" t="str">
        <f t="shared" si="43"/>
        <v>F</v>
      </c>
      <c r="P327" s="9">
        <f t="shared" si="44"/>
        <v>0</v>
      </c>
      <c r="Q327"/>
      <c r="R327"/>
      <c r="S327"/>
    </row>
    <row r="328" spans="1:19" ht="16.5" thickBot="1" x14ac:dyDescent="0.3">
      <c r="A328" s="175">
        <v>496</v>
      </c>
      <c r="B328" s="170" t="s">
        <v>2760</v>
      </c>
      <c r="C328" s="1" t="str">
        <f t="shared" si="39"/>
        <v>VM40</v>
      </c>
      <c r="D328" s="188" t="s">
        <v>155</v>
      </c>
      <c r="E328" s="182" t="s">
        <v>24</v>
      </c>
      <c r="F328" s="186">
        <v>42</v>
      </c>
      <c r="G328" s="180"/>
      <c r="H328" s="181">
        <v>27892</v>
      </c>
      <c r="I328" s="4"/>
      <c r="J328" s="4"/>
      <c r="K328" s="7" t="str">
        <f t="shared" si="38"/>
        <v/>
      </c>
      <c r="L328" s="8" t="str">
        <f t="shared" si="40"/>
        <v>Emdad Rahman</v>
      </c>
      <c r="M328" s="8" t="str">
        <f t="shared" si="41"/>
        <v>VM40</v>
      </c>
      <c r="N328" s="8" t="str">
        <f t="shared" si="42"/>
        <v>Dagenham 88 Runners</v>
      </c>
      <c r="O328" s="8" t="str">
        <f t="shared" si="43"/>
        <v>M</v>
      </c>
      <c r="P328" s="9">
        <f t="shared" si="44"/>
        <v>0</v>
      </c>
      <c r="Q328"/>
      <c r="R328"/>
      <c r="S328"/>
    </row>
    <row r="329" spans="1:19" ht="16.5" thickBot="1" x14ac:dyDescent="0.3">
      <c r="A329" s="175">
        <v>497</v>
      </c>
      <c r="B329" s="170" t="s">
        <v>893</v>
      </c>
      <c r="C329" s="1" t="str">
        <f t="shared" si="39"/>
        <v>VM40</v>
      </c>
      <c r="D329" s="179" t="s">
        <v>12</v>
      </c>
      <c r="E329" s="182" t="s">
        <v>24</v>
      </c>
      <c r="F329" s="186">
        <v>48</v>
      </c>
      <c r="G329" s="180"/>
      <c r="H329" s="181">
        <v>25623</v>
      </c>
      <c r="I329" s="4"/>
      <c r="J329" s="4"/>
      <c r="K329" s="7" t="str">
        <f t="shared" si="38"/>
        <v/>
      </c>
      <c r="L329" s="8" t="str">
        <f t="shared" si="40"/>
        <v>Ashley Faria</v>
      </c>
      <c r="M329" s="8" t="str">
        <f t="shared" si="41"/>
        <v>VM40</v>
      </c>
      <c r="N329" s="8" t="str">
        <f t="shared" si="42"/>
        <v>East London Runners</v>
      </c>
      <c r="O329" s="8" t="str">
        <f t="shared" si="43"/>
        <v>M</v>
      </c>
      <c r="P329" s="9">
        <f t="shared" si="44"/>
        <v>0</v>
      </c>
      <c r="Q329"/>
      <c r="R329"/>
      <c r="S329"/>
    </row>
    <row r="330" spans="1:19" ht="16.5" thickBot="1" x14ac:dyDescent="0.3">
      <c r="A330" s="175">
        <v>498</v>
      </c>
      <c r="B330" s="170" t="s">
        <v>2353</v>
      </c>
      <c r="C330" s="1" t="str">
        <f t="shared" si="39"/>
        <v>VF45</v>
      </c>
      <c r="D330" s="179" t="s">
        <v>154</v>
      </c>
      <c r="E330" s="182" t="s">
        <v>23</v>
      </c>
      <c r="F330" s="186">
        <v>47</v>
      </c>
      <c r="G330" s="180"/>
      <c r="H330" s="181">
        <v>26004</v>
      </c>
      <c r="I330" s="4"/>
      <c r="J330" s="4"/>
      <c r="K330" s="7" t="str">
        <f t="shared" si="38"/>
        <v/>
      </c>
      <c r="L330" s="8" t="str">
        <f t="shared" si="40"/>
        <v>Jane Pannell</v>
      </c>
      <c r="M330" s="8" t="str">
        <f t="shared" si="41"/>
        <v>VF45</v>
      </c>
      <c r="N330" s="8" t="str">
        <f t="shared" si="42"/>
        <v>Eton Manor AC</v>
      </c>
      <c r="O330" s="8" t="str">
        <f t="shared" si="43"/>
        <v>F</v>
      </c>
      <c r="P330" s="9">
        <f t="shared" si="44"/>
        <v>0</v>
      </c>
      <c r="Q330"/>
      <c r="R330"/>
      <c r="S330"/>
    </row>
    <row r="331" spans="1:19" ht="16.5" thickBot="1" x14ac:dyDescent="0.3">
      <c r="A331" s="175">
        <v>499</v>
      </c>
      <c r="B331" s="170" t="s">
        <v>2761</v>
      </c>
      <c r="C331" s="1" t="str">
        <f t="shared" si="39"/>
        <v>SM</v>
      </c>
      <c r="D331" s="188" t="s">
        <v>154</v>
      </c>
      <c r="E331" s="182" t="s">
        <v>24</v>
      </c>
      <c r="F331" s="186">
        <v>20</v>
      </c>
      <c r="G331" s="180"/>
      <c r="H331" s="181">
        <v>35948</v>
      </c>
      <c r="I331" s="4"/>
      <c r="J331" s="4"/>
      <c r="K331" s="7" t="str">
        <f t="shared" si="38"/>
        <v/>
      </c>
      <c r="L331" s="8" t="str">
        <f t="shared" si="40"/>
        <v>George Fernandez</v>
      </c>
      <c r="M331" s="8" t="str">
        <f t="shared" si="41"/>
        <v>SM</v>
      </c>
      <c r="N331" s="8" t="str">
        <f t="shared" si="42"/>
        <v>Eton Manor AC</v>
      </c>
      <c r="O331" s="8" t="str">
        <f t="shared" si="43"/>
        <v>M</v>
      </c>
      <c r="P331" s="9">
        <f t="shared" si="44"/>
        <v>0</v>
      </c>
      <c r="Q331"/>
      <c r="R331"/>
      <c r="S331"/>
    </row>
    <row r="332" spans="1:19" ht="16.5" thickBot="1" x14ac:dyDescent="0.3">
      <c r="A332" s="175">
        <v>500</v>
      </c>
      <c r="B332" s="170" t="s">
        <v>434</v>
      </c>
      <c r="C332" s="1" t="str">
        <f t="shared" si="39"/>
        <v>VM50</v>
      </c>
      <c r="D332" s="188" t="s">
        <v>63</v>
      </c>
      <c r="E332" s="182" t="s">
        <v>24</v>
      </c>
      <c r="F332" s="186">
        <v>55</v>
      </c>
      <c r="G332" s="180"/>
      <c r="H332" s="181">
        <v>22932</v>
      </c>
      <c r="I332" s="4"/>
      <c r="J332" s="4"/>
      <c r="K332" s="7" t="str">
        <f t="shared" si="38"/>
        <v/>
      </c>
      <c r="L332" s="8" t="str">
        <f t="shared" si="40"/>
        <v>Rolston Lecointe</v>
      </c>
      <c r="M332" s="8" t="str">
        <f t="shared" si="41"/>
        <v>VM50</v>
      </c>
      <c r="N332" s="8" t="str">
        <f t="shared" si="42"/>
        <v>East End Road Runners</v>
      </c>
      <c r="O332" s="8" t="str">
        <f t="shared" si="43"/>
        <v>M</v>
      </c>
      <c r="P332" s="9">
        <f t="shared" si="44"/>
        <v>0</v>
      </c>
      <c r="Q332"/>
      <c r="R332"/>
      <c r="S332"/>
    </row>
    <row r="333" spans="1:19" ht="16.5" thickBot="1" x14ac:dyDescent="0.3">
      <c r="A333" s="175"/>
      <c r="B333" s="170"/>
      <c r="C333" s="1" t="str">
        <f t="shared" si="39"/>
        <v/>
      </c>
      <c r="D333" s="179"/>
      <c r="E333" s="180"/>
      <c r="F333" s="186"/>
      <c r="G333" s="180"/>
      <c r="H333" s="181"/>
      <c r="I333" s="4"/>
      <c r="J333" s="4"/>
      <c r="K333" s="7" t="str">
        <f t="shared" si="38"/>
        <v/>
      </c>
      <c r="L333" s="8" t="str">
        <f t="shared" si="40"/>
        <v/>
      </c>
      <c r="M333" s="8" t="str">
        <f t="shared" si="41"/>
        <v/>
      </c>
      <c r="N333" s="8">
        <f t="shared" si="42"/>
        <v>0</v>
      </c>
      <c r="O333" s="8">
        <f t="shared" si="43"/>
        <v>0</v>
      </c>
      <c r="P333" s="9">
        <f t="shared" si="44"/>
        <v>0</v>
      </c>
      <c r="Q333"/>
      <c r="R333"/>
      <c r="S333"/>
    </row>
    <row r="334" spans="1:19" ht="16.5" thickBot="1" x14ac:dyDescent="0.3">
      <c r="A334" s="175"/>
      <c r="B334" s="170"/>
      <c r="C334" s="1" t="str">
        <f t="shared" ref="C334" si="45">IF(AND(E334="M",F334&lt;&gt;""),LOOKUP(F334,$Q$1:$Q$100,$R$1:$R$100),IF(AND(E334="F",F334&lt;&gt;""),LOOKUP(F334,$Q$1:$Q$100,$S$1:$S$100),""))</f>
        <v/>
      </c>
      <c r="D334" s="179"/>
      <c r="E334" s="180"/>
      <c r="F334" s="186"/>
      <c r="G334" s="180"/>
      <c r="H334" s="181"/>
      <c r="I334" s="4"/>
      <c r="J334" s="4"/>
      <c r="K334" s="7" t="str">
        <f t="shared" si="38"/>
        <v/>
      </c>
      <c r="L334" s="8" t="str">
        <f t="shared" si="40"/>
        <v/>
      </c>
      <c r="M334" s="8" t="str">
        <f t="shared" si="41"/>
        <v/>
      </c>
      <c r="N334" s="8">
        <f t="shared" si="42"/>
        <v>0</v>
      </c>
      <c r="O334" s="8">
        <f t="shared" si="43"/>
        <v>0</v>
      </c>
      <c r="P334" s="9">
        <f t="shared" si="44"/>
        <v>0</v>
      </c>
      <c r="Q334"/>
      <c r="R334"/>
      <c r="S334"/>
    </row>
    <row r="335" spans="1:19" ht="16.5" thickBot="1" x14ac:dyDescent="0.3">
      <c r="A335" s="175"/>
      <c r="B335" s="170"/>
      <c r="C335" s="1" t="str">
        <f t="shared" ref="C335:C398" si="46">IF(AND(E335="M",F335&lt;&gt;""),LOOKUP(F335,$Q$1:$Q$100,$R$1:$R$100),IF(AND(E335="F",F335&lt;&gt;""),LOOKUP(F335,$Q$1:$Q$100,$S$1:$S$100),""))</f>
        <v/>
      </c>
      <c r="D335" s="179"/>
      <c r="E335" s="180"/>
      <c r="F335" s="186"/>
      <c r="G335" s="180"/>
      <c r="H335" s="181"/>
      <c r="I335" s="4"/>
      <c r="J335" s="4"/>
      <c r="K335" s="7" t="str">
        <f t="shared" si="38"/>
        <v/>
      </c>
      <c r="L335" s="8" t="str">
        <f t="shared" si="40"/>
        <v/>
      </c>
      <c r="M335" s="8" t="str">
        <f t="shared" si="41"/>
        <v/>
      </c>
      <c r="N335" s="8">
        <f t="shared" si="42"/>
        <v>0</v>
      </c>
      <c r="O335" s="8">
        <f t="shared" si="43"/>
        <v>0</v>
      </c>
      <c r="P335" s="9">
        <f t="shared" si="44"/>
        <v>0</v>
      </c>
      <c r="Q335"/>
      <c r="R335"/>
      <c r="S335"/>
    </row>
    <row r="336" spans="1:19" ht="16.5" thickBot="1" x14ac:dyDescent="0.3">
      <c r="A336" s="175"/>
      <c r="B336" s="170"/>
      <c r="C336" s="1" t="str">
        <f t="shared" si="46"/>
        <v/>
      </c>
      <c r="D336" s="179"/>
      <c r="E336" s="180"/>
      <c r="F336" s="186"/>
      <c r="G336" s="180"/>
      <c r="H336" s="181"/>
      <c r="I336" s="4"/>
      <c r="J336" s="4"/>
      <c r="K336" s="7" t="str">
        <f t="shared" si="38"/>
        <v/>
      </c>
      <c r="L336" s="8" t="str">
        <f t="shared" si="40"/>
        <v/>
      </c>
      <c r="M336" s="8" t="str">
        <f t="shared" si="41"/>
        <v/>
      </c>
      <c r="N336" s="8">
        <f t="shared" si="42"/>
        <v>0</v>
      </c>
      <c r="O336" s="8">
        <f t="shared" si="43"/>
        <v>0</v>
      </c>
      <c r="P336" s="9">
        <f t="shared" si="44"/>
        <v>0</v>
      </c>
      <c r="Q336"/>
      <c r="R336"/>
      <c r="S336"/>
    </row>
    <row r="337" spans="1:19" ht="16.5" thickBot="1" x14ac:dyDescent="0.3">
      <c r="A337" s="175"/>
      <c r="B337" s="170"/>
      <c r="C337" s="1" t="str">
        <f t="shared" si="46"/>
        <v/>
      </c>
      <c r="D337" s="179"/>
      <c r="E337" s="180"/>
      <c r="F337" s="186"/>
      <c r="G337" s="180"/>
      <c r="H337" s="181"/>
      <c r="I337" s="4"/>
      <c r="J337" s="4"/>
      <c r="K337" s="7" t="str">
        <f t="shared" si="38"/>
        <v/>
      </c>
      <c r="L337" s="8" t="str">
        <f t="shared" si="40"/>
        <v/>
      </c>
      <c r="M337" s="8" t="str">
        <f t="shared" si="41"/>
        <v/>
      </c>
      <c r="N337" s="8">
        <f t="shared" si="42"/>
        <v>0</v>
      </c>
      <c r="O337" s="8">
        <f t="shared" si="43"/>
        <v>0</v>
      </c>
      <c r="P337" s="9">
        <f t="shared" si="44"/>
        <v>0</v>
      </c>
      <c r="Q337"/>
      <c r="R337"/>
      <c r="S337"/>
    </row>
    <row r="338" spans="1:19" ht="16.5" thickBot="1" x14ac:dyDescent="0.3">
      <c r="A338" s="175"/>
      <c r="B338" s="170"/>
      <c r="C338" s="1" t="str">
        <f t="shared" si="46"/>
        <v/>
      </c>
      <c r="D338" s="179"/>
      <c r="E338" s="180"/>
      <c r="F338" s="186"/>
      <c r="G338" s="180"/>
      <c r="H338" s="181"/>
      <c r="I338" s="4"/>
      <c r="J338" s="4"/>
      <c r="K338" s="7" t="str">
        <f t="shared" si="38"/>
        <v/>
      </c>
      <c r="L338" s="8" t="str">
        <f t="shared" si="40"/>
        <v/>
      </c>
      <c r="M338" s="8" t="str">
        <f t="shared" si="41"/>
        <v/>
      </c>
      <c r="N338" s="8">
        <f t="shared" si="42"/>
        <v>0</v>
      </c>
      <c r="O338" s="8">
        <f t="shared" si="43"/>
        <v>0</v>
      </c>
      <c r="P338" s="9">
        <f t="shared" si="44"/>
        <v>0</v>
      </c>
      <c r="Q338"/>
      <c r="R338"/>
      <c r="S338"/>
    </row>
    <row r="339" spans="1:19" ht="16.5" thickBot="1" x14ac:dyDescent="0.3">
      <c r="A339" s="175"/>
      <c r="B339" s="170"/>
      <c r="C339" s="1" t="str">
        <f t="shared" si="46"/>
        <v/>
      </c>
      <c r="D339" s="179"/>
      <c r="E339" s="180"/>
      <c r="F339" s="186"/>
      <c r="G339" s="180"/>
      <c r="H339" s="181"/>
      <c r="I339" s="4"/>
      <c r="J339" s="4"/>
      <c r="K339" s="7" t="str">
        <f t="shared" si="38"/>
        <v/>
      </c>
      <c r="L339" s="8" t="str">
        <f t="shared" si="40"/>
        <v/>
      </c>
      <c r="M339" s="8" t="str">
        <f t="shared" si="41"/>
        <v/>
      </c>
      <c r="N339" s="8">
        <f t="shared" si="42"/>
        <v>0</v>
      </c>
      <c r="O339" s="8">
        <f t="shared" si="43"/>
        <v>0</v>
      </c>
      <c r="P339" s="9">
        <f t="shared" si="44"/>
        <v>0</v>
      </c>
      <c r="Q339"/>
      <c r="R339"/>
      <c r="S339"/>
    </row>
    <row r="340" spans="1:19" ht="16.5" thickBot="1" x14ac:dyDescent="0.3">
      <c r="A340" s="175"/>
      <c r="B340" s="170"/>
      <c r="C340" s="1" t="str">
        <f t="shared" si="46"/>
        <v/>
      </c>
      <c r="D340" s="179"/>
      <c r="E340" s="180"/>
      <c r="F340" s="186"/>
      <c r="G340" s="180"/>
      <c r="H340" s="181"/>
      <c r="I340" s="4"/>
      <c r="J340" s="4"/>
      <c r="K340" s="7" t="str">
        <f t="shared" si="38"/>
        <v/>
      </c>
      <c r="L340" s="8" t="str">
        <f t="shared" si="40"/>
        <v/>
      </c>
      <c r="M340" s="8" t="str">
        <f t="shared" si="41"/>
        <v/>
      </c>
      <c r="N340" s="8">
        <f t="shared" si="42"/>
        <v>0</v>
      </c>
      <c r="O340" s="8">
        <f t="shared" si="43"/>
        <v>0</v>
      </c>
      <c r="P340" s="9">
        <f t="shared" si="44"/>
        <v>0</v>
      </c>
      <c r="Q340"/>
      <c r="R340"/>
      <c r="S340"/>
    </row>
    <row r="341" spans="1:19" ht="16.5" thickBot="1" x14ac:dyDescent="0.3">
      <c r="A341" s="175"/>
      <c r="B341" s="170"/>
      <c r="C341" s="1" t="str">
        <f t="shared" si="46"/>
        <v/>
      </c>
      <c r="D341" s="179"/>
      <c r="E341" s="180"/>
      <c r="F341" s="186"/>
      <c r="G341" s="180"/>
      <c r="H341" s="181"/>
      <c r="I341" s="4"/>
      <c r="J341" s="4"/>
      <c r="K341" s="7" t="str">
        <f t="shared" si="38"/>
        <v/>
      </c>
      <c r="L341" s="8" t="str">
        <f t="shared" si="40"/>
        <v/>
      </c>
      <c r="M341" s="8" t="str">
        <f t="shared" si="41"/>
        <v/>
      </c>
      <c r="N341" s="8">
        <f t="shared" si="42"/>
        <v>0</v>
      </c>
      <c r="O341" s="8">
        <f t="shared" si="43"/>
        <v>0</v>
      </c>
      <c r="P341" s="9">
        <f t="shared" si="44"/>
        <v>0</v>
      </c>
      <c r="Q341"/>
      <c r="R341"/>
      <c r="S341"/>
    </row>
    <row r="342" spans="1:19" ht="16.5" thickBot="1" x14ac:dyDescent="0.3">
      <c r="A342" s="175"/>
      <c r="B342" s="170"/>
      <c r="C342" s="1" t="str">
        <f t="shared" si="46"/>
        <v/>
      </c>
      <c r="D342" s="179"/>
      <c r="E342" s="180"/>
      <c r="F342" s="186"/>
      <c r="G342" s="180"/>
      <c r="H342" s="181"/>
      <c r="I342" s="4"/>
      <c r="J342" s="4"/>
      <c r="K342" s="7" t="str">
        <f t="shared" si="38"/>
        <v/>
      </c>
      <c r="L342" s="8" t="str">
        <f t="shared" si="40"/>
        <v/>
      </c>
      <c r="M342" s="8" t="str">
        <f t="shared" si="41"/>
        <v/>
      </c>
      <c r="N342" s="8">
        <f t="shared" si="42"/>
        <v>0</v>
      </c>
      <c r="O342" s="8">
        <f t="shared" si="43"/>
        <v>0</v>
      </c>
      <c r="P342" s="9">
        <f t="shared" si="44"/>
        <v>0</v>
      </c>
      <c r="Q342"/>
      <c r="R342"/>
      <c r="S342"/>
    </row>
    <row r="343" spans="1:19" ht="16.5" thickBot="1" x14ac:dyDescent="0.3">
      <c r="A343" s="175"/>
      <c r="B343" s="170"/>
      <c r="C343" s="1" t="str">
        <f t="shared" si="46"/>
        <v/>
      </c>
      <c r="D343" s="179"/>
      <c r="E343" s="180"/>
      <c r="F343" s="186"/>
      <c r="G343" s="180"/>
      <c r="H343" s="181"/>
      <c r="I343" s="4"/>
      <c r="J343" s="4"/>
      <c r="K343" s="7" t="str">
        <f t="shared" si="38"/>
        <v/>
      </c>
      <c r="L343" s="8" t="str">
        <f t="shared" si="40"/>
        <v/>
      </c>
      <c r="M343" s="8" t="str">
        <f t="shared" si="41"/>
        <v/>
      </c>
      <c r="N343" s="8">
        <f t="shared" si="42"/>
        <v>0</v>
      </c>
      <c r="O343" s="8">
        <f t="shared" si="43"/>
        <v>0</v>
      </c>
      <c r="P343" s="9">
        <f t="shared" si="44"/>
        <v>0</v>
      </c>
      <c r="Q343"/>
      <c r="R343"/>
      <c r="S343"/>
    </row>
    <row r="344" spans="1:19" ht="16.5" thickBot="1" x14ac:dyDescent="0.3">
      <c r="A344" s="175"/>
      <c r="B344" s="170"/>
      <c r="C344" s="1" t="str">
        <f t="shared" si="46"/>
        <v/>
      </c>
      <c r="D344" s="179"/>
      <c r="E344" s="180"/>
      <c r="F344" s="186"/>
      <c r="G344" s="180"/>
      <c r="H344" s="181"/>
      <c r="I344" s="4"/>
      <c r="J344" s="4"/>
      <c r="K344" s="7" t="str">
        <f t="shared" si="38"/>
        <v/>
      </c>
      <c r="L344" s="8" t="str">
        <f t="shared" si="40"/>
        <v/>
      </c>
      <c r="M344" s="8" t="str">
        <f t="shared" si="41"/>
        <v/>
      </c>
      <c r="N344" s="8">
        <f t="shared" si="42"/>
        <v>0</v>
      </c>
      <c r="O344" s="8">
        <f t="shared" si="43"/>
        <v>0</v>
      </c>
      <c r="P344" s="9">
        <f t="shared" si="44"/>
        <v>0</v>
      </c>
      <c r="Q344"/>
      <c r="R344"/>
      <c r="S344"/>
    </row>
    <row r="345" spans="1:19" ht="16.5" thickBot="1" x14ac:dyDescent="0.3">
      <c r="A345" s="175"/>
      <c r="B345" s="170"/>
      <c r="C345" s="1" t="str">
        <f t="shared" si="46"/>
        <v/>
      </c>
      <c r="D345" s="179"/>
      <c r="E345" s="180"/>
      <c r="F345" s="186"/>
      <c r="G345" s="180"/>
      <c r="H345" s="181"/>
      <c r="I345" s="4"/>
      <c r="J345" s="4"/>
      <c r="K345" s="7" t="str">
        <f t="shared" si="38"/>
        <v/>
      </c>
      <c r="L345" s="8" t="str">
        <f t="shared" si="40"/>
        <v/>
      </c>
      <c r="M345" s="8" t="str">
        <f t="shared" si="41"/>
        <v/>
      </c>
      <c r="N345" s="8">
        <f t="shared" si="42"/>
        <v>0</v>
      </c>
      <c r="O345" s="8">
        <f t="shared" si="43"/>
        <v>0</v>
      </c>
      <c r="P345" s="9">
        <f t="shared" si="44"/>
        <v>0</v>
      </c>
      <c r="Q345"/>
      <c r="R345"/>
      <c r="S345"/>
    </row>
    <row r="346" spans="1:19" ht="16.5" thickBot="1" x14ac:dyDescent="0.3">
      <c r="A346" s="175"/>
      <c r="B346" s="170"/>
      <c r="C346" s="1" t="str">
        <f t="shared" si="46"/>
        <v/>
      </c>
      <c r="D346" s="179"/>
      <c r="E346" s="180"/>
      <c r="F346" s="186"/>
      <c r="G346" s="180"/>
      <c r="H346" s="181"/>
      <c r="I346" s="4"/>
      <c r="J346" s="4"/>
      <c r="K346" s="7" t="str">
        <f t="shared" si="38"/>
        <v/>
      </c>
      <c r="L346" s="8" t="str">
        <f t="shared" si="40"/>
        <v/>
      </c>
      <c r="M346" s="8" t="str">
        <f t="shared" si="41"/>
        <v/>
      </c>
      <c r="N346" s="8">
        <f t="shared" si="42"/>
        <v>0</v>
      </c>
      <c r="O346" s="8">
        <f t="shared" si="43"/>
        <v>0</v>
      </c>
      <c r="P346" s="9">
        <f t="shared" si="44"/>
        <v>0</v>
      </c>
      <c r="Q346"/>
      <c r="R346"/>
      <c r="S346"/>
    </row>
    <row r="347" spans="1:19" ht="16.5" thickBot="1" x14ac:dyDescent="0.3">
      <c r="A347" s="175"/>
      <c r="B347" s="170"/>
      <c r="C347" s="1" t="str">
        <f t="shared" si="46"/>
        <v/>
      </c>
      <c r="D347" s="179"/>
      <c r="E347" s="180"/>
      <c r="F347" s="186"/>
      <c r="G347" s="180"/>
      <c r="H347" s="181"/>
      <c r="I347" s="4"/>
      <c r="J347" s="4"/>
      <c r="K347" s="7" t="str">
        <f t="shared" si="38"/>
        <v/>
      </c>
      <c r="L347" s="8" t="str">
        <f t="shared" si="40"/>
        <v/>
      </c>
      <c r="M347" s="8" t="str">
        <f t="shared" si="41"/>
        <v/>
      </c>
      <c r="N347" s="8">
        <f t="shared" si="42"/>
        <v>0</v>
      </c>
      <c r="O347" s="8">
        <f t="shared" si="43"/>
        <v>0</v>
      </c>
      <c r="P347" s="9">
        <f t="shared" si="44"/>
        <v>0</v>
      </c>
      <c r="Q347"/>
      <c r="R347"/>
      <c r="S347"/>
    </row>
    <row r="348" spans="1:19" ht="16.5" thickBot="1" x14ac:dyDescent="0.3">
      <c r="A348" s="175"/>
      <c r="B348" s="170"/>
      <c r="C348" s="1" t="str">
        <f t="shared" si="46"/>
        <v/>
      </c>
      <c r="D348" s="179"/>
      <c r="E348" s="180"/>
      <c r="F348" s="186"/>
      <c r="G348" s="180"/>
      <c r="H348" s="181"/>
      <c r="I348" s="4"/>
      <c r="J348" s="4"/>
      <c r="K348" s="7" t="str">
        <f t="shared" si="38"/>
        <v/>
      </c>
      <c r="L348" s="8" t="str">
        <f t="shared" si="40"/>
        <v/>
      </c>
      <c r="M348" s="8" t="str">
        <f t="shared" si="41"/>
        <v/>
      </c>
      <c r="N348" s="8">
        <f t="shared" si="42"/>
        <v>0</v>
      </c>
      <c r="O348" s="8">
        <f t="shared" si="43"/>
        <v>0</v>
      </c>
      <c r="P348" s="9">
        <f t="shared" si="44"/>
        <v>0</v>
      </c>
      <c r="Q348"/>
      <c r="R348"/>
      <c r="S348"/>
    </row>
    <row r="349" spans="1:19" ht="16.5" thickBot="1" x14ac:dyDescent="0.3">
      <c r="A349" s="175"/>
      <c r="B349" s="170"/>
      <c r="C349" s="1" t="str">
        <f t="shared" si="46"/>
        <v/>
      </c>
      <c r="D349" s="179"/>
      <c r="E349" s="180"/>
      <c r="F349" s="186"/>
      <c r="G349" s="180"/>
      <c r="H349" s="181"/>
      <c r="I349" s="4"/>
      <c r="J349" s="4"/>
      <c r="K349" s="7" t="str">
        <f t="shared" si="38"/>
        <v/>
      </c>
      <c r="L349" s="8" t="str">
        <f t="shared" si="40"/>
        <v/>
      </c>
      <c r="M349" s="8" t="str">
        <f t="shared" si="41"/>
        <v/>
      </c>
      <c r="N349" s="8">
        <f t="shared" si="42"/>
        <v>0</v>
      </c>
      <c r="O349" s="8">
        <f t="shared" si="43"/>
        <v>0</v>
      </c>
      <c r="P349" s="9">
        <f t="shared" si="44"/>
        <v>0</v>
      </c>
      <c r="Q349"/>
      <c r="R349"/>
      <c r="S349"/>
    </row>
    <row r="350" spans="1:19" ht="16.5" thickBot="1" x14ac:dyDescent="0.3">
      <c r="A350" s="175"/>
      <c r="B350" s="170"/>
      <c r="C350" s="1" t="str">
        <f t="shared" si="46"/>
        <v/>
      </c>
      <c r="D350" s="179"/>
      <c r="E350" s="180"/>
      <c r="F350" s="186"/>
      <c r="G350" s="180"/>
      <c r="H350" s="181"/>
      <c r="I350" s="4"/>
      <c r="J350" s="4"/>
      <c r="K350" s="7" t="str">
        <f t="shared" si="38"/>
        <v/>
      </c>
      <c r="L350" s="8" t="str">
        <f t="shared" si="40"/>
        <v/>
      </c>
      <c r="M350" s="8" t="str">
        <f t="shared" si="41"/>
        <v/>
      </c>
      <c r="N350" s="8">
        <f t="shared" si="42"/>
        <v>0</v>
      </c>
      <c r="O350" s="8">
        <f t="shared" si="43"/>
        <v>0</v>
      </c>
      <c r="P350" s="9">
        <f t="shared" si="44"/>
        <v>0</v>
      </c>
      <c r="Q350"/>
      <c r="R350"/>
      <c r="S350"/>
    </row>
    <row r="351" spans="1:19" ht="16.5" thickBot="1" x14ac:dyDescent="0.3">
      <c r="A351" s="175"/>
      <c r="B351" s="170"/>
      <c r="C351" s="1" t="str">
        <f t="shared" si="46"/>
        <v/>
      </c>
      <c r="D351" s="179"/>
      <c r="E351" s="180"/>
      <c r="F351" s="186"/>
      <c r="G351" s="180"/>
      <c r="H351" s="181"/>
      <c r="I351" s="4"/>
      <c r="J351" s="4"/>
      <c r="K351" s="7" t="str">
        <f t="shared" si="38"/>
        <v/>
      </c>
      <c r="L351" s="8" t="str">
        <f t="shared" si="40"/>
        <v/>
      </c>
      <c r="M351" s="8" t="str">
        <f t="shared" si="41"/>
        <v/>
      </c>
      <c r="N351" s="8">
        <f t="shared" si="42"/>
        <v>0</v>
      </c>
      <c r="O351" s="8">
        <f t="shared" si="43"/>
        <v>0</v>
      </c>
      <c r="P351" s="9">
        <f t="shared" si="44"/>
        <v>0</v>
      </c>
      <c r="Q351"/>
      <c r="R351"/>
      <c r="S351"/>
    </row>
    <row r="352" spans="1:19" ht="16.5" thickBot="1" x14ac:dyDescent="0.3">
      <c r="A352" s="175"/>
      <c r="B352" s="170"/>
      <c r="C352" s="1" t="str">
        <f t="shared" si="46"/>
        <v/>
      </c>
      <c r="D352" s="179"/>
      <c r="E352" s="180"/>
      <c r="F352" s="186"/>
      <c r="G352" s="180"/>
      <c r="H352" s="181"/>
      <c r="I352" s="4"/>
      <c r="J352" s="4"/>
      <c r="K352" s="7" t="str">
        <f t="shared" si="38"/>
        <v/>
      </c>
      <c r="L352" s="8" t="str">
        <f t="shared" si="40"/>
        <v/>
      </c>
      <c r="M352" s="8" t="str">
        <f t="shared" si="41"/>
        <v/>
      </c>
      <c r="N352" s="8">
        <f t="shared" si="42"/>
        <v>0</v>
      </c>
      <c r="O352" s="8">
        <f t="shared" si="43"/>
        <v>0</v>
      </c>
      <c r="P352" s="9">
        <f t="shared" si="44"/>
        <v>0</v>
      </c>
      <c r="Q352"/>
      <c r="R352"/>
      <c r="S352"/>
    </row>
    <row r="353" spans="1:19" ht="16.5" thickBot="1" x14ac:dyDescent="0.3">
      <c r="A353" s="175"/>
      <c r="B353" s="170"/>
      <c r="C353" s="1" t="str">
        <f t="shared" si="46"/>
        <v/>
      </c>
      <c r="D353" s="179"/>
      <c r="E353" s="180"/>
      <c r="F353" s="186"/>
      <c r="G353" s="180"/>
      <c r="H353" s="181"/>
      <c r="I353" s="4"/>
      <c r="J353" s="4"/>
      <c r="K353" s="7" t="str">
        <f t="shared" si="38"/>
        <v/>
      </c>
      <c r="L353" s="8" t="str">
        <f t="shared" si="40"/>
        <v/>
      </c>
      <c r="M353" s="8" t="str">
        <f t="shared" si="41"/>
        <v/>
      </c>
      <c r="N353" s="8">
        <f t="shared" si="42"/>
        <v>0</v>
      </c>
      <c r="O353" s="8">
        <f t="shared" si="43"/>
        <v>0</v>
      </c>
      <c r="P353" s="9">
        <f t="shared" si="44"/>
        <v>0</v>
      </c>
      <c r="Q353"/>
      <c r="R353"/>
      <c r="S353"/>
    </row>
    <row r="354" spans="1:19" ht="16.5" thickBot="1" x14ac:dyDescent="0.3">
      <c r="A354" s="175"/>
      <c r="B354" s="170"/>
      <c r="C354" s="1" t="str">
        <f t="shared" si="46"/>
        <v/>
      </c>
      <c r="D354" s="179"/>
      <c r="E354" s="180"/>
      <c r="F354" s="186"/>
      <c r="G354" s="180"/>
      <c r="H354" s="181"/>
      <c r="I354" s="4"/>
      <c r="J354" s="4"/>
      <c r="K354" s="7" t="str">
        <f t="shared" si="38"/>
        <v/>
      </c>
      <c r="L354" s="8" t="str">
        <f t="shared" si="40"/>
        <v/>
      </c>
      <c r="M354" s="8" t="str">
        <f t="shared" si="41"/>
        <v/>
      </c>
      <c r="N354" s="8">
        <f t="shared" si="42"/>
        <v>0</v>
      </c>
      <c r="O354" s="8">
        <f t="shared" si="43"/>
        <v>0</v>
      </c>
      <c r="P354" s="9">
        <f t="shared" si="44"/>
        <v>0</v>
      </c>
      <c r="Q354"/>
      <c r="R354"/>
      <c r="S354"/>
    </row>
    <row r="355" spans="1:19" ht="16.5" thickBot="1" x14ac:dyDescent="0.3">
      <c r="A355" s="175"/>
      <c r="B355" s="170"/>
      <c r="C355" s="1" t="str">
        <f t="shared" si="46"/>
        <v/>
      </c>
      <c r="D355" s="179"/>
      <c r="E355" s="180"/>
      <c r="F355" s="186"/>
      <c r="G355" s="180"/>
      <c r="H355" s="181"/>
      <c r="I355" s="4"/>
      <c r="J355" s="4"/>
      <c r="K355" s="7" t="str">
        <f t="shared" si="38"/>
        <v/>
      </c>
      <c r="L355" s="8" t="str">
        <f t="shared" si="40"/>
        <v/>
      </c>
      <c r="M355" s="8" t="str">
        <f t="shared" si="41"/>
        <v/>
      </c>
      <c r="N355" s="8">
        <f t="shared" si="42"/>
        <v>0</v>
      </c>
      <c r="O355" s="8">
        <f t="shared" si="43"/>
        <v>0</v>
      </c>
      <c r="P355" s="9">
        <f t="shared" si="44"/>
        <v>0</v>
      </c>
      <c r="Q355"/>
      <c r="R355"/>
      <c r="S355"/>
    </row>
    <row r="356" spans="1:19" ht="16.5" thickBot="1" x14ac:dyDescent="0.3">
      <c r="A356" s="175"/>
      <c r="B356" s="170"/>
      <c r="C356" s="1" t="str">
        <f t="shared" si="46"/>
        <v/>
      </c>
      <c r="D356" s="179"/>
      <c r="E356" s="180"/>
      <c r="F356" s="186"/>
      <c r="G356" s="180"/>
      <c r="H356" s="181"/>
      <c r="I356" s="4"/>
      <c r="J356" s="4"/>
      <c r="K356" s="7" t="str">
        <f t="shared" si="38"/>
        <v/>
      </c>
      <c r="L356" s="8" t="str">
        <f t="shared" si="40"/>
        <v/>
      </c>
      <c r="M356" s="8" t="str">
        <f t="shared" si="41"/>
        <v/>
      </c>
      <c r="N356" s="8">
        <f t="shared" si="42"/>
        <v>0</v>
      </c>
      <c r="O356" s="8">
        <f t="shared" si="43"/>
        <v>0</v>
      </c>
      <c r="P356" s="9">
        <f t="shared" si="44"/>
        <v>0</v>
      </c>
      <c r="Q356"/>
      <c r="R356"/>
      <c r="S356"/>
    </row>
    <row r="357" spans="1:19" ht="16.5" thickBot="1" x14ac:dyDescent="0.3">
      <c r="A357" s="175"/>
      <c r="B357" s="170"/>
      <c r="C357" s="1" t="str">
        <f t="shared" si="46"/>
        <v/>
      </c>
      <c r="D357" s="179"/>
      <c r="E357" s="180"/>
      <c r="F357" s="186"/>
      <c r="G357" s="180"/>
      <c r="H357" s="181"/>
      <c r="I357" s="4"/>
      <c r="J357" s="4"/>
      <c r="K357" s="7" t="str">
        <f t="shared" si="38"/>
        <v/>
      </c>
      <c r="L357" s="8" t="str">
        <f t="shared" si="40"/>
        <v/>
      </c>
      <c r="M357" s="8" t="str">
        <f t="shared" si="41"/>
        <v/>
      </c>
      <c r="N357" s="8">
        <f t="shared" si="42"/>
        <v>0</v>
      </c>
      <c r="O357" s="8">
        <f t="shared" si="43"/>
        <v>0</v>
      </c>
      <c r="P357" s="9">
        <f t="shared" si="44"/>
        <v>0</v>
      </c>
      <c r="Q357"/>
      <c r="R357"/>
      <c r="S357"/>
    </row>
    <row r="358" spans="1:19" ht="16.5" thickBot="1" x14ac:dyDescent="0.3">
      <c r="A358" s="175"/>
      <c r="B358" s="170"/>
      <c r="C358" s="1" t="str">
        <f t="shared" si="46"/>
        <v/>
      </c>
      <c r="D358" s="179"/>
      <c r="E358" s="180"/>
      <c r="F358" s="186"/>
      <c r="G358" s="180"/>
      <c r="H358" s="181"/>
      <c r="I358" s="4"/>
      <c r="J358" s="4"/>
      <c r="K358" s="7" t="str">
        <f t="shared" si="38"/>
        <v/>
      </c>
      <c r="L358" s="8" t="str">
        <f t="shared" si="40"/>
        <v/>
      </c>
      <c r="M358" s="8" t="str">
        <f t="shared" si="41"/>
        <v/>
      </c>
      <c r="N358" s="8">
        <f t="shared" si="42"/>
        <v>0</v>
      </c>
      <c r="O358" s="8">
        <f t="shared" si="43"/>
        <v>0</v>
      </c>
      <c r="P358" s="9">
        <f t="shared" si="44"/>
        <v>0</v>
      </c>
      <c r="Q358"/>
      <c r="R358"/>
      <c r="S358"/>
    </row>
    <row r="359" spans="1:19" ht="16.5" thickBot="1" x14ac:dyDescent="0.3">
      <c r="A359" s="175"/>
      <c r="B359" s="170"/>
      <c r="C359" s="1" t="str">
        <f t="shared" si="46"/>
        <v/>
      </c>
      <c r="D359" s="179"/>
      <c r="E359" s="180"/>
      <c r="F359" s="186"/>
      <c r="G359" s="180"/>
      <c r="H359" s="181"/>
      <c r="I359" s="4"/>
      <c r="J359" s="4"/>
      <c r="K359" s="7" t="str">
        <f t="shared" si="38"/>
        <v/>
      </c>
      <c r="L359" s="8" t="str">
        <f t="shared" si="40"/>
        <v/>
      </c>
      <c r="M359" s="8" t="str">
        <f t="shared" si="41"/>
        <v/>
      </c>
      <c r="N359" s="8">
        <f t="shared" si="42"/>
        <v>0</v>
      </c>
      <c r="O359" s="8">
        <f t="shared" si="43"/>
        <v>0</v>
      </c>
      <c r="P359" s="9">
        <f t="shared" si="44"/>
        <v>0</v>
      </c>
      <c r="Q359"/>
      <c r="R359"/>
      <c r="S359"/>
    </row>
    <row r="360" spans="1:19" ht="16.5" thickBot="1" x14ac:dyDescent="0.3">
      <c r="A360" s="175"/>
      <c r="B360" s="170"/>
      <c r="C360" s="1" t="str">
        <f t="shared" si="46"/>
        <v/>
      </c>
      <c r="D360" s="179"/>
      <c r="E360" s="180"/>
      <c r="F360" s="186"/>
      <c r="G360" s="180"/>
      <c r="H360" s="181"/>
      <c r="I360" s="4"/>
      <c r="J360" s="4"/>
      <c r="K360" s="7" t="str">
        <f t="shared" si="38"/>
        <v/>
      </c>
      <c r="L360" s="8" t="str">
        <f t="shared" si="40"/>
        <v/>
      </c>
      <c r="M360" s="8" t="str">
        <f t="shared" si="41"/>
        <v/>
      </c>
      <c r="N360" s="8">
        <f t="shared" si="42"/>
        <v>0</v>
      </c>
      <c r="O360" s="8">
        <f t="shared" si="43"/>
        <v>0</v>
      </c>
      <c r="P360" s="9">
        <f t="shared" si="44"/>
        <v>0</v>
      </c>
      <c r="Q360"/>
      <c r="R360"/>
      <c r="S360"/>
    </row>
    <row r="361" spans="1:19" ht="16.5" thickBot="1" x14ac:dyDescent="0.3">
      <c r="A361" s="175"/>
      <c r="B361" s="170"/>
      <c r="C361" s="1" t="str">
        <f t="shared" si="46"/>
        <v/>
      </c>
      <c r="D361" s="179"/>
      <c r="E361" s="180"/>
      <c r="F361" s="186"/>
      <c r="G361" s="180"/>
      <c r="H361" s="181"/>
      <c r="I361" s="4"/>
      <c r="J361" s="4"/>
      <c r="K361" s="7" t="str">
        <f t="shared" si="38"/>
        <v/>
      </c>
      <c r="L361" s="8" t="str">
        <f t="shared" si="40"/>
        <v/>
      </c>
      <c r="M361" s="8" t="str">
        <f t="shared" si="41"/>
        <v/>
      </c>
      <c r="N361" s="8">
        <f t="shared" si="42"/>
        <v>0</v>
      </c>
      <c r="O361" s="8">
        <f t="shared" si="43"/>
        <v>0</v>
      </c>
      <c r="P361" s="9">
        <f t="shared" si="44"/>
        <v>0</v>
      </c>
      <c r="Q361"/>
      <c r="R361"/>
      <c r="S361"/>
    </row>
    <row r="362" spans="1:19" ht="16.5" thickBot="1" x14ac:dyDescent="0.3">
      <c r="A362" s="175"/>
      <c r="B362" s="170"/>
      <c r="C362" s="1" t="str">
        <f t="shared" si="46"/>
        <v/>
      </c>
      <c r="D362" s="179"/>
      <c r="E362" s="180"/>
      <c r="F362" s="186"/>
      <c r="G362" s="180"/>
      <c r="H362" s="181"/>
      <c r="I362" s="4"/>
      <c r="J362" s="4"/>
      <c r="K362" s="7" t="str">
        <f t="shared" si="38"/>
        <v/>
      </c>
      <c r="L362" s="8" t="str">
        <f t="shared" si="40"/>
        <v/>
      </c>
      <c r="M362" s="8" t="str">
        <f t="shared" si="41"/>
        <v/>
      </c>
      <c r="N362" s="8">
        <f t="shared" si="42"/>
        <v>0</v>
      </c>
      <c r="O362" s="8">
        <f t="shared" si="43"/>
        <v>0</v>
      </c>
      <c r="P362" s="9">
        <f t="shared" si="44"/>
        <v>0</v>
      </c>
      <c r="Q362"/>
      <c r="R362"/>
      <c r="S362"/>
    </row>
    <row r="363" spans="1:19" ht="16.5" thickBot="1" x14ac:dyDescent="0.3">
      <c r="A363" s="175"/>
      <c r="B363" s="170"/>
      <c r="C363" s="1" t="str">
        <f t="shared" si="46"/>
        <v/>
      </c>
      <c r="D363" s="179"/>
      <c r="E363" s="180"/>
      <c r="F363" s="186"/>
      <c r="G363" s="180"/>
      <c r="H363" s="181"/>
      <c r="I363" s="4"/>
      <c r="J363" s="4"/>
      <c r="K363" s="7" t="str">
        <f t="shared" si="38"/>
        <v/>
      </c>
      <c r="L363" s="8" t="str">
        <f t="shared" si="40"/>
        <v/>
      </c>
      <c r="M363" s="8" t="str">
        <f t="shared" si="41"/>
        <v/>
      </c>
      <c r="N363" s="8">
        <f t="shared" si="42"/>
        <v>0</v>
      </c>
      <c r="O363" s="8">
        <f t="shared" si="43"/>
        <v>0</v>
      </c>
      <c r="P363" s="9">
        <f t="shared" si="44"/>
        <v>0</v>
      </c>
      <c r="Q363"/>
      <c r="R363"/>
      <c r="S363"/>
    </row>
    <row r="364" spans="1:19" ht="16.5" thickBot="1" x14ac:dyDescent="0.3">
      <c r="A364" s="175"/>
      <c r="B364" s="170"/>
      <c r="C364" s="1" t="str">
        <f t="shared" si="46"/>
        <v/>
      </c>
      <c r="D364" s="179"/>
      <c r="E364" s="180"/>
      <c r="F364" s="186"/>
      <c r="G364" s="180"/>
      <c r="H364" s="181"/>
      <c r="I364" s="4"/>
      <c r="J364" s="4"/>
      <c r="K364" s="7" t="str">
        <f t="shared" si="38"/>
        <v/>
      </c>
      <c r="L364" s="8" t="str">
        <f t="shared" si="40"/>
        <v/>
      </c>
      <c r="M364" s="8" t="str">
        <f t="shared" si="41"/>
        <v/>
      </c>
      <c r="N364" s="8">
        <f t="shared" si="42"/>
        <v>0</v>
      </c>
      <c r="O364" s="8">
        <f t="shared" si="43"/>
        <v>0</v>
      </c>
      <c r="P364" s="9">
        <f t="shared" si="44"/>
        <v>0</v>
      </c>
      <c r="Q364"/>
      <c r="R364"/>
      <c r="S364"/>
    </row>
    <row r="365" spans="1:19" ht="16.5" thickBot="1" x14ac:dyDescent="0.3">
      <c r="A365" s="175"/>
      <c r="B365" s="170"/>
      <c r="C365" s="1" t="str">
        <f t="shared" si="46"/>
        <v/>
      </c>
      <c r="D365" s="179"/>
      <c r="E365" s="180"/>
      <c r="F365" s="186"/>
      <c r="G365" s="180"/>
      <c r="H365" s="181"/>
      <c r="I365" s="4"/>
      <c r="J365" s="4"/>
      <c r="K365" s="7" t="str">
        <f t="shared" si="38"/>
        <v/>
      </c>
      <c r="L365" s="8" t="str">
        <f t="shared" si="40"/>
        <v/>
      </c>
      <c r="M365" s="8" t="str">
        <f t="shared" si="41"/>
        <v/>
      </c>
      <c r="N365" s="8">
        <f t="shared" si="42"/>
        <v>0</v>
      </c>
      <c r="O365" s="8">
        <f t="shared" si="43"/>
        <v>0</v>
      </c>
      <c r="P365" s="9">
        <f t="shared" si="44"/>
        <v>0</v>
      </c>
      <c r="Q365"/>
      <c r="R365"/>
      <c r="S365"/>
    </row>
    <row r="366" spans="1:19" ht="16.5" thickBot="1" x14ac:dyDescent="0.3">
      <c r="A366" s="175"/>
      <c r="B366" s="170"/>
      <c r="C366" s="1" t="str">
        <f t="shared" si="46"/>
        <v/>
      </c>
      <c r="D366" s="179"/>
      <c r="E366" s="180"/>
      <c r="F366" s="186"/>
      <c r="G366" s="180"/>
      <c r="H366" s="181"/>
      <c r="I366" s="4"/>
      <c r="J366" s="4"/>
      <c r="K366" s="7" t="str">
        <f t="shared" si="38"/>
        <v/>
      </c>
      <c r="L366" s="8" t="str">
        <f t="shared" si="40"/>
        <v/>
      </c>
      <c r="M366" s="8" t="str">
        <f t="shared" si="41"/>
        <v/>
      </c>
      <c r="N366" s="8">
        <f t="shared" si="42"/>
        <v>0</v>
      </c>
      <c r="O366" s="8">
        <f t="shared" si="43"/>
        <v>0</v>
      </c>
      <c r="P366" s="9">
        <f t="shared" si="44"/>
        <v>0</v>
      </c>
      <c r="Q366"/>
      <c r="R366"/>
      <c r="S366"/>
    </row>
    <row r="367" spans="1:19" ht="16.5" thickBot="1" x14ac:dyDescent="0.3">
      <c r="A367" s="175"/>
      <c r="B367" s="170"/>
      <c r="C367" s="1" t="str">
        <f t="shared" si="46"/>
        <v/>
      </c>
      <c r="D367" s="179"/>
      <c r="E367" s="180"/>
      <c r="F367" s="186"/>
      <c r="G367" s="180"/>
      <c r="H367" s="181"/>
      <c r="I367" s="4"/>
      <c r="J367" s="4"/>
      <c r="K367" s="7" t="str">
        <f t="shared" si="38"/>
        <v/>
      </c>
      <c r="L367" s="8" t="str">
        <f t="shared" si="40"/>
        <v/>
      </c>
      <c r="M367" s="8" t="str">
        <f t="shared" si="41"/>
        <v/>
      </c>
      <c r="N367" s="8">
        <f t="shared" si="42"/>
        <v>0</v>
      </c>
      <c r="O367" s="8">
        <f t="shared" si="43"/>
        <v>0</v>
      </c>
      <c r="P367" s="9">
        <f t="shared" si="44"/>
        <v>0</v>
      </c>
      <c r="Q367"/>
      <c r="R367"/>
      <c r="S367"/>
    </row>
    <row r="368" spans="1:19" ht="16.5" thickBot="1" x14ac:dyDescent="0.3">
      <c r="A368" s="175"/>
      <c r="B368" s="170"/>
      <c r="C368" s="1" t="str">
        <f t="shared" si="46"/>
        <v/>
      </c>
      <c r="D368" s="179"/>
      <c r="E368" s="180"/>
      <c r="F368" s="186"/>
      <c r="G368" s="180"/>
      <c r="H368" s="181"/>
      <c r="I368" s="4"/>
      <c r="J368" s="4"/>
      <c r="K368" s="7" t="str">
        <f t="shared" si="38"/>
        <v/>
      </c>
      <c r="L368" s="8" t="str">
        <f t="shared" si="40"/>
        <v/>
      </c>
      <c r="M368" s="8" t="str">
        <f t="shared" si="41"/>
        <v/>
      </c>
      <c r="N368" s="8">
        <f t="shared" si="42"/>
        <v>0</v>
      </c>
      <c r="O368" s="8">
        <f t="shared" si="43"/>
        <v>0</v>
      </c>
      <c r="P368" s="9">
        <f t="shared" si="44"/>
        <v>0</v>
      </c>
      <c r="Q368"/>
      <c r="R368"/>
      <c r="S368"/>
    </row>
    <row r="369" spans="1:19" ht="16.5" thickBot="1" x14ac:dyDescent="0.3">
      <c r="A369" s="175"/>
      <c r="B369" s="170"/>
      <c r="C369" s="1" t="str">
        <f t="shared" si="46"/>
        <v/>
      </c>
      <c r="D369" s="179"/>
      <c r="E369" s="180"/>
      <c r="F369" s="186"/>
      <c r="G369" s="180"/>
      <c r="H369" s="181"/>
      <c r="I369" s="4"/>
      <c r="J369" s="4"/>
      <c r="K369" s="7" t="str">
        <f t="shared" si="38"/>
        <v/>
      </c>
      <c r="L369" s="8" t="str">
        <f t="shared" si="40"/>
        <v/>
      </c>
      <c r="M369" s="8" t="str">
        <f t="shared" si="41"/>
        <v/>
      </c>
      <c r="N369" s="8">
        <f t="shared" si="42"/>
        <v>0</v>
      </c>
      <c r="O369" s="8">
        <f t="shared" si="43"/>
        <v>0</v>
      </c>
      <c r="P369" s="9">
        <f t="shared" si="44"/>
        <v>0</v>
      </c>
      <c r="Q369"/>
      <c r="R369"/>
      <c r="S369"/>
    </row>
    <row r="370" spans="1:19" ht="16.5" thickBot="1" x14ac:dyDescent="0.3">
      <c r="A370" s="175"/>
      <c r="B370" s="170"/>
      <c r="C370" s="1" t="str">
        <f t="shared" si="46"/>
        <v/>
      </c>
      <c r="D370" s="179"/>
      <c r="E370" s="180"/>
      <c r="F370" s="186"/>
      <c r="G370" s="180"/>
      <c r="H370" s="181"/>
      <c r="I370" s="4"/>
      <c r="J370" s="4"/>
      <c r="K370" s="7" t="str">
        <f t="shared" si="38"/>
        <v/>
      </c>
      <c r="L370" s="8" t="str">
        <f t="shared" si="40"/>
        <v/>
      </c>
      <c r="M370" s="8" t="str">
        <f t="shared" si="41"/>
        <v/>
      </c>
      <c r="N370" s="8">
        <f t="shared" si="42"/>
        <v>0</v>
      </c>
      <c r="O370" s="8">
        <f t="shared" si="43"/>
        <v>0</v>
      </c>
      <c r="P370" s="9">
        <f t="shared" si="44"/>
        <v>0</v>
      </c>
      <c r="Q370"/>
      <c r="R370"/>
      <c r="S370"/>
    </row>
    <row r="371" spans="1:19" ht="16.5" thickBot="1" x14ac:dyDescent="0.3">
      <c r="A371" s="175"/>
      <c r="B371" s="170"/>
      <c r="C371" s="1" t="str">
        <f t="shared" si="46"/>
        <v/>
      </c>
      <c r="D371" s="179"/>
      <c r="E371" s="180"/>
      <c r="F371" s="186"/>
      <c r="G371" s="180"/>
      <c r="H371" s="181"/>
      <c r="I371" s="4"/>
      <c r="J371" s="4"/>
      <c r="K371" s="7" t="str">
        <f t="shared" si="38"/>
        <v/>
      </c>
      <c r="L371" s="8" t="str">
        <f t="shared" si="40"/>
        <v/>
      </c>
      <c r="M371" s="8" t="str">
        <f t="shared" si="41"/>
        <v/>
      </c>
      <c r="N371" s="8">
        <f t="shared" si="42"/>
        <v>0</v>
      </c>
      <c r="O371" s="8">
        <f t="shared" si="43"/>
        <v>0</v>
      </c>
      <c r="P371" s="9">
        <f t="shared" si="44"/>
        <v>0</v>
      </c>
      <c r="Q371"/>
      <c r="R371"/>
      <c r="S371"/>
    </row>
    <row r="372" spans="1:19" ht="16.5" thickBot="1" x14ac:dyDescent="0.3">
      <c r="A372" s="175"/>
      <c r="B372" s="170"/>
      <c r="C372" s="1" t="str">
        <f t="shared" si="46"/>
        <v/>
      </c>
      <c r="D372" s="179"/>
      <c r="E372" s="180"/>
      <c r="F372" s="186"/>
      <c r="G372" s="180"/>
      <c r="H372" s="181"/>
      <c r="I372" s="4"/>
      <c r="J372" s="4"/>
      <c r="K372" s="7" t="str">
        <f t="shared" si="38"/>
        <v/>
      </c>
      <c r="L372" s="8" t="str">
        <f t="shared" si="40"/>
        <v/>
      </c>
      <c r="M372" s="8" t="str">
        <f t="shared" si="41"/>
        <v/>
      </c>
      <c r="N372" s="8">
        <f t="shared" si="42"/>
        <v>0</v>
      </c>
      <c r="O372" s="8">
        <f t="shared" si="43"/>
        <v>0</v>
      </c>
      <c r="P372" s="9">
        <f t="shared" si="44"/>
        <v>0</v>
      </c>
      <c r="Q372"/>
      <c r="R372"/>
      <c r="S372"/>
    </row>
    <row r="373" spans="1:19" ht="16.5" thickBot="1" x14ac:dyDescent="0.3">
      <c r="A373" s="175"/>
      <c r="B373" s="170"/>
      <c r="C373" s="1" t="str">
        <f t="shared" si="46"/>
        <v/>
      </c>
      <c r="D373" s="179"/>
      <c r="E373" s="180"/>
      <c r="F373" s="186"/>
      <c r="G373" s="180"/>
      <c r="H373" s="181"/>
      <c r="I373" s="4"/>
      <c r="J373" s="4"/>
      <c r="K373" s="7" t="str">
        <f t="shared" si="38"/>
        <v/>
      </c>
      <c r="L373" s="8" t="str">
        <f t="shared" si="40"/>
        <v/>
      </c>
      <c r="M373" s="8" t="str">
        <f t="shared" si="41"/>
        <v/>
      </c>
      <c r="N373" s="8">
        <f t="shared" si="42"/>
        <v>0</v>
      </c>
      <c r="O373" s="8">
        <f t="shared" si="43"/>
        <v>0</v>
      </c>
      <c r="P373" s="9">
        <f t="shared" si="44"/>
        <v>0</v>
      </c>
      <c r="Q373"/>
      <c r="R373"/>
      <c r="S373"/>
    </row>
    <row r="374" spans="1:19" ht="16.5" thickBot="1" x14ac:dyDescent="0.3">
      <c r="A374" s="175"/>
      <c r="B374" s="170"/>
      <c r="C374" s="1" t="str">
        <f t="shared" si="46"/>
        <v/>
      </c>
      <c r="D374" s="179"/>
      <c r="E374" s="180"/>
      <c r="F374" s="186"/>
      <c r="G374" s="180"/>
      <c r="H374" s="181"/>
      <c r="I374" s="4"/>
      <c r="J374" s="4"/>
      <c r="K374" s="7" t="str">
        <f t="shared" si="38"/>
        <v/>
      </c>
      <c r="L374" s="8" t="str">
        <f t="shared" si="40"/>
        <v/>
      </c>
      <c r="M374" s="8" t="str">
        <f t="shared" si="41"/>
        <v/>
      </c>
      <c r="N374" s="8">
        <f t="shared" si="42"/>
        <v>0</v>
      </c>
      <c r="O374" s="8">
        <f t="shared" si="43"/>
        <v>0</v>
      </c>
      <c r="P374" s="9">
        <f t="shared" si="44"/>
        <v>0</v>
      </c>
      <c r="Q374"/>
      <c r="R374"/>
      <c r="S374"/>
    </row>
    <row r="375" spans="1:19" ht="16.5" thickBot="1" x14ac:dyDescent="0.3">
      <c r="A375" s="175"/>
      <c r="B375" s="170"/>
      <c r="C375" s="1" t="str">
        <f t="shared" si="46"/>
        <v/>
      </c>
      <c r="D375" s="179"/>
      <c r="E375" s="180"/>
      <c r="F375" s="186"/>
      <c r="G375" s="180"/>
      <c r="H375" s="181"/>
      <c r="I375" s="4"/>
      <c r="J375" s="4"/>
      <c r="K375" s="7" t="str">
        <f t="shared" si="38"/>
        <v/>
      </c>
      <c r="L375" s="8" t="str">
        <f t="shared" si="40"/>
        <v/>
      </c>
      <c r="M375" s="8" t="str">
        <f t="shared" si="41"/>
        <v/>
      </c>
      <c r="N375" s="8">
        <f t="shared" si="42"/>
        <v>0</v>
      </c>
      <c r="O375" s="8">
        <f t="shared" si="43"/>
        <v>0</v>
      </c>
      <c r="P375" s="9">
        <f t="shared" si="44"/>
        <v>0</v>
      </c>
      <c r="Q375"/>
      <c r="R375"/>
      <c r="S375"/>
    </row>
    <row r="376" spans="1:19" ht="16.5" thickBot="1" x14ac:dyDescent="0.3">
      <c r="A376" s="175"/>
      <c r="B376" s="170"/>
      <c r="C376" s="1" t="str">
        <f t="shared" si="46"/>
        <v/>
      </c>
      <c r="D376" s="179"/>
      <c r="E376" s="180"/>
      <c r="F376" s="186"/>
      <c r="G376" s="180"/>
      <c r="H376" s="181"/>
      <c r="I376" s="4"/>
      <c r="J376" s="4"/>
      <c r="K376" s="7" t="str">
        <f t="shared" si="38"/>
        <v/>
      </c>
      <c r="L376" s="8" t="str">
        <f t="shared" si="40"/>
        <v/>
      </c>
      <c r="M376" s="8" t="str">
        <f t="shared" si="41"/>
        <v/>
      </c>
      <c r="N376" s="8">
        <f t="shared" si="42"/>
        <v>0</v>
      </c>
      <c r="O376" s="8">
        <f t="shared" si="43"/>
        <v>0</v>
      </c>
      <c r="P376" s="9">
        <f t="shared" si="44"/>
        <v>0</v>
      </c>
      <c r="Q376"/>
      <c r="R376"/>
      <c r="S376"/>
    </row>
    <row r="377" spans="1:19" ht="16.5" thickBot="1" x14ac:dyDescent="0.3">
      <c r="A377" s="175"/>
      <c r="B377" s="170"/>
      <c r="C377" s="1" t="str">
        <f t="shared" si="46"/>
        <v/>
      </c>
      <c r="D377" s="179"/>
      <c r="E377" s="180"/>
      <c r="F377" s="186"/>
      <c r="G377" s="180"/>
      <c r="H377" s="181"/>
      <c r="I377" s="4"/>
      <c r="J377" s="4"/>
      <c r="K377" s="7" t="str">
        <f t="shared" si="38"/>
        <v/>
      </c>
      <c r="L377" s="8" t="str">
        <f t="shared" si="40"/>
        <v/>
      </c>
      <c r="M377" s="8" t="str">
        <f t="shared" si="41"/>
        <v/>
      </c>
      <c r="N377" s="8">
        <f t="shared" si="42"/>
        <v>0</v>
      </c>
      <c r="O377" s="8">
        <f t="shared" si="43"/>
        <v>0</v>
      </c>
      <c r="P377" s="9">
        <f t="shared" si="44"/>
        <v>0</v>
      </c>
      <c r="Q377"/>
      <c r="R377"/>
      <c r="S377"/>
    </row>
    <row r="378" spans="1:19" ht="16.5" thickBot="1" x14ac:dyDescent="0.3">
      <c r="A378" s="175"/>
      <c r="B378" s="170"/>
      <c r="C378" s="1" t="str">
        <f t="shared" si="46"/>
        <v/>
      </c>
      <c r="D378" s="179"/>
      <c r="E378" s="180"/>
      <c r="F378" s="186"/>
      <c r="G378" s="180"/>
      <c r="H378" s="181"/>
      <c r="I378" s="4"/>
      <c r="J378" s="4"/>
      <c r="K378" s="7" t="str">
        <f t="shared" si="38"/>
        <v/>
      </c>
      <c r="L378" s="8" t="str">
        <f t="shared" si="40"/>
        <v/>
      </c>
      <c r="M378" s="8" t="str">
        <f t="shared" si="41"/>
        <v/>
      </c>
      <c r="N378" s="8">
        <f t="shared" si="42"/>
        <v>0</v>
      </c>
      <c r="O378" s="8">
        <f t="shared" si="43"/>
        <v>0</v>
      </c>
      <c r="P378" s="9">
        <f t="shared" si="44"/>
        <v>0</v>
      </c>
      <c r="Q378"/>
      <c r="R378"/>
      <c r="S378"/>
    </row>
    <row r="379" spans="1:19" ht="16.5" thickBot="1" x14ac:dyDescent="0.3">
      <c r="A379" s="175"/>
      <c r="B379" s="170"/>
      <c r="C379" s="1" t="str">
        <f t="shared" si="46"/>
        <v/>
      </c>
      <c r="D379" s="179"/>
      <c r="E379" s="180"/>
      <c r="F379" s="186"/>
      <c r="G379" s="180"/>
      <c r="H379" s="181"/>
      <c r="I379" s="4"/>
      <c r="J379" s="4"/>
      <c r="K379" s="7" t="str">
        <f t="shared" si="38"/>
        <v/>
      </c>
      <c r="L379" s="8" t="str">
        <f t="shared" si="40"/>
        <v/>
      </c>
      <c r="M379" s="8" t="str">
        <f t="shared" si="41"/>
        <v/>
      </c>
      <c r="N379" s="8">
        <f t="shared" si="42"/>
        <v>0</v>
      </c>
      <c r="O379" s="8">
        <f t="shared" si="43"/>
        <v>0</v>
      </c>
      <c r="P379" s="9">
        <f t="shared" si="44"/>
        <v>0</v>
      </c>
      <c r="Q379"/>
      <c r="R379"/>
      <c r="S379"/>
    </row>
    <row r="380" spans="1:19" ht="16.5" thickBot="1" x14ac:dyDescent="0.3">
      <c r="A380" s="175"/>
      <c r="B380" s="170"/>
      <c r="C380" s="1" t="str">
        <f t="shared" si="46"/>
        <v/>
      </c>
      <c r="D380" s="179"/>
      <c r="E380" s="180"/>
      <c r="F380" s="186"/>
      <c r="G380" s="180"/>
      <c r="H380" s="181"/>
      <c r="I380" s="4"/>
      <c r="J380" s="4"/>
      <c r="K380" s="7" t="str">
        <f t="shared" si="38"/>
        <v/>
      </c>
      <c r="L380" s="8" t="str">
        <f t="shared" si="40"/>
        <v/>
      </c>
      <c r="M380" s="8" t="str">
        <f t="shared" si="41"/>
        <v/>
      </c>
      <c r="N380" s="8">
        <f t="shared" si="42"/>
        <v>0</v>
      </c>
      <c r="O380" s="8">
        <f t="shared" si="43"/>
        <v>0</v>
      </c>
      <c r="P380" s="9">
        <f t="shared" si="44"/>
        <v>0</v>
      </c>
      <c r="Q380"/>
      <c r="R380"/>
      <c r="S380"/>
    </row>
    <row r="381" spans="1:19" ht="16.5" thickBot="1" x14ac:dyDescent="0.3">
      <c r="A381" s="175"/>
      <c r="B381" s="170"/>
      <c r="C381" s="1" t="str">
        <f t="shared" si="46"/>
        <v/>
      </c>
      <c r="D381" s="179"/>
      <c r="E381" s="180"/>
      <c r="F381" s="186"/>
      <c r="G381" s="180"/>
      <c r="H381" s="181"/>
      <c r="I381" s="4"/>
      <c r="J381" s="4"/>
      <c r="K381" s="7" t="str">
        <f t="shared" si="38"/>
        <v/>
      </c>
      <c r="L381" s="8" t="str">
        <f t="shared" si="40"/>
        <v/>
      </c>
      <c r="M381" s="8" t="str">
        <f t="shared" si="41"/>
        <v/>
      </c>
      <c r="N381" s="8">
        <f t="shared" si="42"/>
        <v>0</v>
      </c>
      <c r="O381" s="8">
        <f t="shared" si="43"/>
        <v>0</v>
      </c>
      <c r="P381" s="9">
        <f t="shared" si="44"/>
        <v>0</v>
      </c>
      <c r="Q381"/>
      <c r="R381"/>
      <c r="S381"/>
    </row>
    <row r="382" spans="1:19" ht="16.5" thickBot="1" x14ac:dyDescent="0.3">
      <c r="A382" s="175"/>
      <c r="B382" s="170"/>
      <c r="C382" s="1" t="str">
        <f t="shared" si="46"/>
        <v/>
      </c>
      <c r="D382" s="179"/>
      <c r="E382" s="180"/>
      <c r="F382" s="186"/>
      <c r="G382" s="180"/>
      <c r="H382" s="181"/>
      <c r="I382" s="4"/>
      <c r="J382" s="4"/>
      <c r="K382" s="7" t="str">
        <f t="shared" si="38"/>
        <v/>
      </c>
      <c r="L382" s="8" t="str">
        <f t="shared" si="40"/>
        <v/>
      </c>
      <c r="M382" s="8" t="str">
        <f t="shared" si="41"/>
        <v/>
      </c>
      <c r="N382" s="8">
        <f t="shared" si="42"/>
        <v>0</v>
      </c>
      <c r="O382" s="8">
        <f t="shared" si="43"/>
        <v>0</v>
      </c>
      <c r="P382" s="9">
        <f t="shared" si="44"/>
        <v>0</v>
      </c>
      <c r="Q382"/>
      <c r="R382"/>
      <c r="S382"/>
    </row>
    <row r="383" spans="1:19" ht="16.5" thickBot="1" x14ac:dyDescent="0.3">
      <c r="A383" s="175"/>
      <c r="B383" s="170"/>
      <c r="C383" s="1" t="str">
        <f t="shared" si="46"/>
        <v/>
      </c>
      <c r="D383" s="179"/>
      <c r="E383" s="180"/>
      <c r="F383" s="186"/>
      <c r="G383" s="180"/>
      <c r="H383" s="181"/>
      <c r="I383" s="4"/>
      <c r="J383" s="4"/>
      <c r="K383" s="7" t="str">
        <f t="shared" ref="K383:K446" si="47">IF(ISERROR(CONCATENATE(LEFT(L383,3),MID(L383,(FIND(",",L383)+2),3))),"",CONCATENATE(LEFT(L383,3),MID(L383,(FIND(",",L383)+2),3)))</f>
        <v/>
      </c>
      <c r="L383" s="8" t="str">
        <f t="shared" si="40"/>
        <v/>
      </c>
      <c r="M383" s="8" t="str">
        <f t="shared" si="41"/>
        <v/>
      </c>
      <c r="N383" s="8">
        <f t="shared" si="42"/>
        <v>0</v>
      </c>
      <c r="O383" s="8">
        <f t="shared" si="43"/>
        <v>0</v>
      </c>
      <c r="P383" s="9">
        <f t="shared" si="44"/>
        <v>0</v>
      </c>
      <c r="Q383"/>
      <c r="R383"/>
      <c r="S383"/>
    </row>
    <row r="384" spans="1:19" ht="16.5" thickBot="1" x14ac:dyDescent="0.3">
      <c r="A384" s="175"/>
      <c r="B384" s="170"/>
      <c r="C384" s="1" t="str">
        <f t="shared" si="46"/>
        <v/>
      </c>
      <c r="D384" s="179"/>
      <c r="E384" s="180"/>
      <c r="F384" s="186"/>
      <c r="G384" s="180"/>
      <c r="H384" s="181"/>
      <c r="I384" s="4"/>
      <c r="J384" s="4"/>
      <c r="K384" s="7" t="str">
        <f t="shared" si="47"/>
        <v/>
      </c>
      <c r="L384" s="8" t="str">
        <f t="shared" si="40"/>
        <v/>
      </c>
      <c r="M384" s="8" t="str">
        <f t="shared" si="41"/>
        <v/>
      </c>
      <c r="N384" s="8">
        <f t="shared" si="42"/>
        <v>0</v>
      </c>
      <c r="O384" s="8">
        <f t="shared" si="43"/>
        <v>0</v>
      </c>
      <c r="P384" s="9">
        <f t="shared" si="44"/>
        <v>0</v>
      </c>
      <c r="Q384"/>
      <c r="R384"/>
      <c r="S384"/>
    </row>
    <row r="385" spans="1:19" ht="16.5" thickBot="1" x14ac:dyDescent="0.3">
      <c r="A385" s="175"/>
      <c r="B385" s="170"/>
      <c r="C385" s="1" t="str">
        <f t="shared" si="46"/>
        <v/>
      </c>
      <c r="D385" s="179"/>
      <c r="E385" s="180"/>
      <c r="F385" s="186"/>
      <c r="G385" s="180"/>
      <c r="H385" s="181"/>
      <c r="I385" s="4"/>
      <c r="J385" s="4"/>
      <c r="K385" s="7" t="str">
        <f t="shared" si="47"/>
        <v/>
      </c>
      <c r="L385" s="8" t="str">
        <f t="shared" si="40"/>
        <v/>
      </c>
      <c r="M385" s="8" t="str">
        <f t="shared" si="41"/>
        <v/>
      </c>
      <c r="N385" s="8">
        <f t="shared" si="42"/>
        <v>0</v>
      </c>
      <c r="O385" s="8">
        <f t="shared" si="43"/>
        <v>0</v>
      </c>
      <c r="P385" s="9">
        <f t="shared" si="44"/>
        <v>0</v>
      </c>
      <c r="Q385"/>
      <c r="R385"/>
      <c r="S385"/>
    </row>
    <row r="386" spans="1:19" ht="16.5" thickBot="1" x14ac:dyDescent="0.3">
      <c r="A386" s="175"/>
      <c r="B386" s="170"/>
      <c r="C386" s="1" t="str">
        <f t="shared" si="46"/>
        <v/>
      </c>
      <c r="D386" s="179"/>
      <c r="E386" s="180"/>
      <c r="F386" s="186"/>
      <c r="G386" s="180"/>
      <c r="H386" s="181"/>
      <c r="I386" s="4"/>
      <c r="J386" s="4"/>
      <c r="K386" s="7" t="str">
        <f t="shared" si="47"/>
        <v/>
      </c>
      <c r="L386" s="8" t="str">
        <f t="shared" ref="L386:L449" si="48">IF(LEN(B386)&lt;1,"",B386)</f>
        <v/>
      </c>
      <c r="M386" s="8" t="str">
        <f t="shared" ref="M386:M449" si="49">IF(LEN(C386)&lt;1,"",C386)</f>
        <v/>
      </c>
      <c r="N386" s="8">
        <f t="shared" ref="N386:N449" si="50">D386</f>
        <v>0</v>
      </c>
      <c r="O386" s="8">
        <f t="shared" ref="O386:O449" si="51">E386</f>
        <v>0</v>
      </c>
      <c r="P386" s="9">
        <f t="shared" ref="P386:P449" si="52">G386</f>
        <v>0</v>
      </c>
      <c r="Q386"/>
      <c r="R386"/>
      <c r="S386"/>
    </row>
    <row r="387" spans="1:19" ht="16.5" thickBot="1" x14ac:dyDescent="0.3">
      <c r="A387" s="175"/>
      <c r="B387" s="170"/>
      <c r="C387" s="1" t="str">
        <f t="shared" si="46"/>
        <v/>
      </c>
      <c r="D387" s="179"/>
      <c r="E387" s="180"/>
      <c r="F387" s="186"/>
      <c r="G387" s="180"/>
      <c r="H387" s="181"/>
      <c r="I387" s="4"/>
      <c r="J387" s="4"/>
      <c r="K387" s="7" t="str">
        <f t="shared" si="47"/>
        <v/>
      </c>
      <c r="L387" s="8" t="str">
        <f t="shared" si="48"/>
        <v/>
      </c>
      <c r="M387" s="8" t="str">
        <f t="shared" si="49"/>
        <v/>
      </c>
      <c r="N387" s="8">
        <f t="shared" si="50"/>
        <v>0</v>
      </c>
      <c r="O387" s="8">
        <f t="shared" si="51"/>
        <v>0</v>
      </c>
      <c r="P387" s="9">
        <f t="shared" si="52"/>
        <v>0</v>
      </c>
      <c r="Q387"/>
      <c r="R387"/>
      <c r="S387"/>
    </row>
    <row r="388" spans="1:19" ht="16.5" thickBot="1" x14ac:dyDescent="0.3">
      <c r="A388" s="175"/>
      <c r="B388" s="170"/>
      <c r="C388" s="1" t="str">
        <f t="shared" si="46"/>
        <v/>
      </c>
      <c r="D388" s="179"/>
      <c r="E388" s="180"/>
      <c r="F388" s="186"/>
      <c r="G388" s="180"/>
      <c r="H388" s="181"/>
      <c r="I388" s="4"/>
      <c r="J388" s="4"/>
      <c r="K388" s="7" t="str">
        <f t="shared" si="47"/>
        <v/>
      </c>
      <c r="L388" s="8" t="str">
        <f t="shared" si="48"/>
        <v/>
      </c>
      <c r="M388" s="8" t="str">
        <f t="shared" si="49"/>
        <v/>
      </c>
      <c r="N388" s="8">
        <f t="shared" si="50"/>
        <v>0</v>
      </c>
      <c r="O388" s="8">
        <f t="shared" si="51"/>
        <v>0</v>
      </c>
      <c r="P388" s="9">
        <f t="shared" si="52"/>
        <v>0</v>
      </c>
      <c r="Q388"/>
      <c r="R388"/>
      <c r="S388"/>
    </row>
    <row r="389" spans="1:19" ht="16.5" thickBot="1" x14ac:dyDescent="0.3">
      <c r="A389" s="175"/>
      <c r="B389" s="170"/>
      <c r="C389" s="1" t="str">
        <f t="shared" si="46"/>
        <v/>
      </c>
      <c r="D389" s="179"/>
      <c r="E389" s="180"/>
      <c r="F389" s="186"/>
      <c r="G389" s="180"/>
      <c r="H389" s="181"/>
      <c r="I389" s="4"/>
      <c r="J389" s="4"/>
      <c r="K389" s="7" t="str">
        <f t="shared" si="47"/>
        <v/>
      </c>
      <c r="L389" s="8" t="str">
        <f t="shared" si="48"/>
        <v/>
      </c>
      <c r="M389" s="8" t="str">
        <f t="shared" si="49"/>
        <v/>
      </c>
      <c r="N389" s="8">
        <f t="shared" si="50"/>
        <v>0</v>
      </c>
      <c r="O389" s="8">
        <f t="shared" si="51"/>
        <v>0</v>
      </c>
      <c r="P389" s="9">
        <f t="shared" si="52"/>
        <v>0</v>
      </c>
      <c r="Q389"/>
      <c r="R389"/>
      <c r="S389"/>
    </row>
    <row r="390" spans="1:19" ht="16.5" thickBot="1" x14ac:dyDescent="0.3">
      <c r="A390" s="175"/>
      <c r="B390" s="170"/>
      <c r="C390" s="1" t="str">
        <f t="shared" si="46"/>
        <v/>
      </c>
      <c r="D390" s="179"/>
      <c r="E390" s="180"/>
      <c r="F390" s="186"/>
      <c r="G390" s="180"/>
      <c r="H390" s="181"/>
      <c r="I390" s="4"/>
      <c r="J390" s="4"/>
      <c r="K390" s="7" t="str">
        <f t="shared" si="47"/>
        <v/>
      </c>
      <c r="L390" s="8" t="str">
        <f t="shared" si="48"/>
        <v/>
      </c>
      <c r="M390" s="8" t="str">
        <f t="shared" si="49"/>
        <v/>
      </c>
      <c r="N390" s="8">
        <f t="shared" si="50"/>
        <v>0</v>
      </c>
      <c r="O390" s="8">
        <f t="shared" si="51"/>
        <v>0</v>
      </c>
      <c r="P390" s="9">
        <f t="shared" si="52"/>
        <v>0</v>
      </c>
      <c r="Q390"/>
      <c r="R390"/>
      <c r="S390"/>
    </row>
    <row r="391" spans="1:19" ht="16.5" thickBot="1" x14ac:dyDescent="0.3">
      <c r="A391" s="175"/>
      <c r="B391" s="170"/>
      <c r="C391" s="1" t="str">
        <f t="shared" si="46"/>
        <v/>
      </c>
      <c r="D391" s="179"/>
      <c r="E391" s="180"/>
      <c r="F391" s="186"/>
      <c r="G391" s="180"/>
      <c r="H391" s="181"/>
      <c r="I391" s="4"/>
      <c r="J391" s="4"/>
      <c r="K391" s="7" t="str">
        <f t="shared" si="47"/>
        <v/>
      </c>
      <c r="L391" s="8" t="str">
        <f t="shared" si="48"/>
        <v/>
      </c>
      <c r="M391" s="8" t="str">
        <f t="shared" si="49"/>
        <v/>
      </c>
      <c r="N391" s="8">
        <f t="shared" si="50"/>
        <v>0</v>
      </c>
      <c r="O391" s="8">
        <f t="shared" si="51"/>
        <v>0</v>
      </c>
      <c r="P391" s="9">
        <f t="shared" si="52"/>
        <v>0</v>
      </c>
      <c r="Q391"/>
      <c r="R391"/>
      <c r="S391"/>
    </row>
    <row r="392" spans="1:19" ht="16.5" thickBot="1" x14ac:dyDescent="0.3">
      <c r="A392" s="175"/>
      <c r="B392" s="170"/>
      <c r="C392" s="1" t="str">
        <f t="shared" si="46"/>
        <v/>
      </c>
      <c r="D392" s="179"/>
      <c r="E392" s="180"/>
      <c r="F392" s="186"/>
      <c r="G392" s="180"/>
      <c r="H392" s="181"/>
      <c r="I392" s="4"/>
      <c r="J392" s="4"/>
      <c r="K392" s="7" t="str">
        <f t="shared" si="47"/>
        <v/>
      </c>
      <c r="L392" s="8" t="str">
        <f t="shared" si="48"/>
        <v/>
      </c>
      <c r="M392" s="8" t="str">
        <f t="shared" si="49"/>
        <v/>
      </c>
      <c r="N392" s="8">
        <f t="shared" si="50"/>
        <v>0</v>
      </c>
      <c r="O392" s="8">
        <f t="shared" si="51"/>
        <v>0</v>
      </c>
      <c r="P392" s="9">
        <f t="shared" si="52"/>
        <v>0</v>
      </c>
      <c r="Q392"/>
      <c r="R392"/>
      <c r="S392"/>
    </row>
    <row r="393" spans="1:19" ht="16.5" thickBot="1" x14ac:dyDescent="0.3">
      <c r="A393" s="175"/>
      <c r="B393" s="170"/>
      <c r="C393" s="1" t="str">
        <f t="shared" si="46"/>
        <v/>
      </c>
      <c r="D393" s="179"/>
      <c r="E393" s="180"/>
      <c r="F393" s="186"/>
      <c r="G393" s="180"/>
      <c r="H393" s="181"/>
      <c r="I393" s="4"/>
      <c r="J393" s="4"/>
      <c r="K393" s="7" t="str">
        <f t="shared" si="47"/>
        <v/>
      </c>
      <c r="L393" s="8" t="str">
        <f t="shared" si="48"/>
        <v/>
      </c>
      <c r="M393" s="8" t="str">
        <f t="shared" si="49"/>
        <v/>
      </c>
      <c r="N393" s="8">
        <f t="shared" si="50"/>
        <v>0</v>
      </c>
      <c r="O393" s="8">
        <f t="shared" si="51"/>
        <v>0</v>
      </c>
      <c r="P393" s="9">
        <f t="shared" si="52"/>
        <v>0</v>
      </c>
      <c r="Q393"/>
      <c r="R393"/>
      <c r="S393"/>
    </row>
    <row r="394" spans="1:19" ht="16.5" thickBot="1" x14ac:dyDescent="0.3">
      <c r="A394" s="175"/>
      <c r="B394" s="170"/>
      <c r="C394" s="1" t="str">
        <f t="shared" si="46"/>
        <v/>
      </c>
      <c r="D394" s="179"/>
      <c r="E394" s="180"/>
      <c r="F394" s="186"/>
      <c r="G394" s="180"/>
      <c r="H394" s="181"/>
      <c r="I394" s="4"/>
      <c r="J394" s="4"/>
      <c r="K394" s="7" t="str">
        <f t="shared" si="47"/>
        <v/>
      </c>
      <c r="L394" s="8" t="str">
        <f t="shared" si="48"/>
        <v/>
      </c>
      <c r="M394" s="8" t="str">
        <f t="shared" si="49"/>
        <v/>
      </c>
      <c r="N394" s="8">
        <f t="shared" si="50"/>
        <v>0</v>
      </c>
      <c r="O394" s="8">
        <f t="shared" si="51"/>
        <v>0</v>
      </c>
      <c r="P394" s="9">
        <f t="shared" si="52"/>
        <v>0</v>
      </c>
      <c r="Q394"/>
      <c r="R394"/>
      <c r="S394"/>
    </row>
    <row r="395" spans="1:19" ht="16.5" thickBot="1" x14ac:dyDescent="0.3">
      <c r="A395" s="175"/>
      <c r="B395" s="170"/>
      <c r="C395" s="1" t="str">
        <f t="shared" si="46"/>
        <v/>
      </c>
      <c r="D395" s="179"/>
      <c r="E395" s="180"/>
      <c r="F395" s="186"/>
      <c r="G395" s="180"/>
      <c r="H395" s="181"/>
      <c r="I395" s="4"/>
      <c r="J395" s="4"/>
      <c r="K395" s="7" t="str">
        <f t="shared" si="47"/>
        <v/>
      </c>
      <c r="L395" s="8" t="str">
        <f t="shared" si="48"/>
        <v/>
      </c>
      <c r="M395" s="8" t="str">
        <f t="shared" si="49"/>
        <v/>
      </c>
      <c r="N395" s="8">
        <f t="shared" si="50"/>
        <v>0</v>
      </c>
      <c r="O395" s="8">
        <f t="shared" si="51"/>
        <v>0</v>
      </c>
      <c r="P395" s="9">
        <f t="shared" si="52"/>
        <v>0</v>
      </c>
      <c r="Q395"/>
      <c r="R395"/>
      <c r="S395"/>
    </row>
    <row r="396" spans="1:19" ht="16.5" thickBot="1" x14ac:dyDescent="0.3">
      <c r="A396" s="175"/>
      <c r="B396" s="170"/>
      <c r="C396" s="1" t="str">
        <f t="shared" si="46"/>
        <v/>
      </c>
      <c r="D396" s="179"/>
      <c r="E396" s="180"/>
      <c r="F396" s="186"/>
      <c r="G396" s="180"/>
      <c r="H396" s="181"/>
      <c r="I396" s="4"/>
      <c r="J396" s="4"/>
      <c r="K396" s="7" t="str">
        <f t="shared" si="47"/>
        <v/>
      </c>
      <c r="L396" s="8" t="str">
        <f t="shared" si="48"/>
        <v/>
      </c>
      <c r="M396" s="8" t="str">
        <f t="shared" si="49"/>
        <v/>
      </c>
      <c r="N396" s="8">
        <f t="shared" si="50"/>
        <v>0</v>
      </c>
      <c r="O396" s="8">
        <f t="shared" si="51"/>
        <v>0</v>
      </c>
      <c r="P396" s="9">
        <f t="shared" si="52"/>
        <v>0</v>
      </c>
      <c r="Q396"/>
      <c r="R396"/>
      <c r="S396"/>
    </row>
    <row r="397" spans="1:19" ht="16.5" thickBot="1" x14ac:dyDescent="0.3">
      <c r="A397" s="175"/>
      <c r="B397" s="170"/>
      <c r="C397" s="1" t="str">
        <f t="shared" si="46"/>
        <v/>
      </c>
      <c r="D397" s="179"/>
      <c r="E397" s="180"/>
      <c r="F397" s="186"/>
      <c r="G397" s="180"/>
      <c r="H397" s="181"/>
      <c r="I397" s="4"/>
      <c r="J397" s="4"/>
      <c r="K397" s="7" t="str">
        <f t="shared" si="47"/>
        <v/>
      </c>
      <c r="L397" s="8" t="str">
        <f t="shared" si="48"/>
        <v/>
      </c>
      <c r="M397" s="8" t="str">
        <f t="shared" si="49"/>
        <v/>
      </c>
      <c r="N397" s="8">
        <f t="shared" si="50"/>
        <v>0</v>
      </c>
      <c r="O397" s="8">
        <f t="shared" si="51"/>
        <v>0</v>
      </c>
      <c r="P397" s="9">
        <f t="shared" si="52"/>
        <v>0</v>
      </c>
      <c r="Q397"/>
      <c r="R397"/>
      <c r="S397"/>
    </row>
    <row r="398" spans="1:19" ht="16.5" thickBot="1" x14ac:dyDescent="0.3">
      <c r="A398" s="175"/>
      <c r="B398" s="170"/>
      <c r="C398" s="1" t="str">
        <f t="shared" si="46"/>
        <v/>
      </c>
      <c r="D398" s="179"/>
      <c r="E398" s="180"/>
      <c r="F398" s="186"/>
      <c r="G398" s="180"/>
      <c r="H398" s="181"/>
      <c r="I398" s="4"/>
      <c r="J398" s="4"/>
      <c r="K398" s="7" t="str">
        <f t="shared" si="47"/>
        <v/>
      </c>
      <c r="L398" s="8" t="str">
        <f t="shared" si="48"/>
        <v/>
      </c>
      <c r="M398" s="8" t="str">
        <f t="shared" si="49"/>
        <v/>
      </c>
      <c r="N398" s="8">
        <f t="shared" si="50"/>
        <v>0</v>
      </c>
      <c r="O398" s="8">
        <f t="shared" si="51"/>
        <v>0</v>
      </c>
      <c r="P398" s="9">
        <f t="shared" si="52"/>
        <v>0</v>
      </c>
      <c r="Q398"/>
      <c r="R398"/>
      <c r="S398"/>
    </row>
    <row r="399" spans="1:19" ht="16.5" thickBot="1" x14ac:dyDescent="0.3">
      <c r="A399" s="175"/>
      <c r="B399" s="170"/>
      <c r="C399" s="1" t="str">
        <f t="shared" ref="C399:C462" si="53">IF(AND(E399="M",F399&lt;&gt;""),LOOKUP(F399,$Q$1:$Q$100,$R$1:$R$100),IF(AND(E399="F",F399&lt;&gt;""),LOOKUP(F399,$Q$1:$Q$100,$S$1:$S$100),""))</f>
        <v/>
      </c>
      <c r="D399" s="179"/>
      <c r="E399" s="180"/>
      <c r="F399" s="186"/>
      <c r="G399" s="180"/>
      <c r="H399" s="181"/>
      <c r="I399" s="4"/>
      <c r="J399" s="4"/>
      <c r="K399" s="7" t="str">
        <f t="shared" si="47"/>
        <v/>
      </c>
      <c r="L399" s="8" t="str">
        <f t="shared" si="48"/>
        <v/>
      </c>
      <c r="M399" s="8" t="str">
        <f t="shared" si="49"/>
        <v/>
      </c>
      <c r="N399" s="8">
        <f t="shared" si="50"/>
        <v>0</v>
      </c>
      <c r="O399" s="8">
        <f t="shared" si="51"/>
        <v>0</v>
      </c>
      <c r="P399" s="9">
        <f t="shared" si="52"/>
        <v>0</v>
      </c>
      <c r="Q399"/>
      <c r="R399"/>
      <c r="S399"/>
    </row>
    <row r="400" spans="1:19" ht="16.5" thickBot="1" x14ac:dyDescent="0.3">
      <c r="A400" s="175"/>
      <c r="B400" s="170"/>
      <c r="C400" s="1" t="str">
        <f t="shared" si="53"/>
        <v/>
      </c>
      <c r="D400" s="179"/>
      <c r="E400" s="180"/>
      <c r="F400" s="186"/>
      <c r="G400" s="180"/>
      <c r="H400" s="181"/>
      <c r="I400" s="4"/>
      <c r="J400" s="4"/>
      <c r="K400" s="7" t="str">
        <f t="shared" si="47"/>
        <v/>
      </c>
      <c r="L400" s="8" t="str">
        <f t="shared" si="48"/>
        <v/>
      </c>
      <c r="M400" s="8" t="str">
        <f t="shared" si="49"/>
        <v/>
      </c>
      <c r="N400" s="8">
        <f t="shared" si="50"/>
        <v>0</v>
      </c>
      <c r="O400" s="8">
        <f t="shared" si="51"/>
        <v>0</v>
      </c>
      <c r="P400" s="9">
        <f t="shared" si="52"/>
        <v>0</v>
      </c>
      <c r="Q400"/>
      <c r="R400"/>
      <c r="S400"/>
    </row>
    <row r="401" spans="1:19" ht="16.5" thickBot="1" x14ac:dyDescent="0.3">
      <c r="A401" s="175"/>
      <c r="B401" s="170"/>
      <c r="C401" s="1" t="str">
        <f t="shared" si="53"/>
        <v/>
      </c>
      <c r="D401" s="179"/>
      <c r="E401" s="180"/>
      <c r="F401" s="186"/>
      <c r="G401" s="180"/>
      <c r="H401" s="181"/>
      <c r="I401" s="4"/>
      <c r="J401" s="4"/>
      <c r="K401" s="7" t="str">
        <f t="shared" si="47"/>
        <v/>
      </c>
      <c r="L401" s="8" t="str">
        <f t="shared" si="48"/>
        <v/>
      </c>
      <c r="M401" s="8" t="str">
        <f t="shared" si="49"/>
        <v/>
      </c>
      <c r="N401" s="8">
        <f t="shared" si="50"/>
        <v>0</v>
      </c>
      <c r="O401" s="8">
        <f t="shared" si="51"/>
        <v>0</v>
      </c>
      <c r="P401" s="9">
        <f t="shared" si="52"/>
        <v>0</v>
      </c>
      <c r="Q401"/>
      <c r="R401"/>
      <c r="S401"/>
    </row>
    <row r="402" spans="1:19" ht="16.5" thickBot="1" x14ac:dyDescent="0.3">
      <c r="A402" s="175"/>
      <c r="B402" s="170"/>
      <c r="C402" s="1" t="str">
        <f t="shared" si="53"/>
        <v/>
      </c>
      <c r="D402" s="179"/>
      <c r="E402" s="180"/>
      <c r="F402" s="186"/>
      <c r="G402" s="180"/>
      <c r="H402" s="181"/>
      <c r="I402" s="4"/>
      <c r="J402" s="4"/>
      <c r="K402" s="7" t="str">
        <f t="shared" si="47"/>
        <v/>
      </c>
      <c r="L402" s="8" t="str">
        <f t="shared" si="48"/>
        <v/>
      </c>
      <c r="M402" s="8" t="str">
        <f t="shared" si="49"/>
        <v/>
      </c>
      <c r="N402" s="8">
        <f t="shared" si="50"/>
        <v>0</v>
      </c>
      <c r="O402" s="8">
        <f t="shared" si="51"/>
        <v>0</v>
      </c>
      <c r="P402" s="9">
        <f t="shared" si="52"/>
        <v>0</v>
      </c>
      <c r="Q402"/>
      <c r="R402"/>
      <c r="S402"/>
    </row>
    <row r="403" spans="1:19" ht="16.5" thickBot="1" x14ac:dyDescent="0.3">
      <c r="A403" s="175"/>
      <c r="B403" s="170"/>
      <c r="C403" s="1" t="str">
        <f t="shared" si="53"/>
        <v/>
      </c>
      <c r="D403" s="179"/>
      <c r="E403" s="180"/>
      <c r="F403" s="186"/>
      <c r="G403" s="180"/>
      <c r="H403" s="181"/>
      <c r="I403" s="4"/>
      <c r="J403" s="4"/>
      <c r="K403" s="7" t="str">
        <f t="shared" si="47"/>
        <v/>
      </c>
      <c r="L403" s="8" t="str">
        <f t="shared" si="48"/>
        <v/>
      </c>
      <c r="M403" s="8" t="str">
        <f t="shared" si="49"/>
        <v/>
      </c>
      <c r="N403" s="8">
        <f t="shared" si="50"/>
        <v>0</v>
      </c>
      <c r="O403" s="8">
        <f t="shared" si="51"/>
        <v>0</v>
      </c>
      <c r="P403" s="9">
        <f t="shared" si="52"/>
        <v>0</v>
      </c>
      <c r="Q403"/>
      <c r="R403"/>
      <c r="S403"/>
    </row>
    <row r="404" spans="1:19" ht="16.5" thickBot="1" x14ac:dyDescent="0.3">
      <c r="A404" s="175"/>
      <c r="B404" s="170"/>
      <c r="C404" s="1" t="str">
        <f t="shared" si="53"/>
        <v/>
      </c>
      <c r="D404" s="179"/>
      <c r="E404" s="180"/>
      <c r="F404" s="186"/>
      <c r="G404" s="180"/>
      <c r="H404" s="181"/>
      <c r="I404" s="4"/>
      <c r="J404" s="4"/>
      <c r="K404" s="7" t="str">
        <f t="shared" si="47"/>
        <v/>
      </c>
      <c r="L404" s="8" t="str">
        <f t="shared" si="48"/>
        <v/>
      </c>
      <c r="M404" s="8" t="str">
        <f t="shared" si="49"/>
        <v/>
      </c>
      <c r="N404" s="8">
        <f t="shared" si="50"/>
        <v>0</v>
      </c>
      <c r="O404" s="8">
        <f t="shared" si="51"/>
        <v>0</v>
      </c>
      <c r="P404" s="9">
        <f t="shared" si="52"/>
        <v>0</v>
      </c>
      <c r="Q404"/>
      <c r="R404"/>
      <c r="S404"/>
    </row>
    <row r="405" spans="1:19" ht="16.5" thickBot="1" x14ac:dyDescent="0.3">
      <c r="A405" s="175"/>
      <c r="B405" s="170"/>
      <c r="C405" s="1" t="str">
        <f t="shared" si="53"/>
        <v/>
      </c>
      <c r="D405" s="179"/>
      <c r="E405" s="180"/>
      <c r="F405" s="186"/>
      <c r="G405" s="180"/>
      <c r="H405" s="181"/>
      <c r="I405" s="4"/>
      <c r="J405" s="4"/>
      <c r="K405" s="7" t="str">
        <f t="shared" si="47"/>
        <v/>
      </c>
      <c r="L405" s="8" t="str">
        <f t="shared" si="48"/>
        <v/>
      </c>
      <c r="M405" s="8" t="str">
        <f t="shared" si="49"/>
        <v/>
      </c>
      <c r="N405" s="8">
        <f t="shared" si="50"/>
        <v>0</v>
      </c>
      <c r="O405" s="8">
        <f t="shared" si="51"/>
        <v>0</v>
      </c>
      <c r="P405" s="9">
        <f t="shared" si="52"/>
        <v>0</v>
      </c>
      <c r="Q405"/>
      <c r="R405"/>
      <c r="S405"/>
    </row>
    <row r="406" spans="1:19" ht="16.5" thickBot="1" x14ac:dyDescent="0.3">
      <c r="A406" s="175"/>
      <c r="B406" s="170"/>
      <c r="C406" s="1" t="str">
        <f t="shared" si="53"/>
        <v/>
      </c>
      <c r="D406" s="179"/>
      <c r="E406" s="180"/>
      <c r="F406" s="186"/>
      <c r="G406" s="180"/>
      <c r="H406" s="181"/>
      <c r="I406" s="4"/>
      <c r="J406" s="4"/>
      <c r="K406" s="7" t="str">
        <f t="shared" si="47"/>
        <v/>
      </c>
      <c r="L406" s="8" t="str">
        <f t="shared" si="48"/>
        <v/>
      </c>
      <c r="M406" s="8" t="str">
        <f t="shared" si="49"/>
        <v/>
      </c>
      <c r="N406" s="8">
        <f t="shared" si="50"/>
        <v>0</v>
      </c>
      <c r="O406" s="8">
        <f t="shared" si="51"/>
        <v>0</v>
      </c>
      <c r="P406" s="9">
        <f t="shared" si="52"/>
        <v>0</v>
      </c>
      <c r="Q406"/>
      <c r="R406"/>
      <c r="S406"/>
    </row>
    <row r="407" spans="1:19" ht="16.5" thickBot="1" x14ac:dyDescent="0.3">
      <c r="A407" s="175"/>
      <c r="B407" s="170"/>
      <c r="C407" s="1" t="str">
        <f t="shared" si="53"/>
        <v/>
      </c>
      <c r="D407" s="179"/>
      <c r="E407" s="180"/>
      <c r="F407" s="186"/>
      <c r="G407" s="180"/>
      <c r="H407" s="181"/>
      <c r="I407" s="4"/>
      <c r="J407" s="4"/>
      <c r="K407" s="7" t="str">
        <f t="shared" si="47"/>
        <v/>
      </c>
      <c r="L407" s="8" t="str">
        <f t="shared" si="48"/>
        <v/>
      </c>
      <c r="M407" s="8" t="str">
        <f t="shared" si="49"/>
        <v/>
      </c>
      <c r="N407" s="8">
        <f t="shared" si="50"/>
        <v>0</v>
      </c>
      <c r="O407" s="8">
        <f t="shared" si="51"/>
        <v>0</v>
      </c>
      <c r="P407" s="9">
        <f t="shared" si="52"/>
        <v>0</v>
      </c>
      <c r="Q407"/>
      <c r="R407"/>
      <c r="S407"/>
    </row>
    <row r="408" spans="1:19" ht="16.5" thickBot="1" x14ac:dyDescent="0.3">
      <c r="A408" s="175"/>
      <c r="B408" s="170"/>
      <c r="C408" s="1" t="str">
        <f t="shared" si="53"/>
        <v/>
      </c>
      <c r="D408" s="179"/>
      <c r="E408" s="180"/>
      <c r="F408" s="186"/>
      <c r="G408" s="180"/>
      <c r="H408" s="181"/>
      <c r="I408" s="4"/>
      <c r="J408" s="4"/>
      <c r="K408" s="7" t="str">
        <f t="shared" si="47"/>
        <v/>
      </c>
      <c r="L408" s="8" t="str">
        <f t="shared" si="48"/>
        <v/>
      </c>
      <c r="M408" s="8" t="str">
        <f t="shared" si="49"/>
        <v/>
      </c>
      <c r="N408" s="8">
        <f t="shared" si="50"/>
        <v>0</v>
      </c>
      <c r="O408" s="8">
        <f t="shared" si="51"/>
        <v>0</v>
      </c>
      <c r="P408" s="9">
        <f t="shared" si="52"/>
        <v>0</v>
      </c>
      <c r="Q408"/>
      <c r="R408"/>
      <c r="S408"/>
    </row>
    <row r="409" spans="1:19" ht="16.5" thickBot="1" x14ac:dyDescent="0.3">
      <c r="A409" s="175"/>
      <c r="B409" s="170"/>
      <c r="C409" s="1" t="str">
        <f t="shared" si="53"/>
        <v/>
      </c>
      <c r="D409" s="179"/>
      <c r="E409" s="180"/>
      <c r="F409" s="186"/>
      <c r="G409" s="180"/>
      <c r="H409" s="181"/>
      <c r="I409" s="4"/>
      <c r="J409" s="4"/>
      <c r="K409" s="7" t="str">
        <f t="shared" si="47"/>
        <v/>
      </c>
      <c r="L409" s="8" t="str">
        <f t="shared" si="48"/>
        <v/>
      </c>
      <c r="M409" s="8" t="str">
        <f t="shared" si="49"/>
        <v/>
      </c>
      <c r="N409" s="8">
        <f t="shared" si="50"/>
        <v>0</v>
      </c>
      <c r="O409" s="8">
        <f t="shared" si="51"/>
        <v>0</v>
      </c>
      <c r="P409" s="9">
        <f t="shared" si="52"/>
        <v>0</v>
      </c>
      <c r="Q409"/>
      <c r="R409"/>
      <c r="S409"/>
    </row>
    <row r="410" spans="1:19" ht="16.5" thickBot="1" x14ac:dyDescent="0.3">
      <c r="A410" s="175"/>
      <c r="B410" s="170"/>
      <c r="C410" s="1" t="str">
        <f t="shared" si="53"/>
        <v/>
      </c>
      <c r="D410" s="179"/>
      <c r="E410" s="180"/>
      <c r="F410" s="186"/>
      <c r="G410" s="180"/>
      <c r="H410" s="181"/>
      <c r="I410" s="4"/>
      <c r="J410" s="4"/>
      <c r="K410" s="7" t="str">
        <f t="shared" si="47"/>
        <v/>
      </c>
      <c r="L410" s="8" t="str">
        <f t="shared" si="48"/>
        <v/>
      </c>
      <c r="M410" s="8" t="str">
        <f t="shared" si="49"/>
        <v/>
      </c>
      <c r="N410" s="8">
        <f t="shared" si="50"/>
        <v>0</v>
      </c>
      <c r="O410" s="8">
        <f t="shared" si="51"/>
        <v>0</v>
      </c>
      <c r="P410" s="9">
        <f t="shared" si="52"/>
        <v>0</v>
      </c>
      <c r="Q410"/>
      <c r="R410"/>
      <c r="S410"/>
    </row>
    <row r="411" spans="1:19" ht="16.5" thickBot="1" x14ac:dyDescent="0.3">
      <c r="A411" s="175"/>
      <c r="B411" s="170"/>
      <c r="C411" s="1" t="str">
        <f t="shared" si="53"/>
        <v/>
      </c>
      <c r="D411" s="179"/>
      <c r="E411" s="180"/>
      <c r="F411" s="186"/>
      <c r="G411" s="180"/>
      <c r="H411" s="181"/>
      <c r="I411" s="4"/>
      <c r="J411" s="4"/>
      <c r="K411" s="7" t="str">
        <f t="shared" si="47"/>
        <v/>
      </c>
      <c r="L411" s="8" t="str">
        <f t="shared" si="48"/>
        <v/>
      </c>
      <c r="M411" s="8" t="str">
        <f t="shared" si="49"/>
        <v/>
      </c>
      <c r="N411" s="8">
        <f t="shared" si="50"/>
        <v>0</v>
      </c>
      <c r="O411" s="8">
        <f t="shared" si="51"/>
        <v>0</v>
      </c>
      <c r="P411" s="9">
        <f t="shared" si="52"/>
        <v>0</v>
      </c>
      <c r="Q411"/>
      <c r="R411"/>
      <c r="S411"/>
    </row>
    <row r="412" spans="1:19" ht="16.5" thickBot="1" x14ac:dyDescent="0.3">
      <c r="A412" s="175"/>
      <c r="B412" s="170"/>
      <c r="C412" s="1" t="str">
        <f t="shared" si="53"/>
        <v/>
      </c>
      <c r="D412" s="179"/>
      <c r="E412" s="180"/>
      <c r="F412" s="186"/>
      <c r="G412" s="180"/>
      <c r="H412" s="181"/>
      <c r="I412" s="4"/>
      <c r="J412" s="4"/>
      <c r="K412" s="7" t="str">
        <f t="shared" si="47"/>
        <v/>
      </c>
      <c r="L412" s="8" t="str">
        <f t="shared" si="48"/>
        <v/>
      </c>
      <c r="M412" s="8" t="str">
        <f t="shared" si="49"/>
        <v/>
      </c>
      <c r="N412" s="8">
        <f t="shared" si="50"/>
        <v>0</v>
      </c>
      <c r="O412" s="8">
        <f t="shared" si="51"/>
        <v>0</v>
      </c>
      <c r="P412" s="9">
        <f t="shared" si="52"/>
        <v>0</v>
      </c>
      <c r="Q412"/>
      <c r="R412"/>
      <c r="S412"/>
    </row>
    <row r="413" spans="1:19" ht="16.5" thickBot="1" x14ac:dyDescent="0.3">
      <c r="A413" s="175"/>
      <c r="B413" s="170"/>
      <c r="C413" s="1" t="str">
        <f t="shared" si="53"/>
        <v/>
      </c>
      <c r="D413" s="179"/>
      <c r="E413" s="180"/>
      <c r="F413" s="186"/>
      <c r="G413" s="180"/>
      <c r="H413" s="181"/>
      <c r="I413" s="4"/>
      <c r="J413" s="4"/>
      <c r="K413" s="7" t="str">
        <f t="shared" si="47"/>
        <v/>
      </c>
      <c r="L413" s="8" t="str">
        <f t="shared" si="48"/>
        <v/>
      </c>
      <c r="M413" s="8" t="str">
        <f t="shared" si="49"/>
        <v/>
      </c>
      <c r="N413" s="8">
        <f t="shared" si="50"/>
        <v>0</v>
      </c>
      <c r="O413" s="8">
        <f t="shared" si="51"/>
        <v>0</v>
      </c>
      <c r="P413" s="9">
        <f t="shared" si="52"/>
        <v>0</v>
      </c>
      <c r="Q413"/>
      <c r="R413"/>
      <c r="S413"/>
    </row>
    <row r="414" spans="1:19" ht="16.5" thickBot="1" x14ac:dyDescent="0.3">
      <c r="A414" s="175"/>
      <c r="B414" s="170"/>
      <c r="C414" s="1" t="str">
        <f t="shared" si="53"/>
        <v/>
      </c>
      <c r="D414" s="179"/>
      <c r="E414" s="180"/>
      <c r="F414" s="186"/>
      <c r="G414" s="180"/>
      <c r="H414" s="181"/>
      <c r="I414" s="4"/>
      <c r="J414" s="4"/>
      <c r="K414" s="7" t="str">
        <f t="shared" si="47"/>
        <v/>
      </c>
      <c r="L414" s="8" t="str">
        <f t="shared" si="48"/>
        <v/>
      </c>
      <c r="M414" s="8" t="str">
        <f t="shared" si="49"/>
        <v/>
      </c>
      <c r="N414" s="8">
        <f t="shared" si="50"/>
        <v>0</v>
      </c>
      <c r="O414" s="8">
        <f t="shared" si="51"/>
        <v>0</v>
      </c>
      <c r="P414" s="9">
        <f t="shared" si="52"/>
        <v>0</v>
      </c>
      <c r="Q414"/>
      <c r="R414"/>
      <c r="S414"/>
    </row>
    <row r="415" spans="1:19" ht="16.5" thickBot="1" x14ac:dyDescent="0.3">
      <c r="A415" s="175"/>
      <c r="B415" s="170"/>
      <c r="C415" s="1" t="str">
        <f t="shared" si="53"/>
        <v/>
      </c>
      <c r="D415" s="179"/>
      <c r="E415" s="180"/>
      <c r="F415" s="186"/>
      <c r="G415" s="180"/>
      <c r="H415" s="181"/>
      <c r="I415" s="4"/>
      <c r="J415" s="4"/>
      <c r="K415" s="7" t="str">
        <f t="shared" si="47"/>
        <v/>
      </c>
      <c r="L415" s="8" t="str">
        <f t="shared" si="48"/>
        <v/>
      </c>
      <c r="M415" s="8" t="str">
        <f t="shared" si="49"/>
        <v/>
      </c>
      <c r="N415" s="8">
        <f t="shared" si="50"/>
        <v>0</v>
      </c>
      <c r="O415" s="8">
        <f t="shared" si="51"/>
        <v>0</v>
      </c>
      <c r="P415" s="9">
        <f t="shared" si="52"/>
        <v>0</v>
      </c>
      <c r="Q415"/>
      <c r="R415"/>
      <c r="S415"/>
    </row>
    <row r="416" spans="1:19" ht="16.5" thickBot="1" x14ac:dyDescent="0.3">
      <c r="A416" s="175"/>
      <c r="B416" s="170"/>
      <c r="C416" s="1" t="str">
        <f t="shared" si="53"/>
        <v/>
      </c>
      <c r="D416" s="179"/>
      <c r="E416" s="180"/>
      <c r="F416" s="186"/>
      <c r="G416" s="180"/>
      <c r="H416" s="181"/>
      <c r="I416" s="4"/>
      <c r="J416" s="4"/>
      <c r="K416" s="7" t="str">
        <f t="shared" si="47"/>
        <v/>
      </c>
      <c r="L416" s="8" t="str">
        <f t="shared" si="48"/>
        <v/>
      </c>
      <c r="M416" s="8" t="str">
        <f t="shared" si="49"/>
        <v/>
      </c>
      <c r="N416" s="8">
        <f t="shared" si="50"/>
        <v>0</v>
      </c>
      <c r="O416" s="8">
        <f t="shared" si="51"/>
        <v>0</v>
      </c>
      <c r="P416" s="9">
        <f t="shared" si="52"/>
        <v>0</v>
      </c>
      <c r="Q416"/>
      <c r="R416"/>
      <c r="S416"/>
    </row>
    <row r="417" spans="1:19" ht="16.5" thickBot="1" x14ac:dyDescent="0.3">
      <c r="A417" s="175"/>
      <c r="B417" s="170"/>
      <c r="C417" s="1" t="str">
        <f t="shared" si="53"/>
        <v/>
      </c>
      <c r="D417" s="179"/>
      <c r="E417" s="180"/>
      <c r="F417" s="186"/>
      <c r="G417" s="180"/>
      <c r="H417" s="181"/>
      <c r="I417" s="4"/>
      <c r="J417" s="4"/>
      <c r="K417" s="7" t="str">
        <f t="shared" si="47"/>
        <v/>
      </c>
      <c r="L417" s="8" t="str">
        <f t="shared" si="48"/>
        <v/>
      </c>
      <c r="M417" s="8" t="str">
        <f t="shared" si="49"/>
        <v/>
      </c>
      <c r="N417" s="8">
        <f t="shared" si="50"/>
        <v>0</v>
      </c>
      <c r="O417" s="8">
        <f t="shared" si="51"/>
        <v>0</v>
      </c>
      <c r="P417" s="9">
        <f t="shared" si="52"/>
        <v>0</v>
      </c>
      <c r="Q417"/>
      <c r="R417"/>
      <c r="S417"/>
    </row>
    <row r="418" spans="1:19" ht="16.5" thickBot="1" x14ac:dyDescent="0.3">
      <c r="A418" s="175"/>
      <c r="B418" s="170"/>
      <c r="C418" s="1" t="str">
        <f t="shared" si="53"/>
        <v/>
      </c>
      <c r="D418" s="179"/>
      <c r="E418" s="180"/>
      <c r="F418" s="186"/>
      <c r="G418" s="180"/>
      <c r="H418" s="181"/>
      <c r="I418" s="4"/>
      <c r="J418" s="4"/>
      <c r="K418" s="7" t="str">
        <f t="shared" si="47"/>
        <v/>
      </c>
      <c r="L418" s="8" t="str">
        <f t="shared" si="48"/>
        <v/>
      </c>
      <c r="M418" s="8" t="str">
        <f t="shared" si="49"/>
        <v/>
      </c>
      <c r="N418" s="8">
        <f t="shared" si="50"/>
        <v>0</v>
      </c>
      <c r="O418" s="8">
        <f t="shared" si="51"/>
        <v>0</v>
      </c>
      <c r="P418" s="9">
        <f t="shared" si="52"/>
        <v>0</v>
      </c>
      <c r="Q418"/>
      <c r="R418"/>
      <c r="S418"/>
    </row>
    <row r="419" spans="1:19" ht="16.5" thickBot="1" x14ac:dyDescent="0.3">
      <c r="A419" s="175"/>
      <c r="B419" s="170"/>
      <c r="C419" s="1" t="str">
        <f t="shared" si="53"/>
        <v/>
      </c>
      <c r="D419" s="179"/>
      <c r="E419" s="180"/>
      <c r="F419" s="186"/>
      <c r="G419" s="180"/>
      <c r="H419" s="181"/>
      <c r="I419" s="4"/>
      <c r="J419" s="4"/>
      <c r="K419" s="7" t="str">
        <f t="shared" si="47"/>
        <v/>
      </c>
      <c r="L419" s="8" t="str">
        <f t="shared" si="48"/>
        <v/>
      </c>
      <c r="M419" s="8" t="str">
        <f t="shared" si="49"/>
        <v/>
      </c>
      <c r="N419" s="8">
        <f t="shared" si="50"/>
        <v>0</v>
      </c>
      <c r="O419" s="8">
        <f t="shared" si="51"/>
        <v>0</v>
      </c>
      <c r="P419" s="9">
        <f t="shared" si="52"/>
        <v>0</v>
      </c>
      <c r="Q419"/>
      <c r="R419"/>
      <c r="S419"/>
    </row>
    <row r="420" spans="1:19" ht="16.5" thickBot="1" x14ac:dyDescent="0.3">
      <c r="A420" s="175"/>
      <c r="B420" s="170"/>
      <c r="C420" s="1" t="str">
        <f t="shared" si="53"/>
        <v/>
      </c>
      <c r="D420" s="179"/>
      <c r="E420" s="180"/>
      <c r="F420" s="186"/>
      <c r="G420" s="180"/>
      <c r="H420" s="181"/>
      <c r="I420" s="4"/>
      <c r="J420" s="4"/>
      <c r="K420" s="7" t="str">
        <f t="shared" si="47"/>
        <v/>
      </c>
      <c r="L420" s="8" t="str">
        <f t="shared" si="48"/>
        <v/>
      </c>
      <c r="M420" s="8" t="str">
        <f t="shared" si="49"/>
        <v/>
      </c>
      <c r="N420" s="8">
        <f t="shared" si="50"/>
        <v>0</v>
      </c>
      <c r="O420" s="8">
        <f t="shared" si="51"/>
        <v>0</v>
      </c>
      <c r="P420" s="9">
        <f t="shared" si="52"/>
        <v>0</v>
      </c>
      <c r="Q420"/>
      <c r="R420"/>
      <c r="S420"/>
    </row>
    <row r="421" spans="1:19" ht="16.5" thickBot="1" x14ac:dyDescent="0.3">
      <c r="A421" s="175"/>
      <c r="B421" s="170"/>
      <c r="C421" s="1" t="str">
        <f t="shared" si="53"/>
        <v/>
      </c>
      <c r="D421" s="179"/>
      <c r="E421" s="180"/>
      <c r="F421" s="186"/>
      <c r="G421" s="180"/>
      <c r="H421" s="181"/>
      <c r="I421" s="4"/>
      <c r="J421" s="4"/>
      <c r="K421" s="7" t="str">
        <f t="shared" si="47"/>
        <v/>
      </c>
      <c r="L421" s="8" t="str">
        <f t="shared" si="48"/>
        <v/>
      </c>
      <c r="M421" s="8" t="str">
        <f t="shared" si="49"/>
        <v/>
      </c>
      <c r="N421" s="8">
        <f t="shared" si="50"/>
        <v>0</v>
      </c>
      <c r="O421" s="8">
        <f t="shared" si="51"/>
        <v>0</v>
      </c>
      <c r="P421" s="9">
        <f t="shared" si="52"/>
        <v>0</v>
      </c>
      <c r="Q421"/>
      <c r="R421"/>
      <c r="S421"/>
    </row>
    <row r="422" spans="1:19" ht="16.5" thickBot="1" x14ac:dyDescent="0.3">
      <c r="A422" s="175"/>
      <c r="B422" s="170"/>
      <c r="C422" s="1" t="str">
        <f t="shared" si="53"/>
        <v/>
      </c>
      <c r="D422" s="179"/>
      <c r="E422" s="180"/>
      <c r="F422" s="186"/>
      <c r="G422" s="180"/>
      <c r="H422" s="181"/>
      <c r="I422" s="4"/>
      <c r="J422" s="4"/>
      <c r="K422" s="7" t="str">
        <f t="shared" si="47"/>
        <v/>
      </c>
      <c r="L422" s="8" t="str">
        <f t="shared" si="48"/>
        <v/>
      </c>
      <c r="M422" s="8" t="str">
        <f t="shared" si="49"/>
        <v/>
      </c>
      <c r="N422" s="8">
        <f t="shared" si="50"/>
        <v>0</v>
      </c>
      <c r="O422" s="8">
        <f t="shared" si="51"/>
        <v>0</v>
      </c>
      <c r="P422" s="9">
        <f t="shared" si="52"/>
        <v>0</v>
      </c>
      <c r="Q422"/>
      <c r="R422"/>
      <c r="S422"/>
    </row>
    <row r="423" spans="1:19" ht="16.5" thickBot="1" x14ac:dyDescent="0.3">
      <c r="A423" s="175"/>
      <c r="B423" s="170"/>
      <c r="C423" s="1" t="str">
        <f t="shared" si="53"/>
        <v/>
      </c>
      <c r="D423" s="179"/>
      <c r="E423" s="180"/>
      <c r="F423" s="186"/>
      <c r="G423" s="180"/>
      <c r="H423" s="181"/>
      <c r="I423" s="4"/>
      <c r="J423" s="4"/>
      <c r="K423" s="7" t="str">
        <f t="shared" si="47"/>
        <v/>
      </c>
      <c r="L423" s="8" t="str">
        <f t="shared" si="48"/>
        <v/>
      </c>
      <c r="M423" s="8" t="str">
        <f t="shared" si="49"/>
        <v/>
      </c>
      <c r="N423" s="8">
        <f t="shared" si="50"/>
        <v>0</v>
      </c>
      <c r="O423" s="8">
        <f t="shared" si="51"/>
        <v>0</v>
      </c>
      <c r="P423" s="9">
        <f t="shared" si="52"/>
        <v>0</v>
      </c>
      <c r="Q423"/>
      <c r="R423"/>
      <c r="S423"/>
    </row>
    <row r="424" spans="1:19" ht="16.5" thickBot="1" x14ac:dyDescent="0.3">
      <c r="A424" s="175"/>
      <c r="B424" s="170"/>
      <c r="C424" s="1" t="str">
        <f t="shared" si="53"/>
        <v/>
      </c>
      <c r="D424" s="179"/>
      <c r="E424" s="180"/>
      <c r="F424" s="186"/>
      <c r="G424" s="180"/>
      <c r="H424" s="181"/>
      <c r="I424" s="4"/>
      <c r="J424" s="4"/>
      <c r="K424" s="7" t="str">
        <f t="shared" si="47"/>
        <v/>
      </c>
      <c r="L424" s="8" t="str">
        <f t="shared" si="48"/>
        <v/>
      </c>
      <c r="M424" s="8" t="str">
        <f t="shared" si="49"/>
        <v/>
      </c>
      <c r="N424" s="8">
        <f t="shared" si="50"/>
        <v>0</v>
      </c>
      <c r="O424" s="8">
        <f t="shared" si="51"/>
        <v>0</v>
      </c>
      <c r="P424" s="9">
        <f t="shared" si="52"/>
        <v>0</v>
      </c>
      <c r="Q424"/>
      <c r="R424"/>
      <c r="S424"/>
    </row>
    <row r="425" spans="1:19" ht="16.5" thickBot="1" x14ac:dyDescent="0.3">
      <c r="A425" s="175"/>
      <c r="B425" s="170"/>
      <c r="C425" s="1" t="str">
        <f t="shared" si="53"/>
        <v/>
      </c>
      <c r="D425" s="179"/>
      <c r="E425" s="180"/>
      <c r="F425" s="186"/>
      <c r="G425" s="180"/>
      <c r="H425" s="181"/>
      <c r="I425" s="4"/>
      <c r="J425" s="4"/>
      <c r="K425" s="7" t="str">
        <f t="shared" si="47"/>
        <v/>
      </c>
      <c r="L425" s="8" t="str">
        <f t="shared" si="48"/>
        <v/>
      </c>
      <c r="M425" s="8" t="str">
        <f t="shared" si="49"/>
        <v/>
      </c>
      <c r="N425" s="8">
        <f t="shared" si="50"/>
        <v>0</v>
      </c>
      <c r="O425" s="8">
        <f t="shared" si="51"/>
        <v>0</v>
      </c>
      <c r="P425" s="9">
        <f t="shared" si="52"/>
        <v>0</v>
      </c>
      <c r="Q425"/>
      <c r="R425"/>
      <c r="S425"/>
    </row>
    <row r="426" spans="1:19" ht="16.5" thickBot="1" x14ac:dyDescent="0.3">
      <c r="A426" s="175"/>
      <c r="B426" s="170"/>
      <c r="C426" s="1" t="str">
        <f t="shared" si="53"/>
        <v/>
      </c>
      <c r="D426" s="179"/>
      <c r="E426" s="180"/>
      <c r="F426" s="186"/>
      <c r="G426" s="180"/>
      <c r="H426" s="181"/>
      <c r="I426" s="4"/>
      <c r="J426" s="4"/>
      <c r="K426" s="7" t="str">
        <f t="shared" si="47"/>
        <v/>
      </c>
      <c r="L426" s="8" t="str">
        <f t="shared" si="48"/>
        <v/>
      </c>
      <c r="M426" s="8" t="str">
        <f t="shared" si="49"/>
        <v/>
      </c>
      <c r="N426" s="8">
        <f t="shared" si="50"/>
        <v>0</v>
      </c>
      <c r="O426" s="8">
        <f t="shared" si="51"/>
        <v>0</v>
      </c>
      <c r="P426" s="9">
        <f t="shared" si="52"/>
        <v>0</v>
      </c>
      <c r="Q426"/>
      <c r="R426"/>
      <c r="S426"/>
    </row>
    <row r="427" spans="1:19" ht="16.5" thickBot="1" x14ac:dyDescent="0.3">
      <c r="A427" s="175"/>
      <c r="B427" s="170"/>
      <c r="C427" s="1" t="str">
        <f t="shared" si="53"/>
        <v/>
      </c>
      <c r="D427" s="179"/>
      <c r="E427" s="180"/>
      <c r="F427" s="186"/>
      <c r="G427" s="180"/>
      <c r="H427" s="181"/>
      <c r="I427" s="4"/>
      <c r="J427" s="4"/>
      <c r="K427" s="7" t="str">
        <f t="shared" si="47"/>
        <v/>
      </c>
      <c r="L427" s="8" t="str">
        <f t="shared" si="48"/>
        <v/>
      </c>
      <c r="M427" s="8" t="str">
        <f t="shared" si="49"/>
        <v/>
      </c>
      <c r="N427" s="8">
        <f t="shared" si="50"/>
        <v>0</v>
      </c>
      <c r="O427" s="8">
        <f t="shared" si="51"/>
        <v>0</v>
      </c>
      <c r="P427" s="9">
        <f t="shared" si="52"/>
        <v>0</v>
      </c>
      <c r="Q427"/>
      <c r="R427"/>
      <c r="S427"/>
    </row>
    <row r="428" spans="1:19" ht="16.5" thickBot="1" x14ac:dyDescent="0.3">
      <c r="A428" s="175"/>
      <c r="B428" s="170"/>
      <c r="C428" s="1" t="str">
        <f t="shared" si="53"/>
        <v/>
      </c>
      <c r="D428" s="179"/>
      <c r="E428" s="180"/>
      <c r="F428" s="186"/>
      <c r="G428" s="180"/>
      <c r="H428" s="181"/>
      <c r="I428" s="4"/>
      <c r="J428" s="4"/>
      <c r="K428" s="7" t="str">
        <f t="shared" si="47"/>
        <v/>
      </c>
      <c r="L428" s="8" t="str">
        <f t="shared" si="48"/>
        <v/>
      </c>
      <c r="M428" s="8" t="str">
        <f t="shared" si="49"/>
        <v/>
      </c>
      <c r="N428" s="8">
        <f t="shared" si="50"/>
        <v>0</v>
      </c>
      <c r="O428" s="8">
        <f t="shared" si="51"/>
        <v>0</v>
      </c>
      <c r="P428" s="9">
        <f t="shared" si="52"/>
        <v>0</v>
      </c>
      <c r="Q428"/>
      <c r="R428"/>
      <c r="S428"/>
    </row>
    <row r="429" spans="1:19" ht="16.5" thickBot="1" x14ac:dyDescent="0.3">
      <c r="A429" s="175"/>
      <c r="B429" s="170"/>
      <c r="C429" s="1" t="str">
        <f t="shared" si="53"/>
        <v/>
      </c>
      <c r="D429" s="179"/>
      <c r="E429" s="180"/>
      <c r="F429" s="186"/>
      <c r="G429" s="180"/>
      <c r="H429" s="181"/>
      <c r="I429" s="4"/>
      <c r="J429" s="4"/>
      <c r="K429" s="7" t="str">
        <f t="shared" si="47"/>
        <v/>
      </c>
      <c r="L429" s="8" t="str">
        <f t="shared" si="48"/>
        <v/>
      </c>
      <c r="M429" s="8" t="str">
        <f t="shared" si="49"/>
        <v/>
      </c>
      <c r="N429" s="8">
        <f t="shared" si="50"/>
        <v>0</v>
      </c>
      <c r="O429" s="8">
        <f t="shared" si="51"/>
        <v>0</v>
      </c>
      <c r="P429" s="9">
        <f t="shared" si="52"/>
        <v>0</v>
      </c>
      <c r="Q429"/>
      <c r="R429"/>
      <c r="S429"/>
    </row>
    <row r="430" spans="1:19" ht="16.5" thickBot="1" x14ac:dyDescent="0.3">
      <c r="A430" s="175"/>
      <c r="B430" s="170"/>
      <c r="C430" s="1" t="str">
        <f t="shared" si="53"/>
        <v/>
      </c>
      <c r="D430" s="179"/>
      <c r="E430" s="180"/>
      <c r="F430" s="186"/>
      <c r="G430" s="180"/>
      <c r="H430" s="181"/>
      <c r="I430" s="4"/>
      <c r="J430" s="4"/>
      <c r="K430" s="7" t="str">
        <f t="shared" si="47"/>
        <v/>
      </c>
      <c r="L430" s="8" t="str">
        <f t="shared" si="48"/>
        <v/>
      </c>
      <c r="M430" s="8" t="str">
        <f t="shared" si="49"/>
        <v/>
      </c>
      <c r="N430" s="8">
        <f t="shared" si="50"/>
        <v>0</v>
      </c>
      <c r="O430" s="8">
        <f t="shared" si="51"/>
        <v>0</v>
      </c>
      <c r="P430" s="9">
        <f t="shared" si="52"/>
        <v>0</v>
      </c>
      <c r="Q430"/>
      <c r="R430"/>
      <c r="S430"/>
    </row>
    <row r="431" spans="1:19" ht="16.5" thickBot="1" x14ac:dyDescent="0.3">
      <c r="A431" s="175"/>
      <c r="B431" s="170"/>
      <c r="C431" s="1" t="str">
        <f t="shared" si="53"/>
        <v/>
      </c>
      <c r="D431" s="179"/>
      <c r="E431" s="180"/>
      <c r="F431" s="186"/>
      <c r="G431" s="180"/>
      <c r="H431" s="181"/>
      <c r="I431" s="4"/>
      <c r="J431" s="4"/>
      <c r="K431" s="7" t="str">
        <f t="shared" si="47"/>
        <v/>
      </c>
      <c r="L431" s="8" t="str">
        <f t="shared" si="48"/>
        <v/>
      </c>
      <c r="M431" s="8" t="str">
        <f t="shared" si="49"/>
        <v/>
      </c>
      <c r="N431" s="8">
        <f t="shared" si="50"/>
        <v>0</v>
      </c>
      <c r="O431" s="8">
        <f t="shared" si="51"/>
        <v>0</v>
      </c>
      <c r="P431" s="9">
        <f t="shared" si="52"/>
        <v>0</v>
      </c>
      <c r="Q431"/>
      <c r="R431"/>
      <c r="S431"/>
    </row>
    <row r="432" spans="1:19" ht="16.5" thickBot="1" x14ac:dyDescent="0.3">
      <c r="A432" s="175"/>
      <c r="B432" s="170"/>
      <c r="C432" s="1" t="str">
        <f t="shared" si="53"/>
        <v/>
      </c>
      <c r="D432" s="179"/>
      <c r="E432" s="180"/>
      <c r="F432" s="186"/>
      <c r="G432" s="180"/>
      <c r="H432" s="181"/>
      <c r="I432" s="4"/>
      <c r="J432" s="4"/>
      <c r="K432" s="7" t="str">
        <f t="shared" si="47"/>
        <v/>
      </c>
      <c r="L432" s="8" t="str">
        <f t="shared" si="48"/>
        <v/>
      </c>
      <c r="M432" s="8" t="str">
        <f t="shared" si="49"/>
        <v/>
      </c>
      <c r="N432" s="8">
        <f t="shared" si="50"/>
        <v>0</v>
      </c>
      <c r="O432" s="8">
        <f t="shared" si="51"/>
        <v>0</v>
      </c>
      <c r="P432" s="9">
        <f t="shared" si="52"/>
        <v>0</v>
      </c>
      <c r="Q432"/>
      <c r="R432"/>
      <c r="S432"/>
    </row>
    <row r="433" spans="1:19" ht="16.5" thickBot="1" x14ac:dyDescent="0.3">
      <c r="A433" s="175"/>
      <c r="B433" s="170"/>
      <c r="C433" s="1" t="str">
        <f t="shared" si="53"/>
        <v/>
      </c>
      <c r="D433" s="179"/>
      <c r="E433" s="180"/>
      <c r="F433" s="186"/>
      <c r="G433" s="180"/>
      <c r="H433" s="181"/>
      <c r="I433" s="4"/>
      <c r="J433" s="4"/>
      <c r="K433" s="7" t="str">
        <f t="shared" si="47"/>
        <v/>
      </c>
      <c r="L433" s="8" t="str">
        <f t="shared" si="48"/>
        <v/>
      </c>
      <c r="M433" s="8" t="str">
        <f t="shared" si="49"/>
        <v/>
      </c>
      <c r="N433" s="8">
        <f t="shared" si="50"/>
        <v>0</v>
      </c>
      <c r="O433" s="8">
        <f t="shared" si="51"/>
        <v>0</v>
      </c>
      <c r="P433" s="9">
        <f t="shared" si="52"/>
        <v>0</v>
      </c>
      <c r="Q433"/>
      <c r="R433"/>
      <c r="S433"/>
    </row>
    <row r="434" spans="1:19" ht="16.5" thickBot="1" x14ac:dyDescent="0.3">
      <c r="A434" s="175"/>
      <c r="B434" s="170"/>
      <c r="C434" s="1" t="str">
        <f t="shared" si="53"/>
        <v/>
      </c>
      <c r="D434" s="179"/>
      <c r="E434" s="180"/>
      <c r="F434" s="186"/>
      <c r="G434" s="180"/>
      <c r="H434" s="181"/>
      <c r="I434" s="4"/>
      <c r="J434" s="4"/>
      <c r="K434" s="7" t="str">
        <f t="shared" si="47"/>
        <v/>
      </c>
      <c r="L434" s="8" t="str">
        <f t="shared" si="48"/>
        <v/>
      </c>
      <c r="M434" s="8" t="str">
        <f t="shared" si="49"/>
        <v/>
      </c>
      <c r="N434" s="8">
        <f t="shared" si="50"/>
        <v>0</v>
      </c>
      <c r="O434" s="8">
        <f t="shared" si="51"/>
        <v>0</v>
      </c>
      <c r="P434" s="9">
        <f t="shared" si="52"/>
        <v>0</v>
      </c>
      <c r="Q434"/>
      <c r="R434"/>
      <c r="S434"/>
    </row>
    <row r="435" spans="1:19" ht="16.5" thickBot="1" x14ac:dyDescent="0.3">
      <c r="A435" s="175"/>
      <c r="B435" s="170"/>
      <c r="C435" s="1" t="str">
        <f t="shared" si="53"/>
        <v/>
      </c>
      <c r="D435" s="179"/>
      <c r="E435" s="180"/>
      <c r="F435" s="186"/>
      <c r="G435" s="180"/>
      <c r="H435" s="181"/>
      <c r="I435" s="4"/>
      <c r="J435" s="4"/>
      <c r="K435" s="7" t="str">
        <f t="shared" si="47"/>
        <v/>
      </c>
      <c r="L435" s="8" t="str">
        <f t="shared" si="48"/>
        <v/>
      </c>
      <c r="M435" s="8" t="str">
        <f t="shared" si="49"/>
        <v/>
      </c>
      <c r="N435" s="8">
        <f t="shared" si="50"/>
        <v>0</v>
      </c>
      <c r="O435" s="8">
        <f t="shared" si="51"/>
        <v>0</v>
      </c>
      <c r="P435" s="9">
        <f t="shared" si="52"/>
        <v>0</v>
      </c>
      <c r="Q435"/>
      <c r="R435"/>
      <c r="S435"/>
    </row>
    <row r="436" spans="1:19" ht="16.5" thickBot="1" x14ac:dyDescent="0.3">
      <c r="A436" s="175"/>
      <c r="B436" s="170"/>
      <c r="C436" s="1" t="str">
        <f t="shared" si="53"/>
        <v/>
      </c>
      <c r="D436" s="179"/>
      <c r="E436" s="180"/>
      <c r="F436" s="186"/>
      <c r="G436" s="180"/>
      <c r="H436" s="181"/>
      <c r="I436" s="4"/>
      <c r="J436" s="4"/>
      <c r="K436" s="7" t="str">
        <f t="shared" si="47"/>
        <v/>
      </c>
      <c r="L436" s="8" t="str">
        <f t="shared" si="48"/>
        <v/>
      </c>
      <c r="M436" s="8" t="str">
        <f t="shared" si="49"/>
        <v/>
      </c>
      <c r="N436" s="8">
        <f t="shared" si="50"/>
        <v>0</v>
      </c>
      <c r="O436" s="8">
        <f t="shared" si="51"/>
        <v>0</v>
      </c>
      <c r="P436" s="9">
        <f t="shared" si="52"/>
        <v>0</v>
      </c>
      <c r="Q436"/>
      <c r="R436"/>
      <c r="S436"/>
    </row>
    <row r="437" spans="1:19" ht="16.5" thickBot="1" x14ac:dyDescent="0.3">
      <c r="A437" s="175"/>
      <c r="B437" s="170"/>
      <c r="C437" s="1" t="str">
        <f t="shared" si="53"/>
        <v/>
      </c>
      <c r="D437" s="179"/>
      <c r="E437" s="180"/>
      <c r="F437" s="186"/>
      <c r="G437" s="180"/>
      <c r="H437" s="181"/>
      <c r="I437" s="4"/>
      <c r="J437" s="4"/>
      <c r="K437" s="7" t="str">
        <f t="shared" si="47"/>
        <v/>
      </c>
      <c r="L437" s="8" t="str">
        <f t="shared" si="48"/>
        <v/>
      </c>
      <c r="M437" s="8" t="str">
        <f t="shared" si="49"/>
        <v/>
      </c>
      <c r="N437" s="8">
        <f t="shared" si="50"/>
        <v>0</v>
      </c>
      <c r="O437" s="8">
        <f t="shared" si="51"/>
        <v>0</v>
      </c>
      <c r="P437" s="9">
        <f t="shared" si="52"/>
        <v>0</v>
      </c>
      <c r="Q437"/>
      <c r="R437"/>
      <c r="S437"/>
    </row>
    <row r="438" spans="1:19" ht="16.5" thickBot="1" x14ac:dyDescent="0.3">
      <c r="A438" s="175"/>
      <c r="B438" s="170"/>
      <c r="C438" s="1" t="str">
        <f t="shared" si="53"/>
        <v/>
      </c>
      <c r="D438" s="179"/>
      <c r="E438" s="180"/>
      <c r="F438" s="186"/>
      <c r="G438" s="180"/>
      <c r="H438" s="181"/>
      <c r="I438" s="4"/>
      <c r="J438" s="4"/>
      <c r="K438" s="7" t="str">
        <f t="shared" si="47"/>
        <v/>
      </c>
      <c r="L438" s="8" t="str">
        <f t="shared" si="48"/>
        <v/>
      </c>
      <c r="M438" s="8" t="str">
        <f t="shared" si="49"/>
        <v/>
      </c>
      <c r="N438" s="8">
        <f t="shared" si="50"/>
        <v>0</v>
      </c>
      <c r="O438" s="8">
        <f t="shared" si="51"/>
        <v>0</v>
      </c>
      <c r="P438" s="9">
        <f t="shared" si="52"/>
        <v>0</v>
      </c>
      <c r="Q438"/>
      <c r="R438"/>
      <c r="S438"/>
    </row>
    <row r="439" spans="1:19" ht="16.5" thickBot="1" x14ac:dyDescent="0.3">
      <c r="A439" s="175"/>
      <c r="B439" s="170"/>
      <c r="C439" s="1" t="str">
        <f t="shared" si="53"/>
        <v/>
      </c>
      <c r="D439" s="179"/>
      <c r="E439" s="180"/>
      <c r="F439" s="186"/>
      <c r="G439" s="180"/>
      <c r="H439" s="181"/>
      <c r="I439" s="4"/>
      <c r="J439" s="4"/>
      <c r="K439" s="7" t="str">
        <f t="shared" si="47"/>
        <v/>
      </c>
      <c r="L439" s="8" t="str">
        <f t="shared" si="48"/>
        <v/>
      </c>
      <c r="M439" s="8" t="str">
        <f t="shared" si="49"/>
        <v/>
      </c>
      <c r="N439" s="8">
        <f t="shared" si="50"/>
        <v>0</v>
      </c>
      <c r="O439" s="8">
        <f t="shared" si="51"/>
        <v>0</v>
      </c>
      <c r="P439" s="9">
        <f t="shared" si="52"/>
        <v>0</v>
      </c>
      <c r="Q439"/>
      <c r="R439"/>
      <c r="S439"/>
    </row>
    <row r="440" spans="1:19" ht="16.5" thickBot="1" x14ac:dyDescent="0.3">
      <c r="A440" s="175"/>
      <c r="B440" s="170"/>
      <c r="C440" s="1" t="str">
        <f t="shared" si="53"/>
        <v/>
      </c>
      <c r="D440" s="179"/>
      <c r="E440" s="180"/>
      <c r="F440" s="186"/>
      <c r="G440" s="180"/>
      <c r="H440" s="181"/>
      <c r="I440" s="4"/>
      <c r="J440" s="4"/>
      <c r="K440" s="7" t="str">
        <f t="shared" si="47"/>
        <v/>
      </c>
      <c r="L440" s="8" t="str">
        <f t="shared" si="48"/>
        <v/>
      </c>
      <c r="M440" s="8" t="str">
        <f t="shared" si="49"/>
        <v/>
      </c>
      <c r="N440" s="8">
        <f t="shared" si="50"/>
        <v>0</v>
      </c>
      <c r="O440" s="8">
        <f t="shared" si="51"/>
        <v>0</v>
      </c>
      <c r="P440" s="9">
        <f t="shared" si="52"/>
        <v>0</v>
      </c>
      <c r="Q440"/>
      <c r="R440"/>
      <c r="S440"/>
    </row>
    <row r="441" spans="1:19" ht="16.5" thickBot="1" x14ac:dyDescent="0.3">
      <c r="A441" s="175"/>
      <c r="B441" s="170"/>
      <c r="C441" s="1" t="str">
        <f t="shared" si="53"/>
        <v/>
      </c>
      <c r="D441" s="179"/>
      <c r="E441" s="180"/>
      <c r="F441" s="186"/>
      <c r="G441" s="180"/>
      <c r="H441" s="181"/>
      <c r="I441" s="4"/>
      <c r="J441" s="4"/>
      <c r="K441" s="7" t="str">
        <f t="shared" si="47"/>
        <v/>
      </c>
      <c r="L441" s="8" t="str">
        <f t="shared" si="48"/>
        <v/>
      </c>
      <c r="M441" s="8" t="str">
        <f t="shared" si="49"/>
        <v/>
      </c>
      <c r="N441" s="8">
        <f t="shared" si="50"/>
        <v>0</v>
      </c>
      <c r="O441" s="8">
        <f t="shared" si="51"/>
        <v>0</v>
      </c>
      <c r="P441" s="9">
        <f t="shared" si="52"/>
        <v>0</v>
      </c>
      <c r="Q441"/>
      <c r="R441"/>
      <c r="S441"/>
    </row>
    <row r="442" spans="1:19" ht="16.5" thickBot="1" x14ac:dyDescent="0.3">
      <c r="A442" s="175"/>
      <c r="B442" s="170"/>
      <c r="C442" s="1" t="str">
        <f t="shared" si="53"/>
        <v/>
      </c>
      <c r="D442" s="179"/>
      <c r="E442" s="180"/>
      <c r="F442" s="186"/>
      <c r="G442" s="180"/>
      <c r="H442" s="181"/>
      <c r="I442" s="4"/>
      <c r="J442" s="4"/>
      <c r="K442" s="7" t="str">
        <f t="shared" si="47"/>
        <v/>
      </c>
      <c r="L442" s="8" t="str">
        <f t="shared" si="48"/>
        <v/>
      </c>
      <c r="M442" s="8" t="str">
        <f t="shared" si="49"/>
        <v/>
      </c>
      <c r="N442" s="8">
        <f t="shared" si="50"/>
        <v>0</v>
      </c>
      <c r="O442" s="8">
        <f t="shared" si="51"/>
        <v>0</v>
      </c>
      <c r="P442" s="9">
        <f t="shared" si="52"/>
        <v>0</v>
      </c>
      <c r="Q442"/>
      <c r="R442"/>
      <c r="S442"/>
    </row>
    <row r="443" spans="1:19" ht="16.5" thickBot="1" x14ac:dyDescent="0.3">
      <c r="A443" s="175"/>
      <c r="B443" s="170"/>
      <c r="C443" s="1" t="str">
        <f t="shared" si="53"/>
        <v/>
      </c>
      <c r="D443" s="179"/>
      <c r="E443" s="180"/>
      <c r="F443" s="186"/>
      <c r="G443" s="180"/>
      <c r="H443" s="181"/>
      <c r="I443" s="4"/>
      <c r="J443" s="4"/>
      <c r="K443" s="7" t="str">
        <f t="shared" si="47"/>
        <v/>
      </c>
      <c r="L443" s="8" t="str">
        <f t="shared" si="48"/>
        <v/>
      </c>
      <c r="M443" s="8" t="str">
        <f t="shared" si="49"/>
        <v/>
      </c>
      <c r="N443" s="8">
        <f t="shared" si="50"/>
        <v>0</v>
      </c>
      <c r="O443" s="8">
        <f t="shared" si="51"/>
        <v>0</v>
      </c>
      <c r="P443" s="9">
        <f t="shared" si="52"/>
        <v>0</v>
      </c>
      <c r="Q443"/>
      <c r="R443"/>
      <c r="S443"/>
    </row>
    <row r="444" spans="1:19" ht="16.5" thickBot="1" x14ac:dyDescent="0.3">
      <c r="A444" s="175"/>
      <c r="B444" s="170"/>
      <c r="C444" s="1" t="str">
        <f t="shared" si="53"/>
        <v/>
      </c>
      <c r="D444" s="179"/>
      <c r="E444" s="180"/>
      <c r="F444" s="186"/>
      <c r="G444" s="180"/>
      <c r="H444" s="181"/>
      <c r="I444" s="4"/>
      <c r="J444" s="4"/>
      <c r="K444" s="7" t="str">
        <f t="shared" si="47"/>
        <v/>
      </c>
      <c r="L444" s="8" t="str">
        <f t="shared" si="48"/>
        <v/>
      </c>
      <c r="M444" s="8" t="str">
        <f t="shared" si="49"/>
        <v/>
      </c>
      <c r="N444" s="8">
        <f t="shared" si="50"/>
        <v>0</v>
      </c>
      <c r="O444" s="8">
        <f t="shared" si="51"/>
        <v>0</v>
      </c>
      <c r="P444" s="9">
        <f t="shared" si="52"/>
        <v>0</v>
      </c>
      <c r="Q444"/>
      <c r="R444"/>
      <c r="S444"/>
    </row>
    <row r="445" spans="1:19" ht="16.5" thickBot="1" x14ac:dyDescent="0.3">
      <c r="A445" s="175"/>
      <c r="B445" s="170"/>
      <c r="C445" s="1" t="str">
        <f t="shared" si="53"/>
        <v/>
      </c>
      <c r="D445" s="179"/>
      <c r="E445" s="180"/>
      <c r="F445" s="186"/>
      <c r="G445" s="180"/>
      <c r="H445" s="181"/>
      <c r="I445" s="4"/>
      <c r="J445" s="4"/>
      <c r="K445" s="7" t="str">
        <f t="shared" si="47"/>
        <v/>
      </c>
      <c r="L445" s="8" t="str">
        <f t="shared" si="48"/>
        <v/>
      </c>
      <c r="M445" s="8" t="str">
        <f t="shared" si="49"/>
        <v/>
      </c>
      <c r="N445" s="8">
        <f t="shared" si="50"/>
        <v>0</v>
      </c>
      <c r="O445" s="8">
        <f t="shared" si="51"/>
        <v>0</v>
      </c>
      <c r="P445" s="9">
        <f t="shared" si="52"/>
        <v>0</v>
      </c>
      <c r="Q445"/>
      <c r="R445"/>
      <c r="S445"/>
    </row>
    <row r="446" spans="1:19" ht="16.5" thickBot="1" x14ac:dyDescent="0.3">
      <c r="A446" s="175"/>
      <c r="B446" s="170"/>
      <c r="C446" s="1" t="str">
        <f t="shared" si="53"/>
        <v/>
      </c>
      <c r="D446" s="179"/>
      <c r="E446" s="180"/>
      <c r="F446" s="186"/>
      <c r="G446" s="180"/>
      <c r="H446" s="181"/>
      <c r="I446" s="4"/>
      <c r="J446" s="4"/>
      <c r="K446" s="7" t="str">
        <f t="shared" si="47"/>
        <v/>
      </c>
      <c r="L446" s="8" t="str">
        <f t="shared" si="48"/>
        <v/>
      </c>
      <c r="M446" s="8" t="str">
        <f t="shared" si="49"/>
        <v/>
      </c>
      <c r="N446" s="8">
        <f t="shared" si="50"/>
        <v>0</v>
      </c>
      <c r="O446" s="8">
        <f t="shared" si="51"/>
        <v>0</v>
      </c>
      <c r="P446" s="9">
        <f t="shared" si="52"/>
        <v>0</v>
      </c>
      <c r="Q446"/>
      <c r="R446"/>
      <c r="S446"/>
    </row>
    <row r="447" spans="1:19" ht="16.5" thickBot="1" x14ac:dyDescent="0.3">
      <c r="A447" s="175"/>
      <c r="B447" s="170"/>
      <c r="C447" s="1" t="str">
        <f t="shared" si="53"/>
        <v/>
      </c>
      <c r="D447" s="179"/>
      <c r="E447" s="180"/>
      <c r="F447" s="186"/>
      <c r="G447" s="180"/>
      <c r="H447" s="181"/>
      <c r="I447" s="4"/>
      <c r="J447" s="4"/>
      <c r="K447" s="7" t="str">
        <f t="shared" ref="K447:K501" si="54">IF(ISERROR(CONCATENATE(LEFT(L447,3),MID(L447,(FIND(",",L447)+2),3))),"",CONCATENATE(LEFT(L447,3),MID(L447,(FIND(",",L447)+2),3)))</f>
        <v/>
      </c>
      <c r="L447" s="8" t="str">
        <f t="shared" si="48"/>
        <v/>
      </c>
      <c r="M447" s="8" t="str">
        <f t="shared" si="49"/>
        <v/>
      </c>
      <c r="N447" s="8">
        <f t="shared" si="50"/>
        <v>0</v>
      </c>
      <c r="O447" s="8">
        <f t="shared" si="51"/>
        <v>0</v>
      </c>
      <c r="P447" s="9">
        <f t="shared" si="52"/>
        <v>0</v>
      </c>
      <c r="Q447"/>
      <c r="R447"/>
      <c r="S447"/>
    </row>
    <row r="448" spans="1:19" ht="16.5" thickBot="1" x14ac:dyDescent="0.3">
      <c r="A448" s="175"/>
      <c r="B448" s="170"/>
      <c r="C448" s="1" t="str">
        <f t="shared" si="53"/>
        <v/>
      </c>
      <c r="D448" s="179"/>
      <c r="E448" s="180"/>
      <c r="F448" s="186"/>
      <c r="G448" s="180"/>
      <c r="H448" s="181"/>
      <c r="I448" s="4"/>
      <c r="J448" s="4"/>
      <c r="K448" s="7" t="str">
        <f t="shared" si="54"/>
        <v/>
      </c>
      <c r="L448" s="8" t="str">
        <f t="shared" si="48"/>
        <v/>
      </c>
      <c r="M448" s="8" t="str">
        <f t="shared" si="49"/>
        <v/>
      </c>
      <c r="N448" s="8">
        <f t="shared" si="50"/>
        <v>0</v>
      </c>
      <c r="O448" s="8">
        <f t="shared" si="51"/>
        <v>0</v>
      </c>
      <c r="P448" s="9">
        <f t="shared" si="52"/>
        <v>0</v>
      </c>
      <c r="Q448"/>
      <c r="R448"/>
      <c r="S448"/>
    </row>
    <row r="449" spans="1:19" ht="16.5" thickBot="1" x14ac:dyDescent="0.3">
      <c r="A449" s="175"/>
      <c r="B449" s="170"/>
      <c r="C449" s="1" t="str">
        <f t="shared" si="53"/>
        <v/>
      </c>
      <c r="D449" s="179"/>
      <c r="E449" s="180"/>
      <c r="F449" s="186"/>
      <c r="G449" s="180"/>
      <c r="H449" s="181"/>
      <c r="I449" s="4"/>
      <c r="J449" s="4"/>
      <c r="K449" s="7" t="str">
        <f t="shared" si="54"/>
        <v/>
      </c>
      <c r="L449" s="8" t="str">
        <f t="shared" si="48"/>
        <v/>
      </c>
      <c r="M449" s="8" t="str">
        <f t="shared" si="49"/>
        <v/>
      </c>
      <c r="N449" s="8">
        <f t="shared" si="50"/>
        <v>0</v>
      </c>
      <c r="O449" s="8">
        <f t="shared" si="51"/>
        <v>0</v>
      </c>
      <c r="P449" s="9">
        <f t="shared" si="52"/>
        <v>0</v>
      </c>
      <c r="Q449"/>
      <c r="R449"/>
      <c r="S449"/>
    </row>
    <row r="450" spans="1:19" ht="16.5" thickBot="1" x14ac:dyDescent="0.3">
      <c r="A450" s="175"/>
      <c r="B450" s="170"/>
      <c r="C450" s="1" t="str">
        <f t="shared" si="53"/>
        <v/>
      </c>
      <c r="D450" s="179"/>
      <c r="E450" s="180"/>
      <c r="F450" s="186"/>
      <c r="G450" s="180"/>
      <c r="H450" s="181"/>
      <c r="I450" s="4"/>
      <c r="J450" s="4"/>
      <c r="K450" s="7" t="str">
        <f t="shared" si="54"/>
        <v/>
      </c>
      <c r="L450" s="8" t="str">
        <f t="shared" ref="L450:L501" si="55">IF(LEN(B450)&lt;1,"",B450)</f>
        <v/>
      </c>
      <c r="M450" s="8" t="str">
        <f t="shared" ref="M450:M501" si="56">IF(LEN(C450)&lt;1,"",C450)</f>
        <v/>
      </c>
      <c r="N450" s="8">
        <f t="shared" ref="N450:N501" si="57">D450</f>
        <v>0</v>
      </c>
      <c r="O450" s="8">
        <f t="shared" ref="O450:O501" si="58">E450</f>
        <v>0</v>
      </c>
      <c r="P450" s="9">
        <f t="shared" ref="P450:P501" si="59">G450</f>
        <v>0</v>
      </c>
      <c r="Q450"/>
      <c r="R450"/>
      <c r="S450"/>
    </row>
    <row r="451" spans="1:19" ht="16.5" thickBot="1" x14ac:dyDescent="0.3">
      <c r="A451" s="175"/>
      <c r="B451" s="170"/>
      <c r="C451" s="1" t="str">
        <f t="shared" si="53"/>
        <v/>
      </c>
      <c r="D451" s="179"/>
      <c r="E451" s="180"/>
      <c r="F451" s="186"/>
      <c r="G451" s="180"/>
      <c r="H451" s="181"/>
      <c r="I451" s="4"/>
      <c r="J451" s="4"/>
      <c r="K451" s="7" t="str">
        <f t="shared" si="54"/>
        <v/>
      </c>
      <c r="L451" s="8" t="str">
        <f t="shared" si="55"/>
        <v/>
      </c>
      <c r="M451" s="8" t="str">
        <f t="shared" si="56"/>
        <v/>
      </c>
      <c r="N451" s="8">
        <f t="shared" si="57"/>
        <v>0</v>
      </c>
      <c r="O451" s="8">
        <f t="shared" si="58"/>
        <v>0</v>
      </c>
      <c r="P451" s="9">
        <f t="shared" si="59"/>
        <v>0</v>
      </c>
      <c r="Q451"/>
      <c r="R451"/>
      <c r="S451"/>
    </row>
    <row r="452" spans="1:19" ht="16.5" thickBot="1" x14ac:dyDescent="0.3">
      <c r="A452" s="175"/>
      <c r="B452" s="170"/>
      <c r="C452" s="1" t="str">
        <f t="shared" si="53"/>
        <v/>
      </c>
      <c r="D452" s="179"/>
      <c r="E452" s="180"/>
      <c r="F452" s="186"/>
      <c r="G452" s="180"/>
      <c r="H452" s="181"/>
      <c r="I452" s="4"/>
      <c r="J452" s="4"/>
      <c r="K452" s="7" t="str">
        <f t="shared" si="54"/>
        <v/>
      </c>
      <c r="L452" s="8" t="str">
        <f t="shared" si="55"/>
        <v/>
      </c>
      <c r="M452" s="8" t="str">
        <f t="shared" si="56"/>
        <v/>
      </c>
      <c r="N452" s="8">
        <f t="shared" si="57"/>
        <v>0</v>
      </c>
      <c r="O452" s="8">
        <f t="shared" si="58"/>
        <v>0</v>
      </c>
      <c r="P452" s="9">
        <f t="shared" si="59"/>
        <v>0</v>
      </c>
      <c r="Q452"/>
      <c r="R452"/>
      <c r="S452"/>
    </row>
    <row r="453" spans="1:19" ht="16.5" thickBot="1" x14ac:dyDescent="0.3">
      <c r="A453" s="175"/>
      <c r="B453" s="170"/>
      <c r="C453" s="1" t="str">
        <f t="shared" si="53"/>
        <v/>
      </c>
      <c r="D453" s="179"/>
      <c r="E453" s="180"/>
      <c r="F453" s="186"/>
      <c r="G453" s="180"/>
      <c r="H453" s="181"/>
      <c r="I453" s="4"/>
      <c r="J453" s="4"/>
      <c r="K453" s="7" t="str">
        <f t="shared" si="54"/>
        <v/>
      </c>
      <c r="L453" s="8" t="str">
        <f t="shared" si="55"/>
        <v/>
      </c>
      <c r="M453" s="8" t="str">
        <f t="shared" si="56"/>
        <v/>
      </c>
      <c r="N453" s="8">
        <f t="shared" si="57"/>
        <v>0</v>
      </c>
      <c r="O453" s="8">
        <f t="shared" si="58"/>
        <v>0</v>
      </c>
      <c r="P453" s="9">
        <f t="shared" si="59"/>
        <v>0</v>
      </c>
      <c r="Q453"/>
      <c r="R453"/>
      <c r="S453"/>
    </row>
    <row r="454" spans="1:19" ht="16.5" thickBot="1" x14ac:dyDescent="0.3">
      <c r="A454" s="175"/>
      <c r="B454" s="170"/>
      <c r="C454" s="1" t="str">
        <f t="shared" si="53"/>
        <v/>
      </c>
      <c r="D454" s="179"/>
      <c r="E454" s="180"/>
      <c r="F454" s="186"/>
      <c r="G454" s="180"/>
      <c r="H454" s="181"/>
      <c r="I454" s="4"/>
      <c r="J454" s="4"/>
      <c r="K454" s="7" t="str">
        <f t="shared" si="54"/>
        <v/>
      </c>
      <c r="L454" s="8" t="str">
        <f t="shared" si="55"/>
        <v/>
      </c>
      <c r="M454" s="8" t="str">
        <f t="shared" si="56"/>
        <v/>
      </c>
      <c r="N454" s="8">
        <f t="shared" si="57"/>
        <v>0</v>
      </c>
      <c r="O454" s="8">
        <f t="shared" si="58"/>
        <v>0</v>
      </c>
      <c r="P454" s="9">
        <f t="shared" si="59"/>
        <v>0</v>
      </c>
      <c r="Q454"/>
      <c r="R454"/>
      <c r="S454"/>
    </row>
    <row r="455" spans="1:19" ht="16.5" thickBot="1" x14ac:dyDescent="0.3">
      <c r="A455" s="175"/>
      <c r="B455" s="170"/>
      <c r="C455" s="1" t="str">
        <f t="shared" si="53"/>
        <v/>
      </c>
      <c r="D455" s="179"/>
      <c r="E455" s="180"/>
      <c r="F455" s="186"/>
      <c r="G455" s="180"/>
      <c r="H455" s="181"/>
      <c r="I455" s="4"/>
      <c r="J455" s="4"/>
      <c r="K455" s="7" t="str">
        <f t="shared" si="54"/>
        <v/>
      </c>
      <c r="L455" s="8" t="str">
        <f t="shared" si="55"/>
        <v/>
      </c>
      <c r="M455" s="8" t="str">
        <f t="shared" si="56"/>
        <v/>
      </c>
      <c r="N455" s="8">
        <f t="shared" si="57"/>
        <v>0</v>
      </c>
      <c r="O455" s="8">
        <f t="shared" si="58"/>
        <v>0</v>
      </c>
      <c r="P455" s="9">
        <f t="shared" si="59"/>
        <v>0</v>
      </c>
      <c r="Q455"/>
      <c r="R455"/>
      <c r="S455"/>
    </row>
    <row r="456" spans="1:19" ht="16.5" thickBot="1" x14ac:dyDescent="0.3">
      <c r="A456" s="175"/>
      <c r="B456" s="170"/>
      <c r="C456" s="1" t="str">
        <f t="shared" si="53"/>
        <v/>
      </c>
      <c r="D456" s="179"/>
      <c r="E456" s="180"/>
      <c r="F456" s="186"/>
      <c r="G456" s="180"/>
      <c r="H456" s="181"/>
      <c r="I456" s="4"/>
      <c r="J456" s="4"/>
      <c r="K456" s="7" t="str">
        <f t="shared" si="54"/>
        <v/>
      </c>
      <c r="L456" s="8" t="str">
        <f t="shared" si="55"/>
        <v/>
      </c>
      <c r="M456" s="8" t="str">
        <f t="shared" si="56"/>
        <v/>
      </c>
      <c r="N456" s="8">
        <f t="shared" si="57"/>
        <v>0</v>
      </c>
      <c r="O456" s="8">
        <f t="shared" si="58"/>
        <v>0</v>
      </c>
      <c r="P456" s="9">
        <f t="shared" si="59"/>
        <v>0</v>
      </c>
      <c r="Q456"/>
      <c r="R456"/>
      <c r="S456"/>
    </row>
    <row r="457" spans="1:19" ht="16.5" thickBot="1" x14ac:dyDescent="0.3">
      <c r="A457" s="175"/>
      <c r="B457" s="170"/>
      <c r="C457" s="1" t="str">
        <f t="shared" si="53"/>
        <v/>
      </c>
      <c r="D457" s="179"/>
      <c r="E457" s="180"/>
      <c r="F457" s="186"/>
      <c r="G457" s="180"/>
      <c r="H457" s="181"/>
      <c r="I457" s="4"/>
      <c r="J457" s="4"/>
      <c r="K457" s="7" t="str">
        <f t="shared" si="54"/>
        <v/>
      </c>
      <c r="L457" s="8" t="str">
        <f t="shared" si="55"/>
        <v/>
      </c>
      <c r="M457" s="8" t="str">
        <f t="shared" si="56"/>
        <v/>
      </c>
      <c r="N457" s="8">
        <f t="shared" si="57"/>
        <v>0</v>
      </c>
      <c r="O457" s="8">
        <f t="shared" si="58"/>
        <v>0</v>
      </c>
      <c r="P457" s="9">
        <f t="shared" si="59"/>
        <v>0</v>
      </c>
      <c r="Q457"/>
      <c r="R457"/>
      <c r="S457"/>
    </row>
    <row r="458" spans="1:19" ht="16.5" thickBot="1" x14ac:dyDescent="0.3">
      <c r="A458" s="175"/>
      <c r="B458" s="170"/>
      <c r="C458" s="1" t="str">
        <f t="shared" si="53"/>
        <v/>
      </c>
      <c r="D458" s="179"/>
      <c r="E458" s="180"/>
      <c r="F458" s="186"/>
      <c r="G458" s="180"/>
      <c r="H458" s="181"/>
      <c r="I458" s="4"/>
      <c r="J458" s="4"/>
      <c r="K458" s="7" t="str">
        <f t="shared" si="54"/>
        <v/>
      </c>
      <c r="L458" s="8" t="str">
        <f t="shared" si="55"/>
        <v/>
      </c>
      <c r="M458" s="8" t="str">
        <f t="shared" si="56"/>
        <v/>
      </c>
      <c r="N458" s="8">
        <f t="shared" si="57"/>
        <v>0</v>
      </c>
      <c r="O458" s="8">
        <f t="shared" si="58"/>
        <v>0</v>
      </c>
      <c r="P458" s="9">
        <f t="shared" si="59"/>
        <v>0</v>
      </c>
      <c r="Q458"/>
      <c r="R458"/>
      <c r="S458"/>
    </row>
    <row r="459" spans="1:19" ht="16.5" thickBot="1" x14ac:dyDescent="0.3">
      <c r="A459" s="175"/>
      <c r="B459" s="170"/>
      <c r="C459" s="1" t="str">
        <f t="shared" si="53"/>
        <v/>
      </c>
      <c r="D459" s="179"/>
      <c r="E459" s="180"/>
      <c r="F459" s="186"/>
      <c r="G459" s="180"/>
      <c r="H459" s="181"/>
      <c r="I459" s="4"/>
      <c r="J459" s="4"/>
      <c r="K459" s="7" t="str">
        <f t="shared" si="54"/>
        <v/>
      </c>
      <c r="L459" s="8" t="str">
        <f t="shared" si="55"/>
        <v/>
      </c>
      <c r="M459" s="8" t="str">
        <f t="shared" si="56"/>
        <v/>
      </c>
      <c r="N459" s="8">
        <f t="shared" si="57"/>
        <v>0</v>
      </c>
      <c r="O459" s="8">
        <f t="shared" si="58"/>
        <v>0</v>
      </c>
      <c r="P459" s="9">
        <f t="shared" si="59"/>
        <v>0</v>
      </c>
      <c r="Q459"/>
      <c r="R459"/>
      <c r="S459"/>
    </row>
    <row r="460" spans="1:19" ht="16.5" thickBot="1" x14ac:dyDescent="0.3">
      <c r="A460" s="175"/>
      <c r="B460" s="170"/>
      <c r="C460" s="1" t="str">
        <f t="shared" si="53"/>
        <v/>
      </c>
      <c r="D460" s="179"/>
      <c r="E460" s="180"/>
      <c r="F460" s="186"/>
      <c r="G460" s="180"/>
      <c r="H460" s="181"/>
      <c r="I460" s="4"/>
      <c r="J460" s="4"/>
      <c r="K460" s="7" t="str">
        <f t="shared" si="54"/>
        <v/>
      </c>
      <c r="L460" s="8" t="str">
        <f t="shared" si="55"/>
        <v/>
      </c>
      <c r="M460" s="8" t="str">
        <f t="shared" si="56"/>
        <v/>
      </c>
      <c r="N460" s="8">
        <f t="shared" si="57"/>
        <v>0</v>
      </c>
      <c r="O460" s="8">
        <f t="shared" si="58"/>
        <v>0</v>
      </c>
      <c r="P460" s="9">
        <f t="shared" si="59"/>
        <v>0</v>
      </c>
      <c r="Q460"/>
      <c r="R460"/>
      <c r="S460"/>
    </row>
    <row r="461" spans="1:19" ht="16.5" thickBot="1" x14ac:dyDescent="0.3">
      <c r="A461" s="175"/>
      <c r="B461" s="170"/>
      <c r="C461" s="1" t="str">
        <f t="shared" si="53"/>
        <v/>
      </c>
      <c r="D461" s="179"/>
      <c r="E461" s="180"/>
      <c r="F461" s="186"/>
      <c r="G461" s="180"/>
      <c r="H461" s="181"/>
      <c r="I461" s="4"/>
      <c r="J461" s="4"/>
      <c r="K461" s="7" t="str">
        <f t="shared" si="54"/>
        <v/>
      </c>
      <c r="L461" s="8" t="str">
        <f t="shared" si="55"/>
        <v/>
      </c>
      <c r="M461" s="8" t="str">
        <f t="shared" si="56"/>
        <v/>
      </c>
      <c r="N461" s="8">
        <f t="shared" si="57"/>
        <v>0</v>
      </c>
      <c r="O461" s="8">
        <f t="shared" si="58"/>
        <v>0</v>
      </c>
      <c r="P461" s="9">
        <f t="shared" si="59"/>
        <v>0</v>
      </c>
      <c r="Q461"/>
      <c r="R461"/>
      <c r="S461"/>
    </row>
    <row r="462" spans="1:19" ht="16.5" thickBot="1" x14ac:dyDescent="0.3">
      <c r="A462" s="175"/>
      <c r="B462" s="170"/>
      <c r="C462" s="1" t="str">
        <f t="shared" si="53"/>
        <v/>
      </c>
      <c r="D462" s="179"/>
      <c r="E462" s="180"/>
      <c r="F462" s="186"/>
      <c r="G462" s="180"/>
      <c r="H462" s="181"/>
      <c r="I462" s="4"/>
      <c r="J462" s="4"/>
      <c r="K462" s="7" t="str">
        <f t="shared" si="54"/>
        <v/>
      </c>
      <c r="L462" s="8" t="str">
        <f t="shared" si="55"/>
        <v/>
      </c>
      <c r="M462" s="8" t="str">
        <f t="shared" si="56"/>
        <v/>
      </c>
      <c r="N462" s="8">
        <f t="shared" si="57"/>
        <v>0</v>
      </c>
      <c r="O462" s="8">
        <f t="shared" si="58"/>
        <v>0</v>
      </c>
      <c r="P462" s="9">
        <f t="shared" si="59"/>
        <v>0</v>
      </c>
      <c r="Q462"/>
      <c r="R462"/>
      <c r="S462"/>
    </row>
    <row r="463" spans="1:19" ht="16.5" thickBot="1" x14ac:dyDescent="0.3">
      <c r="A463" s="175"/>
      <c r="B463" s="170"/>
      <c r="C463" s="1" t="str">
        <f t="shared" ref="C463:C501" si="60">IF(AND(E463="M",F463&lt;&gt;""),LOOKUP(F463,$Q$1:$Q$100,$R$1:$R$100),IF(AND(E463="F",F463&lt;&gt;""),LOOKUP(F463,$Q$1:$Q$100,$S$1:$S$100),""))</f>
        <v/>
      </c>
      <c r="D463" s="179"/>
      <c r="E463" s="180"/>
      <c r="F463" s="186"/>
      <c r="G463" s="180"/>
      <c r="H463" s="181"/>
      <c r="I463" s="4"/>
      <c r="J463" s="4"/>
      <c r="K463" s="7" t="str">
        <f t="shared" si="54"/>
        <v/>
      </c>
      <c r="L463" s="8" t="str">
        <f t="shared" si="55"/>
        <v/>
      </c>
      <c r="M463" s="8" t="str">
        <f t="shared" si="56"/>
        <v/>
      </c>
      <c r="N463" s="8">
        <f t="shared" si="57"/>
        <v>0</v>
      </c>
      <c r="O463" s="8">
        <f t="shared" si="58"/>
        <v>0</v>
      </c>
      <c r="P463" s="9">
        <f t="shared" si="59"/>
        <v>0</v>
      </c>
      <c r="Q463"/>
      <c r="R463"/>
      <c r="S463"/>
    </row>
    <row r="464" spans="1:19" ht="16.5" thickBot="1" x14ac:dyDescent="0.3">
      <c r="A464" s="175"/>
      <c r="B464" s="170"/>
      <c r="C464" s="1" t="str">
        <f t="shared" si="60"/>
        <v/>
      </c>
      <c r="D464" s="179"/>
      <c r="E464" s="180"/>
      <c r="F464" s="186"/>
      <c r="G464" s="180"/>
      <c r="H464" s="181"/>
      <c r="I464" s="4"/>
      <c r="J464" s="4"/>
      <c r="K464" s="7" t="str">
        <f t="shared" si="54"/>
        <v/>
      </c>
      <c r="L464" s="8" t="str">
        <f t="shared" si="55"/>
        <v/>
      </c>
      <c r="M464" s="8" t="str">
        <f t="shared" si="56"/>
        <v/>
      </c>
      <c r="N464" s="8">
        <f t="shared" si="57"/>
        <v>0</v>
      </c>
      <c r="O464" s="8">
        <f t="shared" si="58"/>
        <v>0</v>
      </c>
      <c r="P464" s="9">
        <f t="shared" si="59"/>
        <v>0</v>
      </c>
      <c r="Q464"/>
      <c r="R464"/>
      <c r="S464"/>
    </row>
    <row r="465" spans="1:19" ht="16.5" thickBot="1" x14ac:dyDescent="0.3">
      <c r="A465" s="175"/>
      <c r="B465" s="170"/>
      <c r="C465" s="1" t="str">
        <f t="shared" si="60"/>
        <v/>
      </c>
      <c r="D465" s="179"/>
      <c r="E465" s="180"/>
      <c r="F465" s="186"/>
      <c r="G465" s="180"/>
      <c r="H465" s="181"/>
      <c r="I465" s="4"/>
      <c r="J465" s="4"/>
      <c r="K465" s="7" t="str">
        <f t="shared" si="54"/>
        <v/>
      </c>
      <c r="L465" s="8" t="str">
        <f t="shared" si="55"/>
        <v/>
      </c>
      <c r="M465" s="8" t="str">
        <f t="shared" si="56"/>
        <v/>
      </c>
      <c r="N465" s="8">
        <f t="shared" si="57"/>
        <v>0</v>
      </c>
      <c r="O465" s="8">
        <f t="shared" si="58"/>
        <v>0</v>
      </c>
      <c r="P465" s="9">
        <f t="shared" si="59"/>
        <v>0</v>
      </c>
      <c r="Q465"/>
      <c r="R465"/>
      <c r="S465"/>
    </row>
    <row r="466" spans="1:19" ht="16.5" thickBot="1" x14ac:dyDescent="0.3">
      <c r="A466" s="175"/>
      <c r="B466" s="170"/>
      <c r="C466" s="1" t="str">
        <f t="shared" si="60"/>
        <v/>
      </c>
      <c r="D466" s="179"/>
      <c r="E466" s="180"/>
      <c r="F466" s="186"/>
      <c r="G466" s="180"/>
      <c r="H466" s="181"/>
      <c r="I466" s="4"/>
      <c r="J466" s="4"/>
      <c r="K466" s="7" t="str">
        <f t="shared" si="54"/>
        <v/>
      </c>
      <c r="L466" s="8" t="str">
        <f t="shared" si="55"/>
        <v/>
      </c>
      <c r="M466" s="8" t="str">
        <f t="shared" si="56"/>
        <v/>
      </c>
      <c r="N466" s="8">
        <f t="shared" si="57"/>
        <v>0</v>
      </c>
      <c r="O466" s="8">
        <f t="shared" si="58"/>
        <v>0</v>
      </c>
      <c r="P466" s="9">
        <f t="shared" si="59"/>
        <v>0</v>
      </c>
      <c r="Q466"/>
      <c r="R466"/>
      <c r="S466"/>
    </row>
    <row r="467" spans="1:19" ht="16.5" thickBot="1" x14ac:dyDescent="0.3">
      <c r="A467" s="175"/>
      <c r="B467" s="170"/>
      <c r="C467" s="1" t="str">
        <f t="shared" si="60"/>
        <v/>
      </c>
      <c r="D467" s="179"/>
      <c r="E467" s="180"/>
      <c r="F467" s="186"/>
      <c r="G467" s="180"/>
      <c r="H467" s="181"/>
      <c r="I467" s="4"/>
      <c r="J467" s="4"/>
      <c r="K467" s="7" t="str">
        <f t="shared" si="54"/>
        <v/>
      </c>
      <c r="L467" s="8" t="str">
        <f t="shared" si="55"/>
        <v/>
      </c>
      <c r="M467" s="8" t="str">
        <f t="shared" si="56"/>
        <v/>
      </c>
      <c r="N467" s="8">
        <f t="shared" si="57"/>
        <v>0</v>
      </c>
      <c r="O467" s="8">
        <f t="shared" si="58"/>
        <v>0</v>
      </c>
      <c r="P467" s="9">
        <f t="shared" si="59"/>
        <v>0</v>
      </c>
      <c r="Q467"/>
      <c r="R467"/>
      <c r="S467"/>
    </row>
    <row r="468" spans="1:19" ht="16.5" thickBot="1" x14ac:dyDescent="0.3">
      <c r="A468" s="175"/>
      <c r="B468" s="170"/>
      <c r="C468" s="1" t="str">
        <f t="shared" si="60"/>
        <v/>
      </c>
      <c r="D468" s="179"/>
      <c r="E468" s="180"/>
      <c r="F468" s="186"/>
      <c r="G468" s="180"/>
      <c r="H468" s="181"/>
      <c r="I468" s="4"/>
      <c r="J468" s="4"/>
      <c r="K468" s="7" t="str">
        <f t="shared" si="54"/>
        <v/>
      </c>
      <c r="L468" s="8" t="str">
        <f t="shared" si="55"/>
        <v/>
      </c>
      <c r="M468" s="8" t="str">
        <f t="shared" si="56"/>
        <v/>
      </c>
      <c r="N468" s="8">
        <f t="shared" si="57"/>
        <v>0</v>
      </c>
      <c r="O468" s="8">
        <f t="shared" si="58"/>
        <v>0</v>
      </c>
      <c r="P468" s="9">
        <f t="shared" si="59"/>
        <v>0</v>
      </c>
      <c r="Q468"/>
      <c r="R468"/>
      <c r="S468"/>
    </row>
    <row r="469" spans="1:19" ht="16.5" thickBot="1" x14ac:dyDescent="0.3">
      <c r="A469" s="175"/>
      <c r="B469" s="170"/>
      <c r="C469" s="1" t="str">
        <f t="shared" si="60"/>
        <v/>
      </c>
      <c r="D469" s="179"/>
      <c r="E469" s="180"/>
      <c r="F469" s="186"/>
      <c r="G469" s="180"/>
      <c r="H469" s="181"/>
      <c r="I469" s="4"/>
      <c r="J469" s="4"/>
      <c r="K469" s="7" t="str">
        <f t="shared" si="54"/>
        <v/>
      </c>
      <c r="L469" s="8" t="str">
        <f t="shared" si="55"/>
        <v/>
      </c>
      <c r="M469" s="8" t="str">
        <f t="shared" si="56"/>
        <v/>
      </c>
      <c r="N469" s="8">
        <f t="shared" si="57"/>
        <v>0</v>
      </c>
      <c r="O469" s="8">
        <f t="shared" si="58"/>
        <v>0</v>
      </c>
      <c r="P469" s="9">
        <f t="shared" si="59"/>
        <v>0</v>
      </c>
      <c r="Q469"/>
      <c r="R469"/>
      <c r="S469"/>
    </row>
    <row r="470" spans="1:19" ht="16.5" thickBot="1" x14ac:dyDescent="0.3">
      <c r="A470" s="175"/>
      <c r="B470" s="170"/>
      <c r="C470" s="1" t="str">
        <f t="shared" si="60"/>
        <v/>
      </c>
      <c r="D470" s="179"/>
      <c r="E470" s="180"/>
      <c r="F470" s="186"/>
      <c r="G470" s="180"/>
      <c r="H470" s="181"/>
      <c r="I470" s="4"/>
      <c r="J470" s="4"/>
      <c r="K470" s="7" t="str">
        <f t="shared" si="54"/>
        <v/>
      </c>
      <c r="L470" s="8" t="str">
        <f t="shared" si="55"/>
        <v/>
      </c>
      <c r="M470" s="8" t="str">
        <f t="shared" si="56"/>
        <v/>
      </c>
      <c r="N470" s="8">
        <f t="shared" si="57"/>
        <v>0</v>
      </c>
      <c r="O470" s="8">
        <f t="shared" si="58"/>
        <v>0</v>
      </c>
      <c r="P470" s="9">
        <f t="shared" si="59"/>
        <v>0</v>
      </c>
      <c r="Q470"/>
      <c r="R470"/>
      <c r="S470"/>
    </row>
    <row r="471" spans="1:19" ht="16.5" thickBot="1" x14ac:dyDescent="0.3">
      <c r="A471" s="175"/>
      <c r="B471" s="170"/>
      <c r="C471" s="1" t="str">
        <f t="shared" si="60"/>
        <v/>
      </c>
      <c r="D471" s="179"/>
      <c r="E471" s="180"/>
      <c r="F471" s="186"/>
      <c r="G471" s="180"/>
      <c r="H471" s="181"/>
      <c r="I471" s="4"/>
      <c r="J471" s="4"/>
      <c r="K471" s="7" t="str">
        <f t="shared" si="54"/>
        <v/>
      </c>
      <c r="L471" s="8" t="str">
        <f t="shared" si="55"/>
        <v/>
      </c>
      <c r="M471" s="8" t="str">
        <f t="shared" si="56"/>
        <v/>
      </c>
      <c r="N471" s="8">
        <f t="shared" si="57"/>
        <v>0</v>
      </c>
      <c r="O471" s="8">
        <f t="shared" si="58"/>
        <v>0</v>
      </c>
      <c r="P471" s="9">
        <f t="shared" si="59"/>
        <v>0</v>
      </c>
      <c r="Q471"/>
      <c r="R471"/>
      <c r="S471"/>
    </row>
    <row r="472" spans="1:19" ht="16.5" thickBot="1" x14ac:dyDescent="0.3">
      <c r="A472" s="175"/>
      <c r="B472" s="170"/>
      <c r="C472" s="1" t="str">
        <f t="shared" si="60"/>
        <v/>
      </c>
      <c r="D472" s="179"/>
      <c r="E472" s="180"/>
      <c r="F472" s="186"/>
      <c r="G472" s="180"/>
      <c r="H472" s="181"/>
      <c r="I472" s="4"/>
      <c r="J472" s="4"/>
      <c r="K472" s="7" t="str">
        <f t="shared" si="54"/>
        <v/>
      </c>
      <c r="L472" s="8" t="str">
        <f t="shared" si="55"/>
        <v/>
      </c>
      <c r="M472" s="8" t="str">
        <f t="shared" si="56"/>
        <v/>
      </c>
      <c r="N472" s="8">
        <f t="shared" si="57"/>
        <v>0</v>
      </c>
      <c r="O472" s="8">
        <f t="shared" si="58"/>
        <v>0</v>
      </c>
      <c r="P472" s="9">
        <f t="shared" si="59"/>
        <v>0</v>
      </c>
      <c r="Q472"/>
      <c r="R472"/>
      <c r="S472"/>
    </row>
    <row r="473" spans="1:19" ht="16.5" thickBot="1" x14ac:dyDescent="0.3">
      <c r="A473" s="175"/>
      <c r="B473" s="170"/>
      <c r="C473" s="1" t="str">
        <f t="shared" si="60"/>
        <v/>
      </c>
      <c r="D473" s="179"/>
      <c r="E473" s="180"/>
      <c r="F473" s="186"/>
      <c r="G473" s="180"/>
      <c r="H473" s="181"/>
      <c r="I473" s="4"/>
      <c r="J473" s="4"/>
      <c r="K473" s="7" t="str">
        <f t="shared" si="54"/>
        <v/>
      </c>
      <c r="L473" s="8" t="str">
        <f t="shared" si="55"/>
        <v/>
      </c>
      <c r="M473" s="8" t="str">
        <f t="shared" si="56"/>
        <v/>
      </c>
      <c r="N473" s="8">
        <f t="shared" si="57"/>
        <v>0</v>
      </c>
      <c r="O473" s="8">
        <f t="shared" si="58"/>
        <v>0</v>
      </c>
      <c r="P473" s="9">
        <f t="shared" si="59"/>
        <v>0</v>
      </c>
      <c r="Q473"/>
      <c r="R473"/>
      <c r="S473"/>
    </row>
    <row r="474" spans="1:19" ht="16.5" thickBot="1" x14ac:dyDescent="0.3">
      <c r="A474" s="175"/>
      <c r="B474" s="170"/>
      <c r="C474" s="1" t="str">
        <f t="shared" si="60"/>
        <v/>
      </c>
      <c r="D474" s="179"/>
      <c r="E474" s="180"/>
      <c r="F474" s="186"/>
      <c r="G474" s="180"/>
      <c r="H474" s="181"/>
      <c r="I474" s="4"/>
      <c r="J474" s="4"/>
      <c r="K474" s="7" t="str">
        <f t="shared" si="54"/>
        <v/>
      </c>
      <c r="L474" s="8" t="str">
        <f t="shared" si="55"/>
        <v/>
      </c>
      <c r="M474" s="8" t="str">
        <f t="shared" si="56"/>
        <v/>
      </c>
      <c r="N474" s="8">
        <f t="shared" si="57"/>
        <v>0</v>
      </c>
      <c r="O474" s="8">
        <f t="shared" si="58"/>
        <v>0</v>
      </c>
      <c r="P474" s="9">
        <f t="shared" si="59"/>
        <v>0</v>
      </c>
      <c r="Q474"/>
      <c r="R474"/>
      <c r="S474"/>
    </row>
    <row r="475" spans="1:19" ht="16.5" thickBot="1" x14ac:dyDescent="0.3">
      <c r="A475" s="175"/>
      <c r="B475" s="170"/>
      <c r="C475" s="1" t="str">
        <f t="shared" si="60"/>
        <v/>
      </c>
      <c r="D475" s="179"/>
      <c r="E475" s="180"/>
      <c r="F475" s="186"/>
      <c r="G475" s="180"/>
      <c r="H475" s="181"/>
      <c r="I475" s="4"/>
      <c r="J475" s="4"/>
      <c r="K475" s="7" t="str">
        <f t="shared" si="54"/>
        <v/>
      </c>
      <c r="L475" s="8" t="str">
        <f t="shared" si="55"/>
        <v/>
      </c>
      <c r="M475" s="8" t="str">
        <f t="shared" si="56"/>
        <v/>
      </c>
      <c r="N475" s="8">
        <f t="shared" si="57"/>
        <v>0</v>
      </c>
      <c r="O475" s="8">
        <f t="shared" si="58"/>
        <v>0</v>
      </c>
      <c r="P475" s="9">
        <f t="shared" si="59"/>
        <v>0</v>
      </c>
      <c r="Q475"/>
      <c r="R475"/>
      <c r="S475"/>
    </row>
    <row r="476" spans="1:19" ht="16.5" thickBot="1" x14ac:dyDescent="0.3">
      <c r="A476" s="175"/>
      <c r="B476" s="170"/>
      <c r="C476" s="1" t="str">
        <f t="shared" si="60"/>
        <v/>
      </c>
      <c r="D476" s="179"/>
      <c r="E476" s="180"/>
      <c r="F476" s="186"/>
      <c r="G476" s="180"/>
      <c r="H476" s="181"/>
      <c r="I476" s="4"/>
      <c r="J476" s="4"/>
      <c r="K476" s="7" t="str">
        <f t="shared" si="54"/>
        <v/>
      </c>
      <c r="L476" s="8" t="str">
        <f t="shared" si="55"/>
        <v/>
      </c>
      <c r="M476" s="8" t="str">
        <f t="shared" si="56"/>
        <v/>
      </c>
      <c r="N476" s="8">
        <f t="shared" si="57"/>
        <v>0</v>
      </c>
      <c r="O476" s="8">
        <f t="shared" si="58"/>
        <v>0</v>
      </c>
      <c r="P476" s="9">
        <f t="shared" si="59"/>
        <v>0</v>
      </c>
      <c r="Q476"/>
      <c r="R476"/>
      <c r="S476"/>
    </row>
    <row r="477" spans="1:19" ht="16.5" thickBot="1" x14ac:dyDescent="0.3">
      <c r="A477" s="175"/>
      <c r="B477" s="170"/>
      <c r="C477" s="1" t="str">
        <f t="shared" si="60"/>
        <v/>
      </c>
      <c r="D477" s="179"/>
      <c r="E477" s="180"/>
      <c r="F477" s="186"/>
      <c r="G477" s="180"/>
      <c r="H477" s="181"/>
      <c r="I477" s="4"/>
      <c r="J477" s="4"/>
      <c r="K477" s="7" t="str">
        <f t="shared" si="54"/>
        <v/>
      </c>
      <c r="L477" s="8" t="str">
        <f t="shared" si="55"/>
        <v/>
      </c>
      <c r="M477" s="8" t="str">
        <f t="shared" si="56"/>
        <v/>
      </c>
      <c r="N477" s="8">
        <f t="shared" si="57"/>
        <v>0</v>
      </c>
      <c r="O477" s="8">
        <f t="shared" si="58"/>
        <v>0</v>
      </c>
      <c r="P477" s="9">
        <f t="shared" si="59"/>
        <v>0</v>
      </c>
      <c r="Q477"/>
      <c r="R477"/>
      <c r="S477"/>
    </row>
    <row r="478" spans="1:19" ht="16.5" thickBot="1" x14ac:dyDescent="0.3">
      <c r="A478" s="175"/>
      <c r="B478" s="170"/>
      <c r="C478" s="1" t="str">
        <f t="shared" si="60"/>
        <v/>
      </c>
      <c r="D478" s="179"/>
      <c r="E478" s="180"/>
      <c r="F478" s="186"/>
      <c r="G478" s="180"/>
      <c r="H478" s="181"/>
      <c r="I478" s="4"/>
      <c r="J478" s="4"/>
      <c r="K478" s="7" t="str">
        <f t="shared" si="54"/>
        <v/>
      </c>
      <c r="L478" s="8" t="str">
        <f t="shared" si="55"/>
        <v/>
      </c>
      <c r="M478" s="8" t="str">
        <f t="shared" si="56"/>
        <v/>
      </c>
      <c r="N478" s="8">
        <f t="shared" si="57"/>
        <v>0</v>
      </c>
      <c r="O478" s="8">
        <f t="shared" si="58"/>
        <v>0</v>
      </c>
      <c r="P478" s="9">
        <f t="shared" si="59"/>
        <v>0</v>
      </c>
      <c r="Q478"/>
      <c r="R478"/>
      <c r="S478"/>
    </row>
    <row r="479" spans="1:19" ht="16.5" thickBot="1" x14ac:dyDescent="0.3">
      <c r="A479" s="175"/>
      <c r="B479" s="170"/>
      <c r="C479" s="1" t="str">
        <f t="shared" si="60"/>
        <v/>
      </c>
      <c r="D479" s="179"/>
      <c r="E479" s="180"/>
      <c r="F479" s="186"/>
      <c r="G479" s="180"/>
      <c r="H479" s="181"/>
      <c r="I479" s="4"/>
      <c r="J479" s="4"/>
      <c r="K479" s="7" t="str">
        <f t="shared" si="54"/>
        <v/>
      </c>
      <c r="L479" s="8" t="str">
        <f t="shared" si="55"/>
        <v/>
      </c>
      <c r="M479" s="8" t="str">
        <f t="shared" si="56"/>
        <v/>
      </c>
      <c r="N479" s="8">
        <f t="shared" si="57"/>
        <v>0</v>
      </c>
      <c r="O479" s="8">
        <f t="shared" si="58"/>
        <v>0</v>
      </c>
      <c r="P479" s="9">
        <f t="shared" si="59"/>
        <v>0</v>
      </c>
      <c r="Q479"/>
      <c r="R479"/>
      <c r="S479"/>
    </row>
    <row r="480" spans="1:19" ht="16.5" thickBot="1" x14ac:dyDescent="0.3">
      <c r="A480" s="175"/>
      <c r="B480" s="170"/>
      <c r="C480" s="1" t="str">
        <f t="shared" si="60"/>
        <v/>
      </c>
      <c r="D480" s="179"/>
      <c r="E480" s="180"/>
      <c r="F480" s="186"/>
      <c r="G480" s="180"/>
      <c r="H480" s="181"/>
      <c r="I480" s="4"/>
      <c r="J480" s="4"/>
      <c r="K480" s="7" t="str">
        <f t="shared" si="54"/>
        <v/>
      </c>
      <c r="L480" s="8" t="str">
        <f t="shared" si="55"/>
        <v/>
      </c>
      <c r="M480" s="8" t="str">
        <f t="shared" si="56"/>
        <v/>
      </c>
      <c r="N480" s="8">
        <f t="shared" si="57"/>
        <v>0</v>
      </c>
      <c r="O480" s="8">
        <f t="shared" si="58"/>
        <v>0</v>
      </c>
      <c r="P480" s="9">
        <f t="shared" si="59"/>
        <v>0</v>
      </c>
      <c r="Q480"/>
      <c r="R480"/>
      <c r="S480"/>
    </row>
    <row r="481" spans="1:19" ht="16.5" thickBot="1" x14ac:dyDescent="0.3">
      <c r="A481" s="175"/>
      <c r="B481" s="170"/>
      <c r="C481" s="1" t="str">
        <f t="shared" si="60"/>
        <v/>
      </c>
      <c r="D481" s="179"/>
      <c r="E481" s="180"/>
      <c r="F481" s="186"/>
      <c r="G481" s="180"/>
      <c r="H481" s="181"/>
      <c r="I481" s="4"/>
      <c r="J481" s="4"/>
      <c r="K481" s="7" t="str">
        <f t="shared" si="54"/>
        <v/>
      </c>
      <c r="L481" s="8" t="str">
        <f t="shared" si="55"/>
        <v/>
      </c>
      <c r="M481" s="8" t="str">
        <f t="shared" si="56"/>
        <v/>
      </c>
      <c r="N481" s="8">
        <f t="shared" si="57"/>
        <v>0</v>
      </c>
      <c r="O481" s="8">
        <f t="shared" si="58"/>
        <v>0</v>
      </c>
      <c r="P481" s="9">
        <f t="shared" si="59"/>
        <v>0</v>
      </c>
      <c r="Q481"/>
      <c r="R481"/>
      <c r="S481"/>
    </row>
    <row r="482" spans="1:19" ht="16.5" thickBot="1" x14ac:dyDescent="0.3">
      <c r="A482" s="175"/>
      <c r="B482" s="170"/>
      <c r="C482" s="1" t="str">
        <f t="shared" si="60"/>
        <v/>
      </c>
      <c r="D482" s="179"/>
      <c r="E482" s="180"/>
      <c r="F482" s="186"/>
      <c r="G482" s="180"/>
      <c r="H482" s="181"/>
      <c r="I482" s="4"/>
      <c r="J482" s="4"/>
      <c r="K482" s="7" t="str">
        <f t="shared" si="54"/>
        <v/>
      </c>
      <c r="L482" s="8" t="str">
        <f t="shared" si="55"/>
        <v/>
      </c>
      <c r="M482" s="8" t="str">
        <f t="shared" si="56"/>
        <v/>
      </c>
      <c r="N482" s="8">
        <f t="shared" si="57"/>
        <v>0</v>
      </c>
      <c r="O482" s="8">
        <f t="shared" si="58"/>
        <v>0</v>
      </c>
      <c r="P482" s="9">
        <f t="shared" si="59"/>
        <v>0</v>
      </c>
      <c r="Q482"/>
      <c r="R482"/>
      <c r="S482"/>
    </row>
    <row r="483" spans="1:19" ht="16.5" thickBot="1" x14ac:dyDescent="0.3">
      <c r="A483" s="175"/>
      <c r="B483" s="170"/>
      <c r="C483" s="1" t="str">
        <f t="shared" si="60"/>
        <v/>
      </c>
      <c r="D483" s="179"/>
      <c r="E483" s="180"/>
      <c r="F483" s="186"/>
      <c r="G483" s="180"/>
      <c r="H483" s="181"/>
      <c r="I483" s="4"/>
      <c r="J483" s="4"/>
      <c r="K483" s="7" t="str">
        <f t="shared" si="54"/>
        <v/>
      </c>
      <c r="L483" s="8" t="str">
        <f t="shared" si="55"/>
        <v/>
      </c>
      <c r="M483" s="8" t="str">
        <f t="shared" si="56"/>
        <v/>
      </c>
      <c r="N483" s="8">
        <f t="shared" si="57"/>
        <v>0</v>
      </c>
      <c r="O483" s="8">
        <f t="shared" si="58"/>
        <v>0</v>
      </c>
      <c r="P483" s="9">
        <f t="shared" si="59"/>
        <v>0</v>
      </c>
      <c r="Q483"/>
      <c r="R483"/>
      <c r="S483"/>
    </row>
    <row r="484" spans="1:19" ht="16.5" thickBot="1" x14ac:dyDescent="0.3">
      <c r="A484" s="175"/>
      <c r="B484" s="170"/>
      <c r="C484" s="1" t="str">
        <f t="shared" si="60"/>
        <v/>
      </c>
      <c r="D484" s="179"/>
      <c r="E484" s="180"/>
      <c r="F484" s="186"/>
      <c r="G484" s="180"/>
      <c r="H484" s="181"/>
      <c r="I484" s="4"/>
      <c r="J484" s="4"/>
      <c r="K484" s="7" t="str">
        <f t="shared" si="54"/>
        <v/>
      </c>
      <c r="L484" s="8" t="str">
        <f t="shared" si="55"/>
        <v/>
      </c>
      <c r="M484" s="8" t="str">
        <f t="shared" si="56"/>
        <v/>
      </c>
      <c r="N484" s="8">
        <f t="shared" si="57"/>
        <v>0</v>
      </c>
      <c r="O484" s="8">
        <f t="shared" si="58"/>
        <v>0</v>
      </c>
      <c r="P484" s="9">
        <f t="shared" si="59"/>
        <v>0</v>
      </c>
      <c r="Q484"/>
      <c r="R484"/>
      <c r="S484"/>
    </row>
    <row r="485" spans="1:19" ht="16.5" thickBot="1" x14ac:dyDescent="0.3">
      <c r="A485" s="175"/>
      <c r="B485" s="170"/>
      <c r="C485" s="1" t="str">
        <f t="shared" si="60"/>
        <v/>
      </c>
      <c r="D485" s="179"/>
      <c r="E485" s="180"/>
      <c r="F485" s="186"/>
      <c r="G485" s="180"/>
      <c r="H485" s="181"/>
      <c r="I485" s="4"/>
      <c r="J485" s="4"/>
      <c r="K485" s="7" t="str">
        <f t="shared" si="54"/>
        <v/>
      </c>
      <c r="L485" s="8" t="str">
        <f t="shared" si="55"/>
        <v/>
      </c>
      <c r="M485" s="8" t="str">
        <f t="shared" si="56"/>
        <v/>
      </c>
      <c r="N485" s="8">
        <f t="shared" si="57"/>
        <v>0</v>
      </c>
      <c r="O485" s="8">
        <f t="shared" si="58"/>
        <v>0</v>
      </c>
      <c r="P485" s="9">
        <f t="shared" si="59"/>
        <v>0</v>
      </c>
      <c r="Q485"/>
      <c r="R485"/>
      <c r="S485"/>
    </row>
    <row r="486" spans="1:19" ht="16.5" thickBot="1" x14ac:dyDescent="0.3">
      <c r="A486" s="175"/>
      <c r="B486" s="170"/>
      <c r="C486" s="1" t="str">
        <f t="shared" si="60"/>
        <v/>
      </c>
      <c r="D486" s="179"/>
      <c r="E486" s="180"/>
      <c r="F486" s="186"/>
      <c r="G486" s="180"/>
      <c r="H486" s="181"/>
      <c r="I486" s="4"/>
      <c r="J486" s="4"/>
      <c r="K486" s="7" t="str">
        <f t="shared" si="54"/>
        <v/>
      </c>
      <c r="L486" s="8" t="str">
        <f t="shared" si="55"/>
        <v/>
      </c>
      <c r="M486" s="8" t="str">
        <f t="shared" si="56"/>
        <v/>
      </c>
      <c r="N486" s="8">
        <f t="shared" si="57"/>
        <v>0</v>
      </c>
      <c r="O486" s="8">
        <f t="shared" si="58"/>
        <v>0</v>
      </c>
      <c r="P486" s="9">
        <f t="shared" si="59"/>
        <v>0</v>
      </c>
      <c r="Q486"/>
      <c r="R486"/>
      <c r="S486"/>
    </row>
    <row r="487" spans="1:19" ht="16.5" thickBot="1" x14ac:dyDescent="0.3">
      <c r="A487" s="175"/>
      <c r="B487" s="170"/>
      <c r="C487" s="1" t="str">
        <f t="shared" si="60"/>
        <v/>
      </c>
      <c r="D487" s="179"/>
      <c r="E487" s="180"/>
      <c r="F487" s="186"/>
      <c r="G487" s="180"/>
      <c r="H487" s="181"/>
      <c r="I487" s="4"/>
      <c r="J487" s="4"/>
      <c r="K487" s="7" t="str">
        <f t="shared" si="54"/>
        <v/>
      </c>
      <c r="L487" s="8" t="str">
        <f t="shared" si="55"/>
        <v/>
      </c>
      <c r="M487" s="8" t="str">
        <f t="shared" si="56"/>
        <v/>
      </c>
      <c r="N487" s="8">
        <f t="shared" si="57"/>
        <v>0</v>
      </c>
      <c r="O487" s="8">
        <f t="shared" si="58"/>
        <v>0</v>
      </c>
      <c r="P487" s="9">
        <f t="shared" si="59"/>
        <v>0</v>
      </c>
      <c r="Q487"/>
      <c r="R487"/>
      <c r="S487"/>
    </row>
    <row r="488" spans="1:19" ht="16.5" thickBot="1" x14ac:dyDescent="0.3">
      <c r="A488" s="175"/>
      <c r="B488" s="170"/>
      <c r="C488" s="1" t="str">
        <f t="shared" si="60"/>
        <v/>
      </c>
      <c r="D488" s="179"/>
      <c r="E488" s="180"/>
      <c r="F488" s="186"/>
      <c r="G488" s="180"/>
      <c r="H488" s="181"/>
      <c r="I488" s="4"/>
      <c r="J488" s="4"/>
      <c r="K488" s="7" t="str">
        <f t="shared" si="54"/>
        <v/>
      </c>
      <c r="L488" s="8" t="str">
        <f t="shared" si="55"/>
        <v/>
      </c>
      <c r="M488" s="8" t="str">
        <f t="shared" si="56"/>
        <v/>
      </c>
      <c r="N488" s="8">
        <f t="shared" si="57"/>
        <v>0</v>
      </c>
      <c r="O488" s="8">
        <f t="shared" si="58"/>
        <v>0</v>
      </c>
      <c r="P488" s="9">
        <f t="shared" si="59"/>
        <v>0</v>
      </c>
      <c r="Q488"/>
      <c r="R488"/>
      <c r="S488"/>
    </row>
    <row r="489" spans="1:19" ht="16.5" thickBot="1" x14ac:dyDescent="0.3">
      <c r="A489" s="175"/>
      <c r="B489" s="170"/>
      <c r="C489" s="1" t="str">
        <f t="shared" si="60"/>
        <v/>
      </c>
      <c r="D489" s="179"/>
      <c r="E489" s="180"/>
      <c r="F489" s="186"/>
      <c r="G489" s="180"/>
      <c r="H489" s="181"/>
      <c r="I489" s="4"/>
      <c r="J489" s="4"/>
      <c r="K489" s="7" t="str">
        <f t="shared" si="54"/>
        <v/>
      </c>
      <c r="L489" s="8" t="str">
        <f t="shared" si="55"/>
        <v/>
      </c>
      <c r="M489" s="8" t="str">
        <f t="shared" si="56"/>
        <v/>
      </c>
      <c r="N489" s="8">
        <f t="shared" si="57"/>
        <v>0</v>
      </c>
      <c r="O489" s="8">
        <f t="shared" si="58"/>
        <v>0</v>
      </c>
      <c r="P489" s="9">
        <f t="shared" si="59"/>
        <v>0</v>
      </c>
      <c r="Q489"/>
      <c r="R489"/>
      <c r="S489"/>
    </row>
    <row r="490" spans="1:19" ht="16.5" thickBot="1" x14ac:dyDescent="0.3">
      <c r="A490" s="175"/>
      <c r="B490" s="170"/>
      <c r="C490" s="1" t="str">
        <f t="shared" si="60"/>
        <v/>
      </c>
      <c r="D490" s="179"/>
      <c r="E490" s="180"/>
      <c r="F490" s="186"/>
      <c r="G490" s="180"/>
      <c r="H490" s="181"/>
      <c r="I490" s="4"/>
      <c r="J490" s="4"/>
      <c r="K490" s="7" t="str">
        <f t="shared" si="54"/>
        <v/>
      </c>
      <c r="L490" s="8" t="str">
        <f t="shared" si="55"/>
        <v/>
      </c>
      <c r="M490" s="8" t="str">
        <f t="shared" si="56"/>
        <v/>
      </c>
      <c r="N490" s="8">
        <f t="shared" si="57"/>
        <v>0</v>
      </c>
      <c r="O490" s="8">
        <f t="shared" si="58"/>
        <v>0</v>
      </c>
      <c r="P490" s="9">
        <f t="shared" si="59"/>
        <v>0</v>
      </c>
      <c r="Q490"/>
      <c r="R490"/>
      <c r="S490"/>
    </row>
    <row r="491" spans="1:19" ht="16.5" thickBot="1" x14ac:dyDescent="0.3">
      <c r="A491" s="175"/>
      <c r="B491" s="170"/>
      <c r="C491" s="1" t="str">
        <f t="shared" si="60"/>
        <v/>
      </c>
      <c r="D491" s="179"/>
      <c r="E491" s="180"/>
      <c r="F491" s="186"/>
      <c r="G491" s="180"/>
      <c r="H491" s="181"/>
      <c r="I491" s="4"/>
      <c r="J491" s="4"/>
      <c r="K491" s="7" t="str">
        <f t="shared" si="54"/>
        <v/>
      </c>
      <c r="L491" s="8" t="str">
        <f t="shared" si="55"/>
        <v/>
      </c>
      <c r="M491" s="8" t="str">
        <f t="shared" si="56"/>
        <v/>
      </c>
      <c r="N491" s="8">
        <f t="shared" si="57"/>
        <v>0</v>
      </c>
      <c r="O491" s="8">
        <f t="shared" si="58"/>
        <v>0</v>
      </c>
      <c r="P491" s="9">
        <f t="shared" si="59"/>
        <v>0</v>
      </c>
      <c r="Q491"/>
      <c r="R491"/>
      <c r="S491"/>
    </row>
    <row r="492" spans="1:19" ht="16.5" thickBot="1" x14ac:dyDescent="0.3">
      <c r="A492" s="175"/>
      <c r="B492" s="170"/>
      <c r="C492" s="1" t="str">
        <f t="shared" si="60"/>
        <v/>
      </c>
      <c r="D492" s="179"/>
      <c r="E492" s="180"/>
      <c r="F492" s="186"/>
      <c r="G492" s="180"/>
      <c r="H492" s="181"/>
      <c r="I492" s="4"/>
      <c r="J492" s="4"/>
      <c r="K492" s="7" t="str">
        <f t="shared" si="54"/>
        <v/>
      </c>
      <c r="L492" s="8" t="str">
        <f t="shared" si="55"/>
        <v/>
      </c>
      <c r="M492" s="8" t="str">
        <f t="shared" si="56"/>
        <v/>
      </c>
      <c r="N492" s="8">
        <f t="shared" si="57"/>
        <v>0</v>
      </c>
      <c r="O492" s="8">
        <f t="shared" si="58"/>
        <v>0</v>
      </c>
      <c r="P492" s="9">
        <f t="shared" si="59"/>
        <v>0</v>
      </c>
      <c r="Q492"/>
      <c r="R492"/>
      <c r="S492"/>
    </row>
    <row r="493" spans="1:19" ht="16.5" thickBot="1" x14ac:dyDescent="0.3">
      <c r="A493" s="175"/>
      <c r="B493" s="170"/>
      <c r="C493" s="1" t="str">
        <f t="shared" si="60"/>
        <v/>
      </c>
      <c r="D493" s="179"/>
      <c r="E493" s="180"/>
      <c r="F493" s="186"/>
      <c r="G493" s="180"/>
      <c r="H493" s="181"/>
      <c r="I493" s="4"/>
      <c r="J493" s="4"/>
      <c r="K493" s="7" t="str">
        <f t="shared" si="54"/>
        <v/>
      </c>
      <c r="L493" s="8" t="str">
        <f t="shared" si="55"/>
        <v/>
      </c>
      <c r="M493" s="8" t="str">
        <f t="shared" si="56"/>
        <v/>
      </c>
      <c r="N493" s="8">
        <f t="shared" si="57"/>
        <v>0</v>
      </c>
      <c r="O493" s="8">
        <f t="shared" si="58"/>
        <v>0</v>
      </c>
      <c r="P493" s="9">
        <f t="shared" si="59"/>
        <v>0</v>
      </c>
      <c r="Q493"/>
      <c r="R493"/>
      <c r="S493"/>
    </row>
    <row r="494" spans="1:19" ht="16.5" thickBot="1" x14ac:dyDescent="0.3">
      <c r="A494" s="175"/>
      <c r="B494" s="170"/>
      <c r="C494" s="1" t="str">
        <f t="shared" si="60"/>
        <v/>
      </c>
      <c r="D494" s="179"/>
      <c r="E494" s="180"/>
      <c r="F494" s="186"/>
      <c r="G494" s="180"/>
      <c r="H494" s="181"/>
      <c r="I494" s="4"/>
      <c r="J494" s="4"/>
      <c r="K494" s="7" t="str">
        <f t="shared" si="54"/>
        <v/>
      </c>
      <c r="L494" s="8" t="str">
        <f t="shared" si="55"/>
        <v/>
      </c>
      <c r="M494" s="8" t="str">
        <f t="shared" si="56"/>
        <v/>
      </c>
      <c r="N494" s="8">
        <f t="shared" si="57"/>
        <v>0</v>
      </c>
      <c r="O494" s="8">
        <f t="shared" si="58"/>
        <v>0</v>
      </c>
      <c r="P494" s="9">
        <f t="shared" si="59"/>
        <v>0</v>
      </c>
      <c r="Q494"/>
      <c r="R494"/>
      <c r="S494"/>
    </row>
    <row r="495" spans="1:19" ht="16.5" thickBot="1" x14ac:dyDescent="0.3">
      <c r="A495" s="175"/>
      <c r="B495" s="170"/>
      <c r="C495" s="1" t="str">
        <f t="shared" si="60"/>
        <v/>
      </c>
      <c r="D495" s="179"/>
      <c r="E495" s="180"/>
      <c r="F495" s="186"/>
      <c r="G495" s="180"/>
      <c r="H495" s="181"/>
      <c r="I495" s="4"/>
      <c r="J495" s="4"/>
      <c r="K495" s="7" t="str">
        <f t="shared" si="54"/>
        <v/>
      </c>
      <c r="L495" s="8" t="str">
        <f t="shared" si="55"/>
        <v/>
      </c>
      <c r="M495" s="8" t="str">
        <f t="shared" si="56"/>
        <v/>
      </c>
      <c r="N495" s="8">
        <f t="shared" si="57"/>
        <v>0</v>
      </c>
      <c r="O495" s="8">
        <f t="shared" si="58"/>
        <v>0</v>
      </c>
      <c r="P495" s="9">
        <f t="shared" si="59"/>
        <v>0</v>
      </c>
      <c r="Q495"/>
      <c r="R495"/>
      <c r="S495"/>
    </row>
    <row r="496" spans="1:19" ht="16.5" thickBot="1" x14ac:dyDescent="0.3">
      <c r="A496" s="175"/>
      <c r="B496" s="170"/>
      <c r="C496" s="1" t="str">
        <f t="shared" si="60"/>
        <v/>
      </c>
      <c r="D496" s="179"/>
      <c r="E496" s="180"/>
      <c r="F496" s="186"/>
      <c r="G496" s="180"/>
      <c r="H496" s="181"/>
      <c r="I496" s="4"/>
      <c r="J496" s="4"/>
      <c r="K496" s="7" t="str">
        <f t="shared" si="54"/>
        <v/>
      </c>
      <c r="L496" s="8" t="str">
        <f t="shared" si="55"/>
        <v/>
      </c>
      <c r="M496" s="8" t="str">
        <f t="shared" si="56"/>
        <v/>
      </c>
      <c r="N496" s="8">
        <f t="shared" si="57"/>
        <v>0</v>
      </c>
      <c r="O496" s="8">
        <f t="shared" si="58"/>
        <v>0</v>
      </c>
      <c r="P496" s="9">
        <f t="shared" si="59"/>
        <v>0</v>
      </c>
      <c r="Q496"/>
      <c r="R496"/>
      <c r="S496"/>
    </row>
    <row r="497" spans="1:19" ht="16.5" thickBot="1" x14ac:dyDescent="0.3">
      <c r="A497" s="175"/>
      <c r="B497" s="170"/>
      <c r="C497" s="1" t="str">
        <f t="shared" si="60"/>
        <v/>
      </c>
      <c r="D497" s="179"/>
      <c r="E497" s="180"/>
      <c r="F497" s="186"/>
      <c r="G497" s="180"/>
      <c r="H497" s="181"/>
      <c r="I497" s="4"/>
      <c r="J497" s="4"/>
      <c r="K497" s="7" t="str">
        <f t="shared" si="54"/>
        <v/>
      </c>
      <c r="L497" s="8" t="str">
        <f t="shared" si="55"/>
        <v/>
      </c>
      <c r="M497" s="8" t="str">
        <f t="shared" si="56"/>
        <v/>
      </c>
      <c r="N497" s="8">
        <f t="shared" si="57"/>
        <v>0</v>
      </c>
      <c r="O497" s="8">
        <f t="shared" si="58"/>
        <v>0</v>
      </c>
      <c r="P497" s="9">
        <f t="shared" si="59"/>
        <v>0</v>
      </c>
      <c r="Q497"/>
      <c r="R497"/>
      <c r="S497"/>
    </row>
    <row r="498" spans="1:19" ht="16.5" thickBot="1" x14ac:dyDescent="0.3">
      <c r="A498" s="175"/>
      <c r="B498" s="170"/>
      <c r="C498" s="1" t="str">
        <f t="shared" si="60"/>
        <v/>
      </c>
      <c r="D498" s="179"/>
      <c r="E498" s="180"/>
      <c r="F498" s="186"/>
      <c r="G498" s="180"/>
      <c r="H498" s="181"/>
      <c r="I498" s="4"/>
      <c r="J498" s="4"/>
      <c r="K498" s="7" t="str">
        <f t="shared" si="54"/>
        <v/>
      </c>
      <c r="L498" s="8" t="str">
        <f t="shared" si="55"/>
        <v/>
      </c>
      <c r="M498" s="8" t="str">
        <f t="shared" si="56"/>
        <v/>
      </c>
      <c r="N498" s="8">
        <f t="shared" si="57"/>
        <v>0</v>
      </c>
      <c r="O498" s="8">
        <f t="shared" si="58"/>
        <v>0</v>
      </c>
      <c r="P498" s="9">
        <f t="shared" si="59"/>
        <v>0</v>
      </c>
      <c r="Q498"/>
      <c r="R498"/>
      <c r="S498"/>
    </row>
    <row r="499" spans="1:19" ht="16.5" thickBot="1" x14ac:dyDescent="0.3">
      <c r="A499" s="175"/>
      <c r="B499" s="170"/>
      <c r="C499" s="1" t="str">
        <f t="shared" si="60"/>
        <v/>
      </c>
      <c r="D499" s="179"/>
      <c r="E499" s="180"/>
      <c r="F499" s="186"/>
      <c r="G499" s="180"/>
      <c r="H499" s="181"/>
      <c r="I499" s="4"/>
      <c r="J499" s="4"/>
      <c r="K499" s="7" t="str">
        <f t="shared" si="54"/>
        <v/>
      </c>
      <c r="L499" s="8" t="str">
        <f t="shared" si="55"/>
        <v/>
      </c>
      <c r="M499" s="8" t="str">
        <f t="shared" si="56"/>
        <v/>
      </c>
      <c r="N499" s="8">
        <f t="shared" si="57"/>
        <v>0</v>
      </c>
      <c r="O499" s="8">
        <f t="shared" si="58"/>
        <v>0</v>
      </c>
      <c r="P499" s="9">
        <f t="shared" si="59"/>
        <v>0</v>
      </c>
      <c r="Q499"/>
      <c r="R499"/>
      <c r="S499"/>
    </row>
    <row r="500" spans="1:19" ht="16.5" thickBot="1" x14ac:dyDescent="0.3">
      <c r="A500" s="175"/>
      <c r="B500" s="170"/>
      <c r="C500" s="1" t="str">
        <f t="shared" si="60"/>
        <v/>
      </c>
      <c r="D500" s="179"/>
      <c r="E500" s="180"/>
      <c r="F500" s="186"/>
      <c r="G500" s="180"/>
      <c r="H500" s="181"/>
      <c r="I500" s="4"/>
      <c r="J500" s="4"/>
      <c r="K500" s="7" t="str">
        <f t="shared" si="54"/>
        <v/>
      </c>
      <c r="L500" s="8" t="str">
        <f t="shared" si="55"/>
        <v/>
      </c>
      <c r="M500" s="8" t="str">
        <f t="shared" si="56"/>
        <v/>
      </c>
      <c r="N500" s="8">
        <f t="shared" si="57"/>
        <v>0</v>
      </c>
      <c r="O500" s="8">
        <f t="shared" si="58"/>
        <v>0</v>
      </c>
      <c r="P500" s="9">
        <f t="shared" si="59"/>
        <v>0</v>
      </c>
      <c r="Q500"/>
      <c r="R500"/>
      <c r="S500"/>
    </row>
    <row r="501" spans="1:19" x14ac:dyDescent="0.25">
      <c r="A501" s="175"/>
      <c r="B501" s="170"/>
      <c r="C501" s="1" t="str">
        <f t="shared" si="60"/>
        <v/>
      </c>
      <c r="D501" s="179"/>
      <c r="E501" s="180"/>
      <c r="F501" s="186"/>
      <c r="G501" s="180"/>
      <c r="H501" s="181"/>
      <c r="I501" s="4"/>
      <c r="J501" s="4"/>
      <c r="K501" s="7" t="str">
        <f t="shared" si="54"/>
        <v/>
      </c>
      <c r="L501" s="8" t="str">
        <f t="shared" si="55"/>
        <v/>
      </c>
      <c r="M501" s="8" t="str">
        <f t="shared" si="56"/>
        <v/>
      </c>
      <c r="N501" s="8">
        <f t="shared" si="57"/>
        <v>0</v>
      </c>
      <c r="O501" s="8">
        <f t="shared" si="58"/>
        <v>0</v>
      </c>
      <c r="P501" s="9">
        <f t="shared" si="59"/>
        <v>0</v>
      </c>
      <c r="Q501"/>
      <c r="R501"/>
      <c r="S501"/>
    </row>
  </sheetData>
  <sheetProtection algorithmName="SHA-512" hashValue="VNWxHBWZUlmxyYOpVb19gj0VO6JZ2PTRYb3xc6hFw1I08ROwdzW33fty2aQ4o8PBdt/fvOPGFOyGSm9LsMSZlQ==" saltValue="6gzScePJd+kRNuu1Jx21iw==" spinCount="100000" sheet="1" objects="1" scenarios="1"/>
  <autoFilter ref="A1:S501" xr:uid="{00000000-0009-0000-0000-000001000000}"/>
  <sortState xmlns:xlrd2="http://schemas.microsoft.com/office/spreadsheetml/2017/richdata2" ref="A2:H333">
    <sortCondition ref="A1"/>
  </sortState>
  <phoneticPr fontId="6" type="noConversion"/>
  <pageMargins left="0.75" right="0.75" top="1" bottom="1" header="0.5" footer="0.5"/>
  <pageSetup paperSize="9" scale="75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4" tint="0.79998168889431442"/>
  </sheetPr>
  <dimension ref="A1:AQ508"/>
  <sheetViews>
    <sheetView tabSelected="1" topLeftCell="C1" zoomScaleNormal="100" workbookViewId="0">
      <selection activeCell="K4" sqref="K4"/>
    </sheetView>
  </sheetViews>
  <sheetFormatPr defaultRowHeight="15.75" x14ac:dyDescent="0.25"/>
  <cols>
    <col min="1" max="1" width="11.125" style="2" hidden="1" customWidth="1"/>
    <col min="2" max="2" width="13.625" style="2" hidden="1" customWidth="1"/>
    <col min="3" max="3" width="3.75" style="2" customWidth="1"/>
    <col min="4" max="4" width="6.75" style="2" customWidth="1"/>
    <col min="5" max="8" width="6.75" style="2" hidden="1" customWidth="1"/>
    <col min="9" max="9" width="6.75" style="51" hidden="1" customWidth="1"/>
    <col min="10" max="10" width="6.75" style="56" hidden="1" customWidth="1"/>
    <col min="11" max="11" width="23.375" style="61" customWidth="1"/>
    <col min="12" max="12" width="22.625" style="61" customWidth="1"/>
    <col min="13" max="13" width="4.5" style="13" customWidth="1"/>
    <col min="14" max="14" width="4.625" style="123" customWidth="1"/>
    <col min="15" max="15" width="4.375" style="124" customWidth="1"/>
    <col min="16" max="16" width="4.5" style="13" hidden="1" customWidth="1"/>
    <col min="17" max="17" width="4.625" style="123" hidden="1" customWidth="1"/>
    <col min="18" max="19" width="7.875" style="149" hidden="1" customWidth="1"/>
    <col min="20" max="20" width="9.5" style="149" hidden="1" customWidth="1"/>
    <col min="21" max="22" width="9" style="150" hidden="1" customWidth="1"/>
    <col min="23" max="23" width="11.125" style="150" hidden="1" customWidth="1"/>
    <col min="24" max="24" width="10" style="150" hidden="1" customWidth="1"/>
    <col min="25" max="26" width="9" style="56" hidden="1" customWidth="1"/>
    <col min="27" max="27" width="6.75" style="51" hidden="1" customWidth="1"/>
    <col min="28" max="28" width="11.375" style="51" hidden="1" customWidth="1"/>
    <col min="29" max="29" width="15.875" style="56" hidden="1" customWidth="1"/>
    <col min="30" max="30" width="17.875" style="51" hidden="1" customWidth="1"/>
    <col min="31" max="31" width="13.75" style="61" hidden="1" customWidth="1"/>
    <col min="32" max="32" width="10.25" style="56" hidden="1" customWidth="1"/>
    <col min="33" max="33" width="9" style="51" hidden="1" customWidth="1"/>
    <col min="34" max="34" width="20.25" style="55" hidden="1" customWidth="1"/>
    <col min="35" max="35" width="11.625" style="51" hidden="1" customWidth="1"/>
    <col min="36" max="37" width="13.875" style="51" hidden="1" customWidth="1"/>
    <col min="38" max="38" width="12" style="51" hidden="1" customWidth="1"/>
    <col min="39" max="39" width="26.625" style="51" hidden="1" customWidth="1"/>
    <col min="40" max="42" width="15" style="51" hidden="1" customWidth="1"/>
    <col min="43" max="43" width="19.875" style="51" hidden="1" customWidth="1"/>
    <col min="44" max="45" width="9" customWidth="1"/>
  </cols>
  <sheetData>
    <row r="1" spans="1:43" x14ac:dyDescent="0.25">
      <c r="A1" s="99" t="s">
        <v>28</v>
      </c>
      <c r="B1" s="99" t="s">
        <v>30</v>
      </c>
      <c r="C1" s="100" t="s">
        <v>0</v>
      </c>
      <c r="D1" s="99" t="s">
        <v>8</v>
      </c>
      <c r="E1" s="99" t="s">
        <v>9</v>
      </c>
      <c r="F1" s="99" t="s">
        <v>27</v>
      </c>
      <c r="G1" s="99" t="s">
        <v>29</v>
      </c>
      <c r="H1" s="99" t="s">
        <v>42</v>
      </c>
      <c r="I1" s="101" t="s">
        <v>1</v>
      </c>
      <c r="J1" s="101" t="s">
        <v>22</v>
      </c>
      <c r="K1" s="101" t="s">
        <v>2</v>
      </c>
      <c r="L1" s="101" t="s">
        <v>3</v>
      </c>
      <c r="M1" s="118"/>
      <c r="N1" s="118" t="s">
        <v>4</v>
      </c>
      <c r="O1" s="119"/>
      <c r="P1" s="151"/>
      <c r="Q1" s="151"/>
      <c r="R1" s="141"/>
      <c r="S1" s="141"/>
      <c r="T1" s="141"/>
      <c r="U1" s="141"/>
      <c r="V1" s="141"/>
      <c r="W1" s="141"/>
      <c r="X1" s="142"/>
      <c r="Y1" s="53" t="s">
        <v>4</v>
      </c>
      <c r="Z1" s="53"/>
      <c r="AA1" s="49" t="s">
        <v>37</v>
      </c>
      <c r="AB1" s="49" t="s">
        <v>1240</v>
      </c>
      <c r="AC1" s="57" t="s">
        <v>85</v>
      </c>
      <c r="AD1" s="57" t="s">
        <v>75</v>
      </c>
      <c r="AE1" s="59" t="s">
        <v>76</v>
      </c>
      <c r="AF1" s="59" t="s">
        <v>77</v>
      </c>
      <c r="AG1" s="49" t="s">
        <v>78</v>
      </c>
      <c r="AH1" s="63" t="s">
        <v>3</v>
      </c>
      <c r="AI1" s="63" t="s">
        <v>82</v>
      </c>
      <c r="AJ1" s="63" t="s">
        <v>83</v>
      </c>
      <c r="AK1" s="63" t="s">
        <v>106</v>
      </c>
      <c r="AL1" s="63" t="s">
        <v>107</v>
      </c>
      <c r="AM1" s="63" t="s">
        <v>143</v>
      </c>
      <c r="AN1" s="63" t="s">
        <v>144</v>
      </c>
      <c r="AO1" s="63" t="s">
        <v>145</v>
      </c>
      <c r="AP1" s="63" t="s">
        <v>146</v>
      </c>
      <c r="AQ1" s="63" t="s">
        <v>147</v>
      </c>
    </row>
    <row r="2" spans="1:43" x14ac:dyDescent="0.25">
      <c r="A2" s="12" t="str">
        <f>IF(Z2="RESM",Z2,IF(Z2="RESF",Z2,CONCATENATE(H2,",",F2)))</f>
        <v>,1</v>
      </c>
      <c r="B2" s="12" t="str">
        <f>CONCATENATE(J2,",",G2)</f>
        <v>M,1</v>
      </c>
      <c r="C2" s="10">
        <v>1</v>
      </c>
      <c r="D2" s="171">
        <v>68</v>
      </c>
      <c r="E2" s="12">
        <f t="shared" ref="E2:E65" si="0">IF(D2="",0,COUNTIF(K:K,K2))</f>
        <v>1</v>
      </c>
      <c r="F2" s="12">
        <f>COUNTIF(H$2:H2,H2)</f>
        <v>1</v>
      </c>
      <c r="G2" s="12">
        <f>COUNTIF(J$2:J2,J2)</f>
        <v>1</v>
      </c>
      <c r="H2" s="12" t="str">
        <f t="shared" ref="H2:H67" si="1">IF(G2&gt;3,I2,"")</f>
        <v/>
      </c>
      <c r="I2" s="50" t="str">
        <f t="shared" ref="I2:I67" si="2">IF(ISNA(VLOOKUP($D2,Runner,3,FALSE)),IF(ISNA(VLOOKUP($D2,Code,3,FALSE)),"",VLOOKUP($D2,Code,3,FALSE)),VLOOKUP($D2,Runner,3,FALSE))</f>
        <v>SM</v>
      </c>
      <c r="J2" s="50" t="str">
        <f t="shared" ref="J2:J67" si="3">IF(ISNA(VLOOKUP($D2,Runner,5,FALSE)),IF(ISNA(VLOOKUP($D2,Code,5,FALSE)),"",VLOOKUP($D2,Code,5,FALSE)),VLOOKUP($D2,Runner,5,FALSE))</f>
        <v>M</v>
      </c>
      <c r="K2" s="64" t="str">
        <f t="shared" ref="K2:K67" si="4">TRIM(IF(ISNA(VLOOKUP($D2,Runner,2,FALSE)),IF(ISNA(VLOOKUP($D2,Code,2,FALSE)),"",VLOOKUP($D2,Code,2,FALSE)),VLOOKUP($D2,Runner,2,FALSE)))</f>
        <v>Euan Brown</v>
      </c>
      <c r="L2" s="64" t="str">
        <f t="shared" ref="L2:L67" si="5">IF(ISNA(VLOOKUP($D2,Runner,4,FALSE)),IF(ISNA(VLOOKUP($D2,Code,4,FALSE)),"",VLOOKUP($D2,Code,4,FALSE)),VLOOKUP($D2,Runner,4,FALSE))</f>
        <v>East London Runners</v>
      </c>
      <c r="M2" s="171">
        <v>0</v>
      </c>
      <c r="N2" s="178">
        <v>15</v>
      </c>
      <c r="O2" s="178">
        <v>48</v>
      </c>
      <c r="P2" s="138">
        <f>IF(LEN(TRIM(M2))=0,P1,M2)</f>
        <v>0</v>
      </c>
      <c r="Q2" s="137">
        <f>IF(N2="",Q1,N2)</f>
        <v>15</v>
      </c>
      <c r="R2" s="143"/>
      <c r="S2" s="143"/>
      <c r="T2" s="143"/>
      <c r="U2" s="144"/>
      <c r="V2" s="144"/>
      <c r="W2" s="144"/>
      <c r="X2" s="145"/>
      <c r="Y2" s="152" t="str">
        <f>CONCATENATE(IF(P2=0,"  ",TEXT(P2,"#0")),IF(P2=0," ","."),IF(LEN(TRIM(Q2))=0,"  ",TEXT(Q2,"00")),IF(LEN(TRIM(Q2))=0,"","."),TEXT(O2,"00")," ")</f>
        <v xml:space="preserve">   15.48 </v>
      </c>
      <c r="Z2" s="136"/>
      <c r="AA2" s="50">
        <f t="shared" ref="AA2:AA67" si="6">IF(ISNA(VLOOKUP($D2,Runner,6,FALSE)),"",VLOOKUP($D2,Runner,6,FALSE))</f>
        <v>28</v>
      </c>
      <c r="AB2" s="129">
        <f t="shared" ref="AB2:AB67" si="7">IF(ISNA(VLOOKUP($D2,Runner,8,FALSE)),"",IF(VLOOKUP($D2,Runner,8,FALSE)=0,"",VLOOKUP($D2,Runner,8,FALSE)))</f>
        <v>32968</v>
      </c>
      <c r="AC2" s="58" t="str">
        <f>IF(AG2&lt;&gt;"",CONCATENATE(J2,AG2),"")</f>
        <v/>
      </c>
      <c r="AD2" s="58" t="str">
        <f>CONCATENATE(J2,L2)</f>
        <v>MEast London Runners</v>
      </c>
      <c r="AE2" s="60">
        <f>IF(AD2="","",COUNTIF($AD$2:AD2,AD2))</f>
        <v>1</v>
      </c>
      <c r="AF2" s="62">
        <f>IF(AD2="","",SUMIF(AD$2:AD2,AD2,G$2:G2))</f>
        <v>1</v>
      </c>
      <c r="AG2" s="62" t="str">
        <f>IF(AK2&lt;&gt;"",COUNTIF($AK$1:AK1,AK2)+AK2,IF(AL2&lt;&gt;"",COUNTIF($AL$1:AL1,AL2)+AL2,""))</f>
        <v/>
      </c>
      <c r="AH2" s="62" t="str">
        <f>L2</f>
        <v>East London Runners</v>
      </c>
      <c r="AI2" s="62" t="str">
        <f>IF(AND(J2="M", AH2&lt;&gt;"U/A",AE2=Prizewinners!$J$1),AF2,"")</f>
        <v/>
      </c>
      <c r="AJ2" s="58" t="str">
        <f>IF(AND(J2="F",  AH2&lt;&gt;"U/A",AE2=Prizewinners!$J$16),AF2,"")</f>
        <v/>
      </c>
      <c r="AK2" s="58" t="str">
        <f>IF(AI2&lt;&gt;"",RANK(AI2,AI$2:AI$504,1),"")</f>
        <v/>
      </c>
      <c r="AL2" s="58" t="str">
        <f>IF(AJ2&lt;&gt;"",RANK(AJ2,AJ$2:AJ$504,1),"")</f>
        <v/>
      </c>
      <c r="AM2" s="58" t="str">
        <f>CONCATENATE(AD2,AE2)</f>
        <v>MEast London Runners1</v>
      </c>
      <c r="AN2" s="58" t="str">
        <f>IF(AG2&lt;&gt;"",VLOOKUP(CONCATENATE(AD2,"1"),Scoring_Team,5,FALSE),"")</f>
        <v/>
      </c>
      <c r="AO2" s="58" t="str">
        <f>IF(AG2&lt;&gt;"",VLOOKUP(CONCATENATE(AD2,"2"),Scoring_Team,5,FALSE),"")</f>
        <v/>
      </c>
      <c r="AP2" s="58" t="str">
        <f>IF(AG2&lt;&gt;"",VLOOKUP(CONCATENATE(AD2,"3"),Scoring_Team,5,FALSE),"")</f>
        <v/>
      </c>
      <c r="AQ2" s="58" t="str">
        <f>K2</f>
        <v>Euan Brown</v>
      </c>
    </row>
    <row r="3" spans="1:43" x14ac:dyDescent="0.25">
      <c r="A3" s="12" t="str">
        <f t="shared" ref="A3:A66" si="8">IF(Z3="RESM",Z3,IF(Z3="RESF",Z3,CONCATENATE(H3,",",F3)))</f>
        <v>,2</v>
      </c>
      <c r="B3" s="12" t="str">
        <f t="shared" ref="B3:B66" si="9">CONCATENATE(J3,",",G3)</f>
        <v>M,2</v>
      </c>
      <c r="C3" s="11">
        <v>2</v>
      </c>
      <c r="D3" s="171">
        <v>13</v>
      </c>
      <c r="E3" s="12">
        <f t="shared" si="0"/>
        <v>1</v>
      </c>
      <c r="F3" s="12">
        <f>COUNTIF(H$2:H3,H3)</f>
        <v>2</v>
      </c>
      <c r="G3" s="12">
        <f>COUNTIF(J$2:J3,J3)</f>
        <v>2</v>
      </c>
      <c r="H3" s="12" t="str">
        <f t="shared" si="1"/>
        <v/>
      </c>
      <c r="I3" s="50" t="str">
        <f t="shared" si="2"/>
        <v>VM40</v>
      </c>
      <c r="J3" s="50" t="str">
        <f t="shared" si="3"/>
        <v>M</v>
      </c>
      <c r="K3" s="64" t="str">
        <f t="shared" si="4"/>
        <v>Crispian Bloomfield</v>
      </c>
      <c r="L3" s="64" t="str">
        <f t="shared" si="5"/>
        <v>Billericay Striders</v>
      </c>
      <c r="M3" s="171">
        <v>0</v>
      </c>
      <c r="N3" s="178">
        <v>15</v>
      </c>
      <c r="O3" s="178">
        <v>54</v>
      </c>
      <c r="P3" s="138">
        <f t="shared" ref="P3:P66" si="10">IF(LEN(TRIM(M3))=0,P2,M3)</f>
        <v>0</v>
      </c>
      <c r="Q3" s="137">
        <f t="shared" ref="Q3:Q66" si="11">IF(N3="",Q2,N3)</f>
        <v>15</v>
      </c>
      <c r="R3" s="143"/>
      <c r="S3" s="143"/>
      <c r="T3" s="143"/>
      <c r="U3" s="144"/>
      <c r="V3" s="144"/>
      <c r="W3" s="144"/>
      <c r="X3" s="145"/>
      <c r="Y3" s="152" t="str">
        <f t="shared" ref="Y3:Y66" si="12">CONCATENATE(IF(P3=0,"  ",TEXT(P3,"#0")),IF(P3=0," ","."),IF(LEN(TRIM(Q3))=0,"  ",TEXT(Q3,"00")),IF(LEN(TRIM(Q3))=0,"","."),TEXT(O3,"00")," ")</f>
        <v xml:space="preserve">   15.54 </v>
      </c>
      <c r="Z3" s="136"/>
      <c r="AA3" s="50">
        <f t="shared" si="6"/>
        <v>42</v>
      </c>
      <c r="AB3" s="129">
        <f t="shared" si="7"/>
        <v>27879</v>
      </c>
      <c r="AC3" s="58" t="str">
        <f t="shared" ref="AC3:AC66" si="13">IF(AG3&lt;&gt;"",CONCATENATE(J3,AG3),"")</f>
        <v/>
      </c>
      <c r="AD3" s="58" t="str">
        <f t="shared" ref="AD3:AD66" si="14">CONCATENATE(J3,L3)</f>
        <v>MBillericay Striders</v>
      </c>
      <c r="AE3" s="60">
        <f>IF(AD3="","",COUNTIF($AD$2:AD3,AD3))</f>
        <v>1</v>
      </c>
      <c r="AF3" s="62">
        <f>IF(AD3="","",SUMIF(AD$2:AD3,AD3,G$2:G3))</f>
        <v>2</v>
      </c>
      <c r="AG3" s="62" t="str">
        <f>IF(AK3&lt;&gt;"",COUNTIF($AK$1:AK2,AK3)+AK3,IF(AL3&lt;&gt;"",COUNTIF($AL$1:AL2,AL3)+AL3,""))</f>
        <v/>
      </c>
      <c r="AH3" s="62" t="str">
        <f t="shared" ref="AH3:AH66" si="15">L3</f>
        <v>Billericay Striders</v>
      </c>
      <c r="AI3" s="62" t="str">
        <f>IF(AND(J3="M", AH3&lt;&gt;"U/A",AE3=Prizewinners!$J$1),AF3,"")</f>
        <v/>
      </c>
      <c r="AJ3" s="58" t="str">
        <f>IF(AND(J3="F",  AH3&lt;&gt;"U/A",AE3=Prizewinners!$J$16),AF3,"")</f>
        <v/>
      </c>
      <c r="AK3" s="58" t="str">
        <f t="shared" ref="AK3:AK66" si="16">IF(AI3&lt;&gt;"",RANK(AI3,AI$2:AI$504,1),"")</f>
        <v/>
      </c>
      <c r="AL3" s="58" t="str">
        <f t="shared" ref="AL3:AL66" si="17">IF(AJ3&lt;&gt;"",RANK(AJ3,AJ$2:AJ$504,1),"")</f>
        <v/>
      </c>
      <c r="AM3" s="58" t="str">
        <f t="shared" ref="AM3:AM66" si="18">CONCATENATE(AD3,AE3)</f>
        <v>MBillericay Striders1</v>
      </c>
      <c r="AN3" s="58" t="str">
        <f t="shared" ref="AN3:AN66" si="19">IF(AG3&lt;&gt;"",VLOOKUP(CONCATENATE(AD3,"1"),Scoring_Team,5,FALSE),"")</f>
        <v/>
      </c>
      <c r="AO3" s="58" t="str">
        <f t="shared" ref="AO3:AO66" si="20">IF(AG3&lt;&gt;"",VLOOKUP(CONCATENATE(AD3,"2"),Scoring_Team,5,FALSE),"")</f>
        <v/>
      </c>
      <c r="AP3" s="58" t="str">
        <f t="shared" ref="AP3:AP66" si="21">IF(AG3&lt;&gt;"",VLOOKUP(CONCATENATE(AD3,"3"),Scoring_Team,5,FALSE),"")</f>
        <v/>
      </c>
      <c r="AQ3" s="58" t="str">
        <f t="shared" ref="AQ3:AQ66" si="22">K3</f>
        <v>Crispian Bloomfield</v>
      </c>
    </row>
    <row r="4" spans="1:43" x14ac:dyDescent="0.25">
      <c r="A4" s="12" t="str">
        <f t="shared" si="8"/>
        <v>,3</v>
      </c>
      <c r="B4" s="12" t="str">
        <f t="shared" si="9"/>
        <v>M,3</v>
      </c>
      <c r="C4" s="11">
        <f t="shared" ref="C4:C68" si="23">C3+1</f>
        <v>3</v>
      </c>
      <c r="D4" s="171">
        <v>129</v>
      </c>
      <c r="E4" s="12">
        <f t="shared" si="0"/>
        <v>1</v>
      </c>
      <c r="F4" s="12">
        <f>COUNTIF(H$2:H4,H4)</f>
        <v>3</v>
      </c>
      <c r="G4" s="12">
        <f>COUNTIF(J$2:J4,J4)</f>
        <v>3</v>
      </c>
      <c r="H4" s="12" t="str">
        <f t="shared" si="1"/>
        <v/>
      </c>
      <c r="I4" s="50" t="str">
        <f t="shared" si="2"/>
        <v>SM</v>
      </c>
      <c r="J4" s="50" t="str">
        <f t="shared" si="3"/>
        <v>M</v>
      </c>
      <c r="K4" s="64" t="str">
        <f t="shared" si="4"/>
        <v>Alex Richards</v>
      </c>
      <c r="L4" s="64" t="str">
        <f t="shared" si="5"/>
        <v>Ilford AC</v>
      </c>
      <c r="M4" s="171">
        <v>0</v>
      </c>
      <c r="N4" s="178">
        <v>16</v>
      </c>
      <c r="O4" s="178">
        <v>4</v>
      </c>
      <c r="P4" s="138">
        <f t="shared" si="10"/>
        <v>0</v>
      </c>
      <c r="Q4" s="137">
        <f t="shared" si="11"/>
        <v>16</v>
      </c>
      <c r="R4" s="143"/>
      <c r="S4" s="143"/>
      <c r="T4" s="143"/>
      <c r="U4" s="144"/>
      <c r="V4" s="144"/>
      <c r="W4" s="144"/>
      <c r="X4" s="145"/>
      <c r="Y4" s="152" t="str">
        <f t="shared" si="12"/>
        <v xml:space="preserve">   16.04 </v>
      </c>
      <c r="Z4" s="136"/>
      <c r="AA4" s="50">
        <f t="shared" si="6"/>
        <v>24</v>
      </c>
      <c r="AB4" s="129">
        <f t="shared" si="7"/>
        <v>34286</v>
      </c>
      <c r="AC4" s="58" t="str">
        <f t="shared" si="13"/>
        <v/>
      </c>
      <c r="AD4" s="58" t="str">
        <f t="shared" si="14"/>
        <v>MIlford AC</v>
      </c>
      <c r="AE4" s="60">
        <f>IF(AD4="","",COUNTIF($AD$2:AD4,AD4))</f>
        <v>1</v>
      </c>
      <c r="AF4" s="62">
        <f>IF(AD4="","",SUMIF(AD$2:AD4,AD4,G$2:G4))</f>
        <v>3</v>
      </c>
      <c r="AG4" s="62" t="str">
        <f>IF(AK4&lt;&gt;"",COUNTIF($AK$1:AK3,AK4)+AK4,IF(AL4&lt;&gt;"",COUNTIF($AL$1:AL3,AL4)+AL4,""))</f>
        <v/>
      </c>
      <c r="AH4" s="62" t="str">
        <f t="shared" si="15"/>
        <v>Ilford AC</v>
      </c>
      <c r="AI4" s="62" t="str">
        <f>IF(AND(J4="M", AH4&lt;&gt;"U/A",AE4=Prizewinners!$J$1),AF4,"")</f>
        <v/>
      </c>
      <c r="AJ4" s="58" t="str">
        <f>IF(AND(J4="F",  AH4&lt;&gt;"U/A",AE4=Prizewinners!$J$16),AF4,"")</f>
        <v/>
      </c>
      <c r="AK4" s="58" t="str">
        <f t="shared" si="16"/>
        <v/>
      </c>
      <c r="AL4" s="58" t="str">
        <f t="shared" si="17"/>
        <v/>
      </c>
      <c r="AM4" s="58" t="str">
        <f t="shared" si="18"/>
        <v>MIlford AC1</v>
      </c>
      <c r="AN4" s="58" t="str">
        <f t="shared" si="19"/>
        <v/>
      </c>
      <c r="AO4" s="58" t="str">
        <f t="shared" si="20"/>
        <v/>
      </c>
      <c r="AP4" s="58" t="str">
        <f t="shared" si="21"/>
        <v/>
      </c>
      <c r="AQ4" s="58" t="str">
        <f t="shared" si="22"/>
        <v>Alex Richards</v>
      </c>
    </row>
    <row r="5" spans="1:43" x14ac:dyDescent="0.25">
      <c r="A5" s="12" t="str">
        <f t="shared" si="8"/>
        <v>SM,1</v>
      </c>
      <c r="B5" s="12" t="str">
        <f t="shared" si="9"/>
        <v>M,4</v>
      </c>
      <c r="C5" s="11">
        <f t="shared" si="23"/>
        <v>4</v>
      </c>
      <c r="D5" s="171">
        <v>119</v>
      </c>
      <c r="E5" s="12">
        <f t="shared" si="0"/>
        <v>1</v>
      </c>
      <c r="F5" s="12">
        <f>COUNTIF(H$2:H5,H5)</f>
        <v>1</v>
      </c>
      <c r="G5" s="12">
        <f>COUNTIF(J$2:J5,J5)</f>
        <v>4</v>
      </c>
      <c r="H5" s="12" t="str">
        <f t="shared" si="1"/>
        <v>SM</v>
      </c>
      <c r="I5" s="50" t="str">
        <f t="shared" si="2"/>
        <v>SM</v>
      </c>
      <c r="J5" s="50" t="str">
        <f t="shared" si="3"/>
        <v>M</v>
      </c>
      <c r="K5" s="64" t="str">
        <f t="shared" si="4"/>
        <v>Aaron Samuel</v>
      </c>
      <c r="L5" s="64" t="str">
        <f t="shared" si="5"/>
        <v>Ilford AC</v>
      </c>
      <c r="M5" s="171">
        <v>0</v>
      </c>
      <c r="N5" s="178">
        <v>16</v>
      </c>
      <c r="O5" s="178">
        <v>29</v>
      </c>
      <c r="P5" s="138">
        <f t="shared" si="10"/>
        <v>0</v>
      </c>
      <c r="Q5" s="137">
        <f t="shared" si="11"/>
        <v>16</v>
      </c>
      <c r="R5" s="143"/>
      <c r="S5" s="143"/>
      <c r="T5" s="143"/>
      <c r="U5" s="144"/>
      <c r="V5" s="144"/>
      <c r="W5" s="144"/>
      <c r="X5" s="145"/>
      <c r="Y5" s="152" t="str">
        <f t="shared" si="12"/>
        <v xml:space="preserve">   16.29 </v>
      </c>
      <c r="Z5" s="136"/>
      <c r="AA5" s="50">
        <f t="shared" si="6"/>
        <v>15</v>
      </c>
      <c r="AB5" s="129">
        <f t="shared" si="7"/>
        <v>37778</v>
      </c>
      <c r="AC5" s="58" t="str">
        <f t="shared" si="13"/>
        <v/>
      </c>
      <c r="AD5" s="58" t="str">
        <f t="shared" si="14"/>
        <v>MIlford AC</v>
      </c>
      <c r="AE5" s="60">
        <f>IF(AD5="","",COUNTIF($AD$2:AD5,AD5))</f>
        <v>2</v>
      </c>
      <c r="AF5" s="62">
        <f>IF(AD5="","",SUMIF(AD$2:AD5,AD5,G$2:G5))</f>
        <v>7</v>
      </c>
      <c r="AG5" s="62" t="str">
        <f>IF(AK5&lt;&gt;"",COUNTIF($AK$1:AK4,AK5)+AK5,IF(AL5&lt;&gt;"",COUNTIF($AL$1:AL4,AL5)+AL5,""))</f>
        <v/>
      </c>
      <c r="AH5" s="62" t="str">
        <f t="shared" si="15"/>
        <v>Ilford AC</v>
      </c>
      <c r="AI5" s="62" t="str">
        <f>IF(AND(J5="M", AH5&lt;&gt;"U/A",AE5=Prizewinners!$J$1),AF5,"")</f>
        <v/>
      </c>
      <c r="AJ5" s="58" t="str">
        <f>IF(AND(J5="F",  AH5&lt;&gt;"U/A",AE5=Prizewinners!$J$16),AF5,"")</f>
        <v/>
      </c>
      <c r="AK5" s="58" t="str">
        <f t="shared" si="16"/>
        <v/>
      </c>
      <c r="AL5" s="58" t="str">
        <f t="shared" si="17"/>
        <v/>
      </c>
      <c r="AM5" s="58" t="str">
        <f t="shared" si="18"/>
        <v>MIlford AC2</v>
      </c>
      <c r="AN5" s="58" t="str">
        <f t="shared" si="19"/>
        <v/>
      </c>
      <c r="AO5" s="58" t="str">
        <f t="shared" si="20"/>
        <v/>
      </c>
      <c r="AP5" s="58" t="str">
        <f t="shared" si="21"/>
        <v/>
      </c>
      <c r="AQ5" s="58" t="str">
        <f t="shared" si="22"/>
        <v>Aaron Samuel</v>
      </c>
    </row>
    <row r="6" spans="1:43" x14ac:dyDescent="0.25">
      <c r="A6" s="12" t="str">
        <f t="shared" si="8"/>
        <v>VM40,1</v>
      </c>
      <c r="B6" s="12" t="str">
        <f t="shared" si="9"/>
        <v>M,5</v>
      </c>
      <c r="C6" s="11">
        <f t="shared" si="23"/>
        <v>5</v>
      </c>
      <c r="D6" s="171">
        <v>131</v>
      </c>
      <c r="E6" s="12">
        <f t="shared" si="0"/>
        <v>1</v>
      </c>
      <c r="F6" s="12">
        <f>COUNTIF(H$2:H6,H6)</f>
        <v>1</v>
      </c>
      <c r="G6" s="12">
        <f>COUNTIF(J$2:J6,J6)</f>
        <v>5</v>
      </c>
      <c r="H6" s="12" t="str">
        <f t="shared" si="1"/>
        <v>VM40</v>
      </c>
      <c r="I6" s="50" t="str">
        <f t="shared" si="2"/>
        <v>VM40</v>
      </c>
      <c r="J6" s="50" t="str">
        <f t="shared" si="3"/>
        <v>M</v>
      </c>
      <c r="K6" s="64" t="str">
        <f t="shared" si="4"/>
        <v>Amin Koikai</v>
      </c>
      <c r="L6" s="64" t="str">
        <f t="shared" si="5"/>
        <v>Ilford AC</v>
      </c>
      <c r="M6" s="171">
        <v>0</v>
      </c>
      <c r="N6" s="178">
        <v>16</v>
      </c>
      <c r="O6" s="178">
        <v>31</v>
      </c>
      <c r="P6" s="138">
        <f t="shared" si="10"/>
        <v>0</v>
      </c>
      <c r="Q6" s="137">
        <f t="shared" si="11"/>
        <v>16</v>
      </c>
      <c r="R6" s="143"/>
      <c r="S6" s="143"/>
      <c r="T6" s="143"/>
      <c r="U6" s="144"/>
      <c r="V6" s="144"/>
      <c r="W6" s="144"/>
      <c r="X6" s="145"/>
      <c r="Y6" s="152" t="str">
        <f t="shared" si="12"/>
        <v xml:space="preserve">   16.31 </v>
      </c>
      <c r="Z6" s="136"/>
      <c r="AA6" s="50">
        <f t="shared" si="6"/>
        <v>48</v>
      </c>
      <c r="AB6" s="129">
        <f t="shared" si="7"/>
        <v>25573</v>
      </c>
      <c r="AC6" s="58" t="str">
        <f t="shared" si="13"/>
        <v>M1</v>
      </c>
      <c r="AD6" s="58" t="str">
        <f t="shared" si="14"/>
        <v>MIlford AC</v>
      </c>
      <c r="AE6" s="60">
        <f>IF(AD6="","",COUNTIF($AD$2:AD6,AD6))</f>
        <v>3</v>
      </c>
      <c r="AF6" s="62">
        <f>IF(AD6="","",SUMIF(AD$2:AD6,AD6,G$2:G6))</f>
        <v>12</v>
      </c>
      <c r="AG6" s="62">
        <f>IF(AK6&lt;&gt;"",COUNTIF($AK$1:AK5,AK6)+AK6,IF(AL6&lt;&gt;"",COUNTIF($AL$1:AL5,AL6)+AL6,""))</f>
        <v>1</v>
      </c>
      <c r="AH6" s="62" t="str">
        <f t="shared" si="15"/>
        <v>Ilford AC</v>
      </c>
      <c r="AI6" s="62">
        <f>IF(AND(J6="M", AH6&lt;&gt;"U/A",AE6=Prizewinners!$J$1),AF6,"")</f>
        <v>12</v>
      </c>
      <c r="AJ6" s="58" t="str">
        <f>IF(AND(J6="F",  AH6&lt;&gt;"U/A",AE6=Prizewinners!$J$16),AF6,"")</f>
        <v/>
      </c>
      <c r="AK6" s="58">
        <f t="shared" si="16"/>
        <v>1</v>
      </c>
      <c r="AL6" s="58" t="str">
        <f t="shared" si="17"/>
        <v/>
      </c>
      <c r="AM6" s="58" t="str">
        <f t="shared" si="18"/>
        <v>MIlford AC3</v>
      </c>
      <c r="AN6" s="58" t="str">
        <f t="shared" si="19"/>
        <v>Alex Richards</v>
      </c>
      <c r="AO6" s="58" t="str">
        <f t="shared" si="20"/>
        <v>Aaron Samuel</v>
      </c>
      <c r="AP6" s="58" t="str">
        <f t="shared" si="21"/>
        <v>Amin Koikai</v>
      </c>
      <c r="AQ6" s="58" t="str">
        <f t="shared" si="22"/>
        <v>Amin Koikai</v>
      </c>
    </row>
    <row r="7" spans="1:43" x14ac:dyDescent="0.25">
      <c r="A7" s="12" t="str">
        <f t="shared" si="8"/>
        <v>SM,2</v>
      </c>
      <c r="B7" s="12" t="str">
        <f t="shared" si="9"/>
        <v>M,6</v>
      </c>
      <c r="C7" s="11">
        <f t="shared" si="23"/>
        <v>6</v>
      </c>
      <c r="D7" s="171">
        <v>11</v>
      </c>
      <c r="E7" s="12">
        <f t="shared" si="0"/>
        <v>1</v>
      </c>
      <c r="F7" s="12">
        <f>COUNTIF(H$2:H7,H7)</f>
        <v>2</v>
      </c>
      <c r="G7" s="12">
        <f>COUNTIF(J$2:J7,J7)</f>
        <v>6</v>
      </c>
      <c r="H7" s="12" t="str">
        <f t="shared" si="1"/>
        <v>SM</v>
      </c>
      <c r="I7" s="50" t="str">
        <f t="shared" si="2"/>
        <v>SM</v>
      </c>
      <c r="J7" s="50" t="str">
        <f t="shared" si="3"/>
        <v>M</v>
      </c>
      <c r="K7" s="64" t="str">
        <f t="shared" si="4"/>
        <v>Liviu Ionita</v>
      </c>
      <c r="L7" s="64" t="str">
        <f t="shared" si="5"/>
        <v>Barking Road Runners</v>
      </c>
      <c r="M7" s="171">
        <v>0</v>
      </c>
      <c r="N7" s="178">
        <v>16</v>
      </c>
      <c r="O7" s="178">
        <v>42</v>
      </c>
      <c r="P7" s="138">
        <f t="shared" si="10"/>
        <v>0</v>
      </c>
      <c r="Q7" s="137">
        <f t="shared" si="11"/>
        <v>16</v>
      </c>
      <c r="R7" s="143"/>
      <c r="S7" s="143"/>
      <c r="T7" s="143"/>
      <c r="U7" s="144"/>
      <c r="V7" s="144"/>
      <c r="W7" s="144"/>
      <c r="X7" s="145"/>
      <c r="Y7" s="152" t="str">
        <f t="shared" si="12"/>
        <v xml:space="preserve">   16.42 </v>
      </c>
      <c r="Z7" s="136"/>
      <c r="AA7" s="50">
        <f t="shared" si="6"/>
        <v>28</v>
      </c>
      <c r="AB7" s="129">
        <f t="shared" si="7"/>
        <v>33088</v>
      </c>
      <c r="AC7" s="58" t="str">
        <f t="shared" si="13"/>
        <v/>
      </c>
      <c r="AD7" s="58" t="str">
        <f t="shared" si="14"/>
        <v>MBarking Road Runners</v>
      </c>
      <c r="AE7" s="60">
        <f>IF(AD7="","",COUNTIF($AD$2:AD7,AD7))</f>
        <v>1</v>
      </c>
      <c r="AF7" s="62">
        <f>IF(AD7="","",SUMIF(AD$2:AD7,AD7,G$2:G7))</f>
        <v>6</v>
      </c>
      <c r="AG7" s="62" t="str">
        <f>IF(AK7&lt;&gt;"",COUNTIF($AK$1:AK6,AK7)+AK7,IF(AL7&lt;&gt;"",COUNTIF($AL$1:AL6,AL7)+AL7,""))</f>
        <v/>
      </c>
      <c r="AH7" s="62" t="str">
        <f t="shared" si="15"/>
        <v>Barking Road Runners</v>
      </c>
      <c r="AI7" s="62" t="str">
        <f>IF(AND(J7="M", AH7&lt;&gt;"U/A",AE7=Prizewinners!$J$1),AF7,"")</f>
        <v/>
      </c>
      <c r="AJ7" s="58" t="str">
        <f>IF(AND(J7="F",  AH7&lt;&gt;"U/A",AE7=Prizewinners!$J$16),AF7,"")</f>
        <v/>
      </c>
      <c r="AK7" s="58" t="str">
        <f t="shared" si="16"/>
        <v/>
      </c>
      <c r="AL7" s="58" t="str">
        <f t="shared" si="17"/>
        <v/>
      </c>
      <c r="AM7" s="58" t="str">
        <f t="shared" si="18"/>
        <v>MBarking Road Runners1</v>
      </c>
      <c r="AN7" s="58" t="str">
        <f t="shared" si="19"/>
        <v/>
      </c>
      <c r="AO7" s="58" t="str">
        <f t="shared" si="20"/>
        <v/>
      </c>
      <c r="AP7" s="58" t="str">
        <f t="shared" si="21"/>
        <v/>
      </c>
      <c r="AQ7" s="58" t="str">
        <f t="shared" si="22"/>
        <v>Liviu Ionita</v>
      </c>
    </row>
    <row r="8" spans="1:43" x14ac:dyDescent="0.25">
      <c r="A8" s="12" t="str">
        <f t="shared" si="8"/>
        <v>SM,3</v>
      </c>
      <c r="B8" s="12" t="str">
        <f t="shared" si="9"/>
        <v>M,7</v>
      </c>
      <c r="C8" s="11">
        <f t="shared" si="23"/>
        <v>7</v>
      </c>
      <c r="D8" s="171">
        <v>388</v>
      </c>
      <c r="E8" s="12">
        <f t="shared" si="0"/>
        <v>1</v>
      </c>
      <c r="F8" s="12">
        <f>COUNTIF(H$2:H8,H8)</f>
        <v>3</v>
      </c>
      <c r="G8" s="12">
        <f>COUNTIF(J$2:J8,J8)</f>
        <v>7</v>
      </c>
      <c r="H8" s="12" t="str">
        <f t="shared" si="1"/>
        <v>SM</v>
      </c>
      <c r="I8" s="50" t="str">
        <f t="shared" si="2"/>
        <v>SM</v>
      </c>
      <c r="J8" s="50" t="str">
        <f t="shared" si="3"/>
        <v>M</v>
      </c>
      <c r="K8" s="64" t="str">
        <f t="shared" si="4"/>
        <v>Mark Boulton</v>
      </c>
      <c r="L8" s="64" t="str">
        <f t="shared" si="5"/>
        <v>East London Runners</v>
      </c>
      <c r="M8" s="171">
        <v>0</v>
      </c>
      <c r="N8" s="178">
        <v>16</v>
      </c>
      <c r="O8" s="178">
        <v>59</v>
      </c>
      <c r="P8" s="138">
        <f t="shared" si="10"/>
        <v>0</v>
      </c>
      <c r="Q8" s="137">
        <f t="shared" si="11"/>
        <v>16</v>
      </c>
      <c r="R8" s="143"/>
      <c r="S8" s="143"/>
      <c r="T8" s="143"/>
      <c r="U8" s="144"/>
      <c r="V8" s="144"/>
      <c r="W8" s="144"/>
      <c r="X8" s="145"/>
      <c r="Y8" s="152" t="str">
        <f t="shared" si="12"/>
        <v xml:space="preserve">   16.59 </v>
      </c>
      <c r="Z8" s="136"/>
      <c r="AA8" s="50">
        <f t="shared" si="6"/>
        <v>34</v>
      </c>
      <c r="AB8" s="129">
        <f t="shared" si="7"/>
        <v>30654</v>
      </c>
      <c r="AC8" s="58" t="str">
        <f t="shared" si="13"/>
        <v/>
      </c>
      <c r="AD8" s="58" t="str">
        <f t="shared" si="14"/>
        <v>MEast London Runners</v>
      </c>
      <c r="AE8" s="60">
        <f>IF(AD8="","",COUNTIF($AD$2:AD8,AD8))</f>
        <v>2</v>
      </c>
      <c r="AF8" s="62">
        <f>IF(AD8="","",SUMIF(AD$2:AD8,AD8,G$2:G8))</f>
        <v>8</v>
      </c>
      <c r="AG8" s="62" t="str">
        <f>IF(AK8&lt;&gt;"",COUNTIF($AK$1:AK7,AK8)+AK8,IF(AL8&lt;&gt;"",COUNTIF($AL$1:AL7,AL8)+AL8,""))</f>
        <v/>
      </c>
      <c r="AH8" s="62" t="str">
        <f t="shared" si="15"/>
        <v>East London Runners</v>
      </c>
      <c r="AI8" s="62" t="str">
        <f>IF(AND(J8="M", AH8&lt;&gt;"U/A",AE8=Prizewinners!$J$1),AF8,"")</f>
        <v/>
      </c>
      <c r="AJ8" s="58" t="str">
        <f>IF(AND(J8="F",  AH8&lt;&gt;"U/A",AE8=Prizewinners!$J$16),AF8,"")</f>
        <v/>
      </c>
      <c r="AK8" s="58" t="str">
        <f t="shared" si="16"/>
        <v/>
      </c>
      <c r="AL8" s="58" t="str">
        <f t="shared" si="17"/>
        <v/>
      </c>
      <c r="AM8" s="58" t="str">
        <f t="shared" si="18"/>
        <v>MEast London Runners2</v>
      </c>
      <c r="AN8" s="58" t="str">
        <f t="shared" si="19"/>
        <v/>
      </c>
      <c r="AO8" s="58" t="str">
        <f t="shared" si="20"/>
        <v/>
      </c>
      <c r="AP8" s="58" t="str">
        <f t="shared" si="21"/>
        <v/>
      </c>
      <c r="AQ8" s="58" t="str">
        <f t="shared" si="22"/>
        <v>Mark Boulton</v>
      </c>
    </row>
    <row r="9" spans="1:43" x14ac:dyDescent="0.25">
      <c r="A9" s="12" t="str">
        <f t="shared" si="8"/>
        <v>SM,4</v>
      </c>
      <c r="B9" s="12" t="str">
        <f t="shared" si="9"/>
        <v>M,8</v>
      </c>
      <c r="C9" s="11">
        <f t="shared" si="23"/>
        <v>8</v>
      </c>
      <c r="D9" s="171">
        <v>28</v>
      </c>
      <c r="E9" s="12">
        <f t="shared" si="0"/>
        <v>1</v>
      </c>
      <c r="F9" s="12">
        <f>COUNTIF(H$2:H9,H9)</f>
        <v>4</v>
      </c>
      <c r="G9" s="12">
        <f>COUNTIF(J$2:J9,J9)</f>
        <v>8</v>
      </c>
      <c r="H9" s="12" t="str">
        <f t="shared" si="1"/>
        <v>SM</v>
      </c>
      <c r="I9" s="50" t="str">
        <f t="shared" si="2"/>
        <v>SM</v>
      </c>
      <c r="J9" s="50" t="str">
        <f t="shared" si="3"/>
        <v>M</v>
      </c>
      <c r="K9" s="64" t="str">
        <f t="shared" si="4"/>
        <v>Jose Rodriguez</v>
      </c>
      <c r="L9" s="64" t="str">
        <f t="shared" si="5"/>
        <v>East London Runners</v>
      </c>
      <c r="M9" s="171">
        <v>0</v>
      </c>
      <c r="N9" s="178">
        <v>17</v>
      </c>
      <c r="O9" s="178">
        <v>9</v>
      </c>
      <c r="P9" s="138">
        <f t="shared" si="10"/>
        <v>0</v>
      </c>
      <c r="Q9" s="137">
        <f t="shared" si="11"/>
        <v>17</v>
      </c>
      <c r="R9" s="143"/>
      <c r="S9" s="143"/>
      <c r="T9" s="143"/>
      <c r="U9" s="144"/>
      <c r="V9" s="144"/>
      <c r="W9" s="144"/>
      <c r="X9" s="145"/>
      <c r="Y9" s="152" t="str">
        <f t="shared" si="12"/>
        <v xml:space="preserve">   17.09 </v>
      </c>
      <c r="Z9" s="136"/>
      <c r="AA9" s="50">
        <f t="shared" si="6"/>
        <v>38</v>
      </c>
      <c r="AB9" s="129">
        <f t="shared" si="7"/>
        <v>29252</v>
      </c>
      <c r="AC9" s="58" t="str">
        <f t="shared" si="13"/>
        <v>M2</v>
      </c>
      <c r="AD9" s="58" t="str">
        <f t="shared" si="14"/>
        <v>MEast London Runners</v>
      </c>
      <c r="AE9" s="60">
        <f>IF(AD9="","",COUNTIF($AD$2:AD9,AD9))</f>
        <v>3</v>
      </c>
      <c r="AF9" s="62">
        <f>IF(AD9="","",SUMIF(AD$2:AD9,AD9,G$2:G9))</f>
        <v>16</v>
      </c>
      <c r="AG9" s="62">
        <f>IF(AK9&lt;&gt;"",COUNTIF($AK$1:AK8,AK9)+AK9,IF(AL9&lt;&gt;"",COUNTIF($AL$1:AL8,AL9)+AL9,""))</f>
        <v>2</v>
      </c>
      <c r="AH9" s="62" t="str">
        <f t="shared" si="15"/>
        <v>East London Runners</v>
      </c>
      <c r="AI9" s="62">
        <f>IF(AND(J9="M", AH9&lt;&gt;"U/A",AE9=Prizewinners!$J$1),AF9,"")</f>
        <v>16</v>
      </c>
      <c r="AJ9" s="58" t="str">
        <f>IF(AND(J9="F",  AH9&lt;&gt;"U/A",AE9=Prizewinners!$J$16),AF9,"")</f>
        <v/>
      </c>
      <c r="AK9" s="58">
        <f t="shared" si="16"/>
        <v>2</v>
      </c>
      <c r="AL9" s="58" t="str">
        <f t="shared" si="17"/>
        <v/>
      </c>
      <c r="AM9" s="58" t="str">
        <f t="shared" si="18"/>
        <v>MEast London Runners3</v>
      </c>
      <c r="AN9" s="58" t="str">
        <f t="shared" si="19"/>
        <v>Euan Brown</v>
      </c>
      <c r="AO9" s="58" t="str">
        <f t="shared" si="20"/>
        <v>Mark Boulton</v>
      </c>
      <c r="AP9" s="58" t="str">
        <f t="shared" si="21"/>
        <v>Jose Rodriguez</v>
      </c>
      <c r="AQ9" s="58" t="str">
        <f t="shared" si="22"/>
        <v>Jose Rodriguez</v>
      </c>
    </row>
    <row r="10" spans="1:43" x14ac:dyDescent="0.25">
      <c r="A10" s="12" t="str">
        <f t="shared" si="8"/>
        <v>VM40,2</v>
      </c>
      <c r="B10" s="12" t="str">
        <f t="shared" si="9"/>
        <v>M,9</v>
      </c>
      <c r="C10" s="11">
        <f t="shared" si="23"/>
        <v>9</v>
      </c>
      <c r="D10" s="171">
        <v>329</v>
      </c>
      <c r="E10" s="12">
        <f t="shared" si="0"/>
        <v>1</v>
      </c>
      <c r="F10" s="12">
        <f>COUNTIF(H$2:H10,H10)</f>
        <v>2</v>
      </c>
      <c r="G10" s="12">
        <f>COUNTIF(J$2:J10,J10)</f>
        <v>9</v>
      </c>
      <c r="H10" s="12" t="str">
        <f t="shared" si="1"/>
        <v>VM40</v>
      </c>
      <c r="I10" s="50" t="str">
        <f t="shared" si="2"/>
        <v>VM40</v>
      </c>
      <c r="J10" s="50" t="str">
        <f t="shared" si="3"/>
        <v>M</v>
      </c>
      <c r="K10" s="64" t="str">
        <f t="shared" si="4"/>
        <v>Gary Coombes</v>
      </c>
      <c r="L10" s="64" t="str">
        <f t="shared" si="5"/>
        <v>Ilford AC</v>
      </c>
      <c r="M10" s="171">
        <v>0</v>
      </c>
      <c r="N10" s="178">
        <v>17</v>
      </c>
      <c r="O10" s="178">
        <v>26</v>
      </c>
      <c r="P10" s="138">
        <f t="shared" si="10"/>
        <v>0</v>
      </c>
      <c r="Q10" s="137">
        <f t="shared" si="11"/>
        <v>17</v>
      </c>
      <c r="R10" s="143"/>
      <c r="S10" s="143"/>
      <c r="T10" s="143"/>
      <c r="U10" s="144"/>
      <c r="V10" s="144"/>
      <c r="W10" s="144"/>
      <c r="X10" s="145"/>
      <c r="Y10" s="152" t="str">
        <f t="shared" si="12"/>
        <v xml:space="preserve">   17.26 </v>
      </c>
      <c r="Z10" s="136"/>
      <c r="AA10" s="50">
        <f t="shared" si="6"/>
        <v>46</v>
      </c>
      <c r="AB10" s="129">
        <f t="shared" si="7"/>
        <v>26352</v>
      </c>
      <c r="AC10" s="58" t="str">
        <f t="shared" si="13"/>
        <v/>
      </c>
      <c r="AD10" s="58" t="str">
        <f t="shared" si="14"/>
        <v>MIlford AC</v>
      </c>
      <c r="AE10" s="60">
        <f>IF(AD10="","",COUNTIF($AD$2:AD10,AD10))</f>
        <v>4</v>
      </c>
      <c r="AF10" s="62">
        <f>IF(AD10="","",SUMIF(AD$2:AD10,AD10,G$2:G10))</f>
        <v>21</v>
      </c>
      <c r="AG10" s="62" t="str">
        <f>IF(AK10&lt;&gt;"",COUNTIF($AK$1:AK9,AK10)+AK10,IF(AL10&lt;&gt;"",COUNTIF($AL$1:AL9,AL10)+AL10,""))</f>
        <v/>
      </c>
      <c r="AH10" s="62" t="str">
        <f t="shared" si="15"/>
        <v>Ilford AC</v>
      </c>
      <c r="AI10" s="62" t="str">
        <f>IF(AND(J10="M", AH10&lt;&gt;"U/A",AE10=Prizewinners!$J$1),AF10,"")</f>
        <v/>
      </c>
      <c r="AJ10" s="58" t="str">
        <f>IF(AND(J10="F",  AH10&lt;&gt;"U/A",AE10=Prizewinners!$J$16),AF10,"")</f>
        <v/>
      </c>
      <c r="AK10" s="58" t="str">
        <f t="shared" si="16"/>
        <v/>
      </c>
      <c r="AL10" s="58" t="str">
        <f t="shared" si="17"/>
        <v/>
      </c>
      <c r="AM10" s="58" t="str">
        <f t="shared" si="18"/>
        <v>MIlford AC4</v>
      </c>
      <c r="AN10" s="58" t="str">
        <f t="shared" si="19"/>
        <v/>
      </c>
      <c r="AO10" s="58" t="str">
        <f t="shared" si="20"/>
        <v/>
      </c>
      <c r="AP10" s="58" t="str">
        <f t="shared" si="21"/>
        <v/>
      </c>
      <c r="AQ10" s="58" t="str">
        <f t="shared" si="22"/>
        <v>Gary Coombes</v>
      </c>
    </row>
    <row r="11" spans="1:43" x14ac:dyDescent="0.25">
      <c r="A11" s="12" t="str">
        <f t="shared" si="8"/>
        <v>,4</v>
      </c>
      <c r="B11" s="12" t="str">
        <f t="shared" si="9"/>
        <v>F,1</v>
      </c>
      <c r="C11" s="11">
        <f>C10+1</f>
        <v>10</v>
      </c>
      <c r="D11" s="171">
        <v>122</v>
      </c>
      <c r="E11" s="12">
        <f t="shared" si="0"/>
        <v>1</v>
      </c>
      <c r="F11" s="12">
        <f>COUNTIF(H$2:H11,H11)</f>
        <v>4</v>
      </c>
      <c r="G11" s="12">
        <f>COUNTIF(J$2:J11,J11)</f>
        <v>1</v>
      </c>
      <c r="H11" s="12" t="str">
        <f t="shared" si="1"/>
        <v/>
      </c>
      <c r="I11" s="50" t="str">
        <f t="shared" si="2"/>
        <v>SF</v>
      </c>
      <c r="J11" s="50" t="str">
        <f t="shared" si="3"/>
        <v>F</v>
      </c>
      <c r="K11" s="64" t="str">
        <f t="shared" si="4"/>
        <v>Gemma Kersey</v>
      </c>
      <c r="L11" s="64" t="str">
        <f t="shared" si="5"/>
        <v>Basildon AC</v>
      </c>
      <c r="M11" s="171">
        <v>0</v>
      </c>
      <c r="N11" s="178">
        <v>17</v>
      </c>
      <c r="O11" s="178">
        <v>38</v>
      </c>
      <c r="P11" s="138">
        <f t="shared" si="10"/>
        <v>0</v>
      </c>
      <c r="Q11" s="137">
        <f t="shared" si="11"/>
        <v>17</v>
      </c>
      <c r="R11" s="143"/>
      <c r="S11" s="143"/>
      <c r="T11" s="143"/>
      <c r="U11" s="144"/>
      <c r="V11" s="144"/>
      <c r="W11" s="144"/>
      <c r="X11" s="145"/>
      <c r="Y11" s="152" t="str">
        <f t="shared" si="12"/>
        <v xml:space="preserve">   17.38 </v>
      </c>
      <c r="Z11" s="136"/>
      <c r="AA11" s="50">
        <f t="shared" si="6"/>
        <v>26</v>
      </c>
      <c r="AB11" s="129">
        <f t="shared" si="7"/>
        <v>33640</v>
      </c>
      <c r="AC11" s="58" t="str">
        <f t="shared" si="13"/>
        <v/>
      </c>
      <c r="AD11" s="58" t="str">
        <f t="shared" si="14"/>
        <v>FBasildon AC</v>
      </c>
      <c r="AE11" s="60">
        <f>IF(AD11="","",COUNTIF($AD$2:AD11,AD11))</f>
        <v>1</v>
      </c>
      <c r="AF11" s="62">
        <f>IF(AD11="","",SUMIF(AD$2:AD11,AD11,G$2:G11))</f>
        <v>1</v>
      </c>
      <c r="AG11" s="62" t="str">
        <f>IF(AK11&lt;&gt;"",COUNTIF($AK$1:AK10,AK11)+AK11,IF(AL11&lt;&gt;"",COUNTIF($AL$1:AL10,AL11)+AL11,""))</f>
        <v/>
      </c>
      <c r="AH11" s="62" t="str">
        <f t="shared" si="15"/>
        <v>Basildon AC</v>
      </c>
      <c r="AI11" s="62" t="str">
        <f>IF(AND(J11="M", AH11&lt;&gt;"U/A",AE11=Prizewinners!$J$1),AF11,"")</f>
        <v/>
      </c>
      <c r="AJ11" s="58" t="str">
        <f>IF(AND(J11="F",  AH11&lt;&gt;"U/A",AE11=Prizewinners!$J$16),AF11,"")</f>
        <v/>
      </c>
      <c r="AK11" s="58" t="str">
        <f t="shared" si="16"/>
        <v/>
      </c>
      <c r="AL11" s="58" t="str">
        <f t="shared" si="17"/>
        <v/>
      </c>
      <c r="AM11" s="58" t="str">
        <f t="shared" si="18"/>
        <v>FBasildon AC1</v>
      </c>
      <c r="AN11" s="58" t="str">
        <f t="shared" si="19"/>
        <v/>
      </c>
      <c r="AO11" s="58" t="str">
        <f t="shared" si="20"/>
        <v/>
      </c>
      <c r="AP11" s="58" t="str">
        <f t="shared" si="21"/>
        <v/>
      </c>
      <c r="AQ11" s="58" t="str">
        <f t="shared" si="22"/>
        <v>Gemma Kersey</v>
      </c>
    </row>
    <row r="12" spans="1:43" x14ac:dyDescent="0.25">
      <c r="A12" s="12" t="str">
        <f t="shared" si="8"/>
        <v>SM,5</v>
      </c>
      <c r="B12" s="12" t="str">
        <f t="shared" si="9"/>
        <v>M,10</v>
      </c>
      <c r="C12" s="11">
        <f t="shared" si="23"/>
        <v>11</v>
      </c>
      <c r="D12" s="171">
        <v>53</v>
      </c>
      <c r="E12" s="12">
        <f t="shared" si="0"/>
        <v>1</v>
      </c>
      <c r="F12" s="12">
        <f>COUNTIF(H$2:H12,H12)</f>
        <v>5</v>
      </c>
      <c r="G12" s="12">
        <f>COUNTIF(J$2:J12,J12)</f>
        <v>10</v>
      </c>
      <c r="H12" s="12" t="str">
        <f t="shared" si="1"/>
        <v>SM</v>
      </c>
      <c r="I12" s="50" t="str">
        <f t="shared" si="2"/>
        <v>SM</v>
      </c>
      <c r="J12" s="50" t="str">
        <f t="shared" si="3"/>
        <v>M</v>
      </c>
      <c r="K12" s="64" t="str">
        <f t="shared" si="4"/>
        <v>Billy Rayner</v>
      </c>
      <c r="L12" s="64" t="str">
        <f t="shared" si="5"/>
        <v>East London Runners</v>
      </c>
      <c r="M12" s="171">
        <v>0</v>
      </c>
      <c r="N12" s="178">
        <v>17</v>
      </c>
      <c r="O12" s="178">
        <v>41</v>
      </c>
      <c r="P12" s="138">
        <f t="shared" si="10"/>
        <v>0</v>
      </c>
      <c r="Q12" s="137">
        <f t="shared" si="11"/>
        <v>17</v>
      </c>
      <c r="R12" s="143"/>
      <c r="S12" s="143"/>
      <c r="T12" s="143"/>
      <c r="U12" s="144"/>
      <c r="V12" s="144"/>
      <c r="W12" s="144"/>
      <c r="X12" s="145"/>
      <c r="Y12" s="152" t="str">
        <f t="shared" si="12"/>
        <v xml:space="preserve">   17.41 </v>
      </c>
      <c r="Z12" s="136"/>
      <c r="AA12" s="50">
        <f t="shared" si="6"/>
        <v>33</v>
      </c>
      <c r="AB12" s="129">
        <f t="shared" si="7"/>
        <v>31097</v>
      </c>
      <c r="AC12" s="58" t="str">
        <f t="shared" si="13"/>
        <v/>
      </c>
      <c r="AD12" s="58" t="str">
        <f t="shared" si="14"/>
        <v>MEast London Runners</v>
      </c>
      <c r="AE12" s="60">
        <f>IF(AD12="","",COUNTIF($AD$2:AD12,AD12))</f>
        <v>4</v>
      </c>
      <c r="AF12" s="62">
        <f>IF(AD12="","",SUMIF(AD$2:AD12,AD12,G$2:G12))</f>
        <v>26</v>
      </c>
      <c r="AG12" s="62" t="str">
        <f>IF(AK12&lt;&gt;"",COUNTIF($AK$1:AK11,AK12)+AK12,IF(AL12&lt;&gt;"",COUNTIF($AL$1:AL11,AL12)+AL12,""))</f>
        <v/>
      </c>
      <c r="AH12" s="62" t="str">
        <f t="shared" si="15"/>
        <v>East London Runners</v>
      </c>
      <c r="AI12" s="62" t="str">
        <f>IF(AND(J12="M", AH12&lt;&gt;"U/A",AE12=Prizewinners!$J$1),AF12,"")</f>
        <v/>
      </c>
      <c r="AJ12" s="58" t="str">
        <f>IF(AND(J12="F",  AH12&lt;&gt;"U/A",AE12=Prizewinners!$J$16),AF12,"")</f>
        <v/>
      </c>
      <c r="AK12" s="58" t="str">
        <f t="shared" si="16"/>
        <v/>
      </c>
      <c r="AL12" s="58" t="str">
        <f t="shared" si="17"/>
        <v/>
      </c>
      <c r="AM12" s="58" t="str">
        <f t="shared" si="18"/>
        <v>MEast London Runners4</v>
      </c>
      <c r="AN12" s="58" t="str">
        <f t="shared" si="19"/>
        <v/>
      </c>
      <c r="AO12" s="58" t="str">
        <f t="shared" si="20"/>
        <v/>
      </c>
      <c r="AP12" s="58" t="str">
        <f t="shared" si="21"/>
        <v/>
      </c>
      <c r="AQ12" s="58" t="str">
        <f t="shared" si="22"/>
        <v>Billy Rayner</v>
      </c>
    </row>
    <row r="13" spans="1:43" x14ac:dyDescent="0.25">
      <c r="A13" s="12" t="str">
        <f t="shared" si="8"/>
        <v>SM,6</v>
      </c>
      <c r="B13" s="12" t="str">
        <f t="shared" si="9"/>
        <v>M,11</v>
      </c>
      <c r="C13" s="11">
        <f t="shared" si="23"/>
        <v>12</v>
      </c>
      <c r="D13" s="171">
        <v>108</v>
      </c>
      <c r="E13" s="12">
        <f t="shared" si="0"/>
        <v>1</v>
      </c>
      <c r="F13" s="12">
        <f>COUNTIF(H$2:H13,H13)</f>
        <v>6</v>
      </c>
      <c r="G13" s="12">
        <f>COUNTIF(J$2:J13,J13)</f>
        <v>11</v>
      </c>
      <c r="H13" s="12" t="str">
        <f>IF(G13&gt;3,I13,"")</f>
        <v>SM</v>
      </c>
      <c r="I13" s="50" t="str">
        <f t="shared" si="2"/>
        <v>SM</v>
      </c>
      <c r="J13" s="50" t="str">
        <f t="shared" si="3"/>
        <v>M</v>
      </c>
      <c r="K13" s="64" t="str">
        <f t="shared" si="4"/>
        <v>Neil Kirkham</v>
      </c>
      <c r="L13" s="64" t="str">
        <f t="shared" si="5"/>
        <v>Victoria Park Harriers</v>
      </c>
      <c r="M13" s="171">
        <v>0</v>
      </c>
      <c r="N13" s="178">
        <v>17</v>
      </c>
      <c r="O13" s="178">
        <v>44</v>
      </c>
      <c r="P13" s="138">
        <f t="shared" si="10"/>
        <v>0</v>
      </c>
      <c r="Q13" s="137">
        <f t="shared" si="11"/>
        <v>17</v>
      </c>
      <c r="R13" s="143"/>
      <c r="S13" s="143"/>
      <c r="T13" s="143"/>
      <c r="U13" s="144"/>
      <c r="V13" s="144"/>
      <c r="W13" s="144"/>
      <c r="X13" s="145"/>
      <c r="Y13" s="152" t="str">
        <f t="shared" si="12"/>
        <v xml:space="preserve">   17.44 </v>
      </c>
      <c r="Z13" s="136"/>
      <c r="AA13" s="50">
        <f t="shared" si="6"/>
        <v>32</v>
      </c>
      <c r="AB13" s="129">
        <f t="shared" si="7"/>
        <v>31437</v>
      </c>
      <c r="AC13" s="58" t="str">
        <f t="shared" si="13"/>
        <v/>
      </c>
      <c r="AD13" s="58" t="str">
        <f t="shared" si="14"/>
        <v>MVictoria Park Harriers</v>
      </c>
      <c r="AE13" s="60">
        <f>IF(AD13="","",COUNTIF($AD$2:AD13,AD13))</f>
        <v>1</v>
      </c>
      <c r="AF13" s="62">
        <f>IF(AD13="","",SUMIF(AD$2:AD13,AD13,G$2:G13))</f>
        <v>11</v>
      </c>
      <c r="AG13" s="62" t="str">
        <f>IF(AK13&lt;&gt;"",COUNTIF($AK$1:AK12,AK13)+AK13,IF(AL13&lt;&gt;"",COUNTIF($AL$1:AL12,AL13)+AL13,""))</f>
        <v/>
      </c>
      <c r="AH13" s="62" t="str">
        <f t="shared" si="15"/>
        <v>Victoria Park Harriers</v>
      </c>
      <c r="AI13" s="62" t="str">
        <f>IF(AND(J13="M", AH13&lt;&gt;"U/A",AE13=Prizewinners!$J$1),AF13,"")</f>
        <v/>
      </c>
      <c r="AJ13" s="58" t="str">
        <f>IF(AND(J13="F",  AH13&lt;&gt;"U/A",AE13=Prizewinners!$J$16),AF13,"")</f>
        <v/>
      </c>
      <c r="AK13" s="58" t="str">
        <f t="shared" si="16"/>
        <v/>
      </c>
      <c r="AL13" s="58" t="str">
        <f t="shared" si="17"/>
        <v/>
      </c>
      <c r="AM13" s="58" t="str">
        <f t="shared" si="18"/>
        <v>MVictoria Park Harriers1</v>
      </c>
      <c r="AN13" s="58" t="str">
        <f t="shared" si="19"/>
        <v/>
      </c>
      <c r="AO13" s="58" t="str">
        <f t="shared" si="20"/>
        <v/>
      </c>
      <c r="AP13" s="58" t="str">
        <f t="shared" si="21"/>
        <v/>
      </c>
      <c r="AQ13" s="58" t="str">
        <f t="shared" si="22"/>
        <v>Neil Kirkham</v>
      </c>
    </row>
    <row r="14" spans="1:43" x14ac:dyDescent="0.25">
      <c r="A14" s="12" t="str">
        <f t="shared" si="8"/>
        <v>SM,7</v>
      </c>
      <c r="B14" s="12" t="str">
        <f t="shared" si="9"/>
        <v>M,12</v>
      </c>
      <c r="C14" s="11">
        <f t="shared" si="23"/>
        <v>13</v>
      </c>
      <c r="D14" s="171">
        <v>379</v>
      </c>
      <c r="E14" s="12">
        <f t="shared" si="0"/>
        <v>1</v>
      </c>
      <c r="F14" s="12">
        <f>COUNTIF(H$2:H14,H14)</f>
        <v>7</v>
      </c>
      <c r="G14" s="12">
        <f>COUNTIF(J$2:J14,J14)</f>
        <v>12</v>
      </c>
      <c r="H14" s="12" t="str">
        <f t="shared" si="1"/>
        <v>SM</v>
      </c>
      <c r="I14" s="50" t="str">
        <f t="shared" si="2"/>
        <v>SM</v>
      </c>
      <c r="J14" s="50" t="str">
        <f t="shared" si="3"/>
        <v>M</v>
      </c>
      <c r="K14" s="64" t="str">
        <f t="shared" si="4"/>
        <v>Adam Bartlett</v>
      </c>
      <c r="L14" s="64" t="str">
        <f t="shared" si="5"/>
        <v>Harold Wood Running Club</v>
      </c>
      <c r="M14" s="171">
        <v>0</v>
      </c>
      <c r="N14" s="178">
        <v>17</v>
      </c>
      <c r="O14" s="178">
        <v>46</v>
      </c>
      <c r="P14" s="138">
        <f t="shared" si="10"/>
        <v>0</v>
      </c>
      <c r="Q14" s="137">
        <f t="shared" si="11"/>
        <v>17</v>
      </c>
      <c r="R14" s="143"/>
      <c r="S14" s="143"/>
      <c r="T14" s="143"/>
      <c r="U14" s="144"/>
      <c r="V14" s="144"/>
      <c r="W14" s="144"/>
      <c r="X14" s="145"/>
      <c r="Y14" s="152" t="str">
        <f t="shared" si="12"/>
        <v xml:space="preserve">   17.46 </v>
      </c>
      <c r="Z14" s="136"/>
      <c r="AA14" s="50">
        <f t="shared" si="6"/>
        <v>28</v>
      </c>
      <c r="AB14" s="129">
        <f t="shared" si="7"/>
        <v>33086</v>
      </c>
      <c r="AC14" s="58" t="str">
        <f t="shared" si="13"/>
        <v/>
      </c>
      <c r="AD14" s="58" t="str">
        <f t="shared" si="14"/>
        <v>MHarold Wood Running Club</v>
      </c>
      <c r="AE14" s="60">
        <f>IF(AD14="","",COUNTIF($AD$2:AD14,AD14))</f>
        <v>1</v>
      </c>
      <c r="AF14" s="62">
        <f>IF(AD14="","",SUMIF(AD$2:AD14,AD14,G$2:G14))</f>
        <v>12</v>
      </c>
      <c r="AG14" s="62" t="str">
        <f>IF(AK14&lt;&gt;"",COUNTIF($AK$1:AK13,AK14)+AK14,IF(AL14&lt;&gt;"",COUNTIF($AL$1:AL13,AL14)+AL14,""))</f>
        <v/>
      </c>
      <c r="AH14" s="62" t="str">
        <f t="shared" si="15"/>
        <v>Harold Wood Running Club</v>
      </c>
      <c r="AI14" s="62" t="str">
        <f>IF(AND(J14="M", AH14&lt;&gt;"U/A",AE14=Prizewinners!$J$1),AF14,"")</f>
        <v/>
      </c>
      <c r="AJ14" s="58" t="str">
        <f>IF(AND(J14="F",  AH14&lt;&gt;"U/A",AE14=Prizewinners!$J$16),AF14,"")</f>
        <v/>
      </c>
      <c r="AK14" s="58" t="str">
        <f t="shared" si="16"/>
        <v/>
      </c>
      <c r="AL14" s="58" t="str">
        <f t="shared" si="17"/>
        <v/>
      </c>
      <c r="AM14" s="58" t="str">
        <f t="shared" si="18"/>
        <v>MHarold Wood Running Club1</v>
      </c>
      <c r="AN14" s="58" t="str">
        <f t="shared" si="19"/>
        <v/>
      </c>
      <c r="AO14" s="58" t="str">
        <f t="shared" si="20"/>
        <v/>
      </c>
      <c r="AP14" s="58" t="str">
        <f t="shared" si="21"/>
        <v/>
      </c>
      <c r="AQ14" s="58" t="str">
        <f t="shared" si="22"/>
        <v>Adam Bartlett</v>
      </c>
    </row>
    <row r="15" spans="1:43" x14ac:dyDescent="0.25">
      <c r="A15" s="12" t="str">
        <f t="shared" si="8"/>
        <v>VM40,3</v>
      </c>
      <c r="B15" s="12" t="str">
        <f t="shared" si="9"/>
        <v>M,13</v>
      </c>
      <c r="C15" s="11">
        <f t="shared" si="23"/>
        <v>14</v>
      </c>
      <c r="D15" s="171">
        <v>18</v>
      </c>
      <c r="E15" s="12">
        <f t="shared" si="0"/>
        <v>1</v>
      </c>
      <c r="F15" s="12">
        <f>COUNTIF(H$2:H15,H15)</f>
        <v>3</v>
      </c>
      <c r="G15" s="12">
        <f>COUNTIF(J$2:J15,J15)</f>
        <v>13</v>
      </c>
      <c r="H15" s="12" t="str">
        <f t="shared" si="1"/>
        <v>VM40</v>
      </c>
      <c r="I15" s="50" t="str">
        <f t="shared" si="2"/>
        <v>VM40</v>
      </c>
      <c r="J15" s="50" t="str">
        <f t="shared" si="3"/>
        <v>M</v>
      </c>
      <c r="K15" s="64" t="str">
        <f t="shared" si="4"/>
        <v>Dan Gritton</v>
      </c>
      <c r="L15" s="64" t="str">
        <f t="shared" si="5"/>
        <v>East London Runners</v>
      </c>
      <c r="M15" s="171">
        <v>0</v>
      </c>
      <c r="N15" s="178">
        <v>17</v>
      </c>
      <c r="O15" s="178">
        <v>48</v>
      </c>
      <c r="P15" s="138">
        <f t="shared" si="10"/>
        <v>0</v>
      </c>
      <c r="Q15" s="137">
        <f t="shared" si="11"/>
        <v>17</v>
      </c>
      <c r="R15" s="143"/>
      <c r="S15" s="143"/>
      <c r="T15" s="143"/>
      <c r="U15" s="144"/>
      <c r="V15" s="144"/>
      <c r="W15" s="144"/>
      <c r="X15" s="145"/>
      <c r="Y15" s="152" t="str">
        <f t="shared" si="12"/>
        <v xml:space="preserve">   17.48 </v>
      </c>
      <c r="Z15" s="136"/>
      <c r="AA15" s="50">
        <f t="shared" si="6"/>
        <v>45</v>
      </c>
      <c r="AB15" s="129">
        <f t="shared" si="7"/>
        <v>26611</v>
      </c>
      <c r="AC15" s="58" t="str">
        <f t="shared" si="13"/>
        <v/>
      </c>
      <c r="AD15" s="58" t="str">
        <f t="shared" si="14"/>
        <v>MEast London Runners</v>
      </c>
      <c r="AE15" s="60">
        <f>IF(AD15="","",COUNTIF($AD$2:AD15,AD15))</f>
        <v>5</v>
      </c>
      <c r="AF15" s="62">
        <f>IF(AD15="","",SUMIF(AD$2:AD15,AD15,G$2:G15))</f>
        <v>39</v>
      </c>
      <c r="AG15" s="62" t="str">
        <f>IF(AK15&lt;&gt;"",COUNTIF($AK$1:AK14,AK15)+AK15,IF(AL15&lt;&gt;"",COUNTIF($AL$1:AL14,AL15)+AL15,""))</f>
        <v/>
      </c>
      <c r="AH15" s="62" t="str">
        <f t="shared" si="15"/>
        <v>East London Runners</v>
      </c>
      <c r="AI15" s="62" t="str">
        <f>IF(AND(J15="M", AH15&lt;&gt;"U/A",AE15=Prizewinners!$J$1),AF15,"")</f>
        <v/>
      </c>
      <c r="AJ15" s="58" t="str">
        <f>IF(AND(J15="F",  AH15&lt;&gt;"U/A",AE15=Prizewinners!$J$16),AF15,"")</f>
        <v/>
      </c>
      <c r="AK15" s="58" t="str">
        <f t="shared" si="16"/>
        <v/>
      </c>
      <c r="AL15" s="58" t="str">
        <f t="shared" si="17"/>
        <v/>
      </c>
      <c r="AM15" s="58" t="str">
        <f t="shared" si="18"/>
        <v>MEast London Runners5</v>
      </c>
      <c r="AN15" s="58" t="str">
        <f t="shared" si="19"/>
        <v/>
      </c>
      <c r="AO15" s="58" t="str">
        <f t="shared" si="20"/>
        <v/>
      </c>
      <c r="AP15" s="58" t="str">
        <f t="shared" si="21"/>
        <v/>
      </c>
      <c r="AQ15" s="58" t="str">
        <f t="shared" si="22"/>
        <v>Dan Gritton</v>
      </c>
    </row>
    <row r="16" spans="1:43" x14ac:dyDescent="0.25">
      <c r="A16" s="12" t="str">
        <f t="shared" si="8"/>
        <v>SM,8</v>
      </c>
      <c r="B16" s="12" t="str">
        <f t="shared" si="9"/>
        <v>M,14</v>
      </c>
      <c r="C16" s="11">
        <f t="shared" si="23"/>
        <v>15</v>
      </c>
      <c r="D16" s="171">
        <v>321</v>
      </c>
      <c r="E16" s="12">
        <f t="shared" si="0"/>
        <v>1</v>
      </c>
      <c r="F16" s="12">
        <f>COUNTIF(H$2:H16,H16)</f>
        <v>8</v>
      </c>
      <c r="G16" s="12">
        <f>COUNTIF(J$2:J16,J16)</f>
        <v>14</v>
      </c>
      <c r="H16" s="12" t="str">
        <f t="shared" si="1"/>
        <v>SM</v>
      </c>
      <c r="I16" s="50" t="str">
        <f t="shared" si="2"/>
        <v>SM</v>
      </c>
      <c r="J16" s="50" t="str">
        <f t="shared" si="3"/>
        <v>M</v>
      </c>
      <c r="K16" s="64" t="str">
        <f t="shared" si="4"/>
        <v>Andy Kumar</v>
      </c>
      <c r="L16" s="64" t="str">
        <f t="shared" si="5"/>
        <v>East London Runners</v>
      </c>
      <c r="M16" s="171">
        <v>0</v>
      </c>
      <c r="N16" s="178">
        <v>17</v>
      </c>
      <c r="O16" s="178">
        <v>50</v>
      </c>
      <c r="P16" s="138">
        <f t="shared" si="10"/>
        <v>0</v>
      </c>
      <c r="Q16" s="137">
        <f t="shared" si="11"/>
        <v>17</v>
      </c>
      <c r="R16" s="143"/>
      <c r="S16" s="143"/>
      <c r="T16" s="143"/>
      <c r="U16" s="144"/>
      <c r="V16" s="144"/>
      <c r="W16" s="144"/>
      <c r="X16" s="145"/>
      <c r="Y16" s="152" t="str">
        <f t="shared" si="12"/>
        <v xml:space="preserve">   17.50 </v>
      </c>
      <c r="Z16" s="136"/>
      <c r="AA16" s="50">
        <f t="shared" si="6"/>
        <v>33</v>
      </c>
      <c r="AB16" s="129">
        <f t="shared" si="7"/>
        <v>31011</v>
      </c>
      <c r="AC16" s="58" t="str">
        <f t="shared" si="13"/>
        <v/>
      </c>
      <c r="AD16" s="58" t="str">
        <f t="shared" si="14"/>
        <v>MEast London Runners</v>
      </c>
      <c r="AE16" s="60">
        <f>IF(AD16="","",COUNTIF($AD$2:AD16,AD16))</f>
        <v>6</v>
      </c>
      <c r="AF16" s="62">
        <f>IF(AD16="","",SUMIF(AD$2:AD16,AD16,G$2:G16))</f>
        <v>53</v>
      </c>
      <c r="AG16" s="62" t="str">
        <f>IF(AK16&lt;&gt;"",COUNTIF($AK$1:AK15,AK16)+AK16,IF(AL16&lt;&gt;"",COUNTIF($AL$1:AL15,AL16)+AL16,""))</f>
        <v/>
      </c>
      <c r="AH16" s="62" t="str">
        <f t="shared" si="15"/>
        <v>East London Runners</v>
      </c>
      <c r="AI16" s="62" t="str">
        <f>IF(AND(J16="M", AH16&lt;&gt;"U/A",AE16=Prizewinners!$J$1),AF16,"")</f>
        <v/>
      </c>
      <c r="AJ16" s="58" t="str">
        <f>IF(AND(J16="F",  AH16&lt;&gt;"U/A",AE16=Prizewinners!$J$16),AF16,"")</f>
        <v/>
      </c>
      <c r="AK16" s="58" t="str">
        <f t="shared" si="16"/>
        <v/>
      </c>
      <c r="AL16" s="58" t="str">
        <f t="shared" si="17"/>
        <v/>
      </c>
      <c r="AM16" s="58" t="str">
        <f t="shared" si="18"/>
        <v>MEast London Runners6</v>
      </c>
      <c r="AN16" s="58" t="str">
        <f t="shared" si="19"/>
        <v/>
      </c>
      <c r="AO16" s="58" t="str">
        <f t="shared" si="20"/>
        <v/>
      </c>
      <c r="AP16" s="58" t="str">
        <f t="shared" si="21"/>
        <v/>
      </c>
      <c r="AQ16" s="58" t="str">
        <f t="shared" si="22"/>
        <v>Andy Kumar</v>
      </c>
    </row>
    <row r="17" spans="1:43" x14ac:dyDescent="0.25">
      <c r="A17" s="12" t="str">
        <f t="shared" si="8"/>
        <v>SM,9</v>
      </c>
      <c r="B17" s="12" t="str">
        <f t="shared" si="9"/>
        <v>M,15</v>
      </c>
      <c r="C17" s="11">
        <f t="shared" si="23"/>
        <v>16</v>
      </c>
      <c r="D17" s="171">
        <v>450</v>
      </c>
      <c r="E17" s="12">
        <f t="shared" si="0"/>
        <v>1</v>
      </c>
      <c r="F17" s="12">
        <f>COUNTIF(H$2:H17,H17)</f>
        <v>9</v>
      </c>
      <c r="G17" s="12">
        <f>COUNTIF(J$2:J17,J17)</f>
        <v>15</v>
      </c>
      <c r="H17" s="12" t="str">
        <f t="shared" si="1"/>
        <v>SM</v>
      </c>
      <c r="I17" s="50" t="str">
        <f t="shared" si="2"/>
        <v>SM</v>
      </c>
      <c r="J17" s="50" t="str">
        <f t="shared" si="3"/>
        <v>M</v>
      </c>
      <c r="K17" s="64" t="str">
        <f t="shared" si="4"/>
        <v>Sam Rahman</v>
      </c>
      <c r="L17" s="64" t="str">
        <f t="shared" si="5"/>
        <v>Ilford AC</v>
      </c>
      <c r="M17" s="171">
        <v>0</v>
      </c>
      <c r="N17" s="178">
        <v>17</v>
      </c>
      <c r="O17" s="178">
        <v>52</v>
      </c>
      <c r="P17" s="138">
        <f t="shared" si="10"/>
        <v>0</v>
      </c>
      <c r="Q17" s="137">
        <f t="shared" si="11"/>
        <v>17</v>
      </c>
      <c r="R17" s="143"/>
      <c r="S17" s="143"/>
      <c r="T17" s="143"/>
      <c r="U17" s="144"/>
      <c r="V17" s="144"/>
      <c r="W17" s="144"/>
      <c r="X17" s="145"/>
      <c r="Y17" s="152" t="str">
        <f t="shared" si="12"/>
        <v xml:space="preserve">   17.52 </v>
      </c>
      <c r="Z17" s="136"/>
      <c r="AA17" s="50">
        <f t="shared" si="6"/>
        <v>35</v>
      </c>
      <c r="AB17" s="129">
        <f t="shared" si="7"/>
        <v>30204</v>
      </c>
      <c r="AC17" s="58" t="str">
        <f t="shared" si="13"/>
        <v/>
      </c>
      <c r="AD17" s="58" t="str">
        <f t="shared" si="14"/>
        <v>MIlford AC</v>
      </c>
      <c r="AE17" s="60">
        <f>IF(AD17="","",COUNTIF($AD$2:AD17,AD17))</f>
        <v>5</v>
      </c>
      <c r="AF17" s="62">
        <f>IF(AD17="","",SUMIF(AD$2:AD17,AD17,G$2:G17))</f>
        <v>36</v>
      </c>
      <c r="AG17" s="62" t="str">
        <f>IF(AK17&lt;&gt;"",COUNTIF($AK$1:AK16,AK17)+AK17,IF(AL17&lt;&gt;"",COUNTIF($AL$1:AL16,AL17)+AL17,""))</f>
        <v/>
      </c>
      <c r="AH17" s="62" t="str">
        <f t="shared" si="15"/>
        <v>Ilford AC</v>
      </c>
      <c r="AI17" s="62" t="str">
        <f>IF(AND(J17="M", AH17&lt;&gt;"U/A",AE17=Prizewinners!$J$1),AF17,"")</f>
        <v/>
      </c>
      <c r="AJ17" s="58" t="str">
        <f>IF(AND(J17="F",  AH17&lt;&gt;"U/A",AE17=Prizewinners!$J$16),AF17,"")</f>
        <v/>
      </c>
      <c r="AK17" s="58" t="str">
        <f t="shared" si="16"/>
        <v/>
      </c>
      <c r="AL17" s="58" t="str">
        <f t="shared" si="17"/>
        <v/>
      </c>
      <c r="AM17" s="58" t="str">
        <f t="shared" si="18"/>
        <v>MIlford AC5</v>
      </c>
      <c r="AN17" s="58" t="str">
        <f t="shared" si="19"/>
        <v/>
      </c>
      <c r="AO17" s="58" t="str">
        <f t="shared" si="20"/>
        <v/>
      </c>
      <c r="AP17" s="58" t="str">
        <f t="shared" si="21"/>
        <v/>
      </c>
      <c r="AQ17" s="58" t="str">
        <f t="shared" si="22"/>
        <v>Sam Rahman</v>
      </c>
    </row>
    <row r="18" spans="1:43" x14ac:dyDescent="0.25">
      <c r="A18" s="12" t="str">
        <f t="shared" si="8"/>
        <v>SM,10</v>
      </c>
      <c r="B18" s="12" t="str">
        <f t="shared" si="9"/>
        <v>M,16</v>
      </c>
      <c r="C18" s="11">
        <f t="shared" si="23"/>
        <v>17</v>
      </c>
      <c r="D18" s="171">
        <v>430</v>
      </c>
      <c r="E18" s="12">
        <f t="shared" si="0"/>
        <v>1</v>
      </c>
      <c r="F18" s="12">
        <f>COUNTIF(H$2:H18,H18)</f>
        <v>10</v>
      </c>
      <c r="G18" s="12">
        <f>COUNTIF(J$2:J18,J18)</f>
        <v>16</v>
      </c>
      <c r="H18" s="12" t="str">
        <f t="shared" si="1"/>
        <v>SM</v>
      </c>
      <c r="I18" s="50" t="str">
        <f t="shared" si="2"/>
        <v>SM</v>
      </c>
      <c r="J18" s="50" t="str">
        <f t="shared" si="3"/>
        <v>M</v>
      </c>
      <c r="K18" s="64" t="str">
        <f t="shared" si="4"/>
        <v>Russell Price</v>
      </c>
      <c r="L18" s="64" t="str">
        <f t="shared" si="5"/>
        <v>Chorlton Runners</v>
      </c>
      <c r="M18" s="171">
        <v>0</v>
      </c>
      <c r="N18" s="178">
        <v>17</v>
      </c>
      <c r="O18" s="178">
        <v>54</v>
      </c>
      <c r="P18" s="138">
        <f t="shared" si="10"/>
        <v>0</v>
      </c>
      <c r="Q18" s="137">
        <f t="shared" si="11"/>
        <v>17</v>
      </c>
      <c r="R18" s="143"/>
      <c r="S18" s="143"/>
      <c r="T18" s="143"/>
      <c r="U18" s="144"/>
      <c r="V18" s="144"/>
      <c r="W18" s="144"/>
      <c r="X18" s="145"/>
      <c r="Y18" s="152" t="str">
        <f t="shared" si="12"/>
        <v xml:space="preserve">   17.54 </v>
      </c>
      <c r="Z18" s="136"/>
      <c r="AA18" s="50">
        <f t="shared" si="6"/>
        <v>33</v>
      </c>
      <c r="AB18" s="129">
        <f t="shared" si="7"/>
        <v>30935</v>
      </c>
      <c r="AC18" s="58" t="str">
        <f t="shared" si="13"/>
        <v/>
      </c>
      <c r="AD18" s="58" t="str">
        <f t="shared" si="14"/>
        <v>MChorlton Runners</v>
      </c>
      <c r="AE18" s="60">
        <f>IF(AD18="","",COUNTIF($AD$2:AD18,AD18))</f>
        <v>1</v>
      </c>
      <c r="AF18" s="62">
        <f>IF(AD18="","",SUMIF(AD$2:AD18,AD18,G$2:G18))</f>
        <v>16</v>
      </c>
      <c r="AG18" s="62" t="str">
        <f>IF(AK18&lt;&gt;"",COUNTIF($AK$1:AK17,AK18)+AK18,IF(AL18&lt;&gt;"",COUNTIF($AL$1:AL17,AL18)+AL18,""))</f>
        <v/>
      </c>
      <c r="AH18" s="62" t="str">
        <f t="shared" si="15"/>
        <v>Chorlton Runners</v>
      </c>
      <c r="AI18" s="62" t="str">
        <f>IF(AND(J18="M", AH18&lt;&gt;"U/A",AE18=Prizewinners!$J$1),AF18,"")</f>
        <v/>
      </c>
      <c r="AJ18" s="58" t="str">
        <f>IF(AND(J18="F",  AH18&lt;&gt;"U/A",AE18=Prizewinners!$J$16),AF18,"")</f>
        <v/>
      </c>
      <c r="AK18" s="58" t="str">
        <f t="shared" si="16"/>
        <v/>
      </c>
      <c r="AL18" s="58" t="str">
        <f t="shared" si="17"/>
        <v/>
      </c>
      <c r="AM18" s="58" t="str">
        <f t="shared" si="18"/>
        <v>MChorlton Runners1</v>
      </c>
      <c r="AN18" s="58" t="str">
        <f t="shared" si="19"/>
        <v/>
      </c>
      <c r="AO18" s="58" t="str">
        <f t="shared" si="20"/>
        <v/>
      </c>
      <c r="AP18" s="58" t="str">
        <f t="shared" si="21"/>
        <v/>
      </c>
      <c r="AQ18" s="58" t="str">
        <f t="shared" si="22"/>
        <v>Russell Price</v>
      </c>
    </row>
    <row r="19" spans="1:43" x14ac:dyDescent="0.25">
      <c r="A19" s="12" t="str">
        <f t="shared" si="8"/>
        <v>SM,11</v>
      </c>
      <c r="B19" s="12" t="str">
        <f t="shared" si="9"/>
        <v>M,17</v>
      </c>
      <c r="C19" s="11">
        <f t="shared" si="23"/>
        <v>18</v>
      </c>
      <c r="D19" s="171">
        <v>363</v>
      </c>
      <c r="E19" s="12">
        <f t="shared" si="0"/>
        <v>1</v>
      </c>
      <c r="F19" s="12">
        <f>COUNTIF(H$2:H19,H19)</f>
        <v>11</v>
      </c>
      <c r="G19" s="12">
        <f>COUNTIF(J$2:J19,J19)</f>
        <v>17</v>
      </c>
      <c r="H19" s="12" t="str">
        <f t="shared" si="1"/>
        <v>SM</v>
      </c>
      <c r="I19" s="50" t="str">
        <f t="shared" si="2"/>
        <v>SM</v>
      </c>
      <c r="J19" s="50" t="str">
        <f t="shared" si="3"/>
        <v>M</v>
      </c>
      <c r="K19" s="64" t="str">
        <f t="shared" si="4"/>
        <v>Jimmi Lee</v>
      </c>
      <c r="L19" s="64" t="str">
        <f t="shared" si="5"/>
        <v>East End Road Runners</v>
      </c>
      <c r="M19" s="171">
        <v>0</v>
      </c>
      <c r="N19" s="178">
        <v>17</v>
      </c>
      <c r="O19" s="178">
        <v>55</v>
      </c>
      <c r="P19" s="138">
        <f t="shared" si="10"/>
        <v>0</v>
      </c>
      <c r="Q19" s="137">
        <f t="shared" si="11"/>
        <v>17</v>
      </c>
      <c r="R19" s="143"/>
      <c r="S19" s="143"/>
      <c r="T19" s="143"/>
      <c r="U19" s="144"/>
      <c r="V19" s="144"/>
      <c r="W19" s="144"/>
      <c r="X19" s="145"/>
      <c r="Y19" s="152" t="str">
        <f t="shared" si="12"/>
        <v xml:space="preserve">   17.55 </v>
      </c>
      <c r="Z19" s="136"/>
      <c r="AA19" s="50">
        <f t="shared" si="6"/>
        <v>25</v>
      </c>
      <c r="AB19" s="129">
        <f t="shared" si="7"/>
        <v>34046</v>
      </c>
      <c r="AC19" s="58" t="str">
        <f t="shared" si="13"/>
        <v/>
      </c>
      <c r="AD19" s="58" t="str">
        <f t="shared" si="14"/>
        <v>MEast End Road Runners</v>
      </c>
      <c r="AE19" s="60">
        <f>IF(AD19="","",COUNTIF($AD$2:AD19,AD19))</f>
        <v>1</v>
      </c>
      <c r="AF19" s="62">
        <f>IF(AD19="","",SUMIF(AD$2:AD19,AD19,G$2:G19))</f>
        <v>17</v>
      </c>
      <c r="AG19" s="62" t="str">
        <f>IF(AK19&lt;&gt;"",COUNTIF($AK$1:AK18,AK19)+AK19,IF(AL19&lt;&gt;"",COUNTIF($AL$1:AL18,AL19)+AL19,""))</f>
        <v/>
      </c>
      <c r="AH19" s="62" t="str">
        <f t="shared" si="15"/>
        <v>East End Road Runners</v>
      </c>
      <c r="AI19" s="62" t="str">
        <f>IF(AND(J19="M", AH19&lt;&gt;"U/A",AE19=Prizewinners!$J$1),AF19,"")</f>
        <v/>
      </c>
      <c r="AJ19" s="58" t="str">
        <f>IF(AND(J19="F",  AH19&lt;&gt;"U/A",AE19=Prizewinners!$J$16),AF19,"")</f>
        <v/>
      </c>
      <c r="AK19" s="58" t="str">
        <f t="shared" si="16"/>
        <v/>
      </c>
      <c r="AL19" s="58" t="str">
        <f t="shared" si="17"/>
        <v/>
      </c>
      <c r="AM19" s="58" t="str">
        <f t="shared" si="18"/>
        <v>MEast End Road Runners1</v>
      </c>
      <c r="AN19" s="58" t="str">
        <f t="shared" si="19"/>
        <v/>
      </c>
      <c r="AO19" s="58" t="str">
        <f t="shared" si="20"/>
        <v/>
      </c>
      <c r="AP19" s="58" t="str">
        <f t="shared" si="21"/>
        <v/>
      </c>
      <c r="AQ19" s="58" t="str">
        <f t="shared" si="22"/>
        <v>Jimmi Lee</v>
      </c>
    </row>
    <row r="20" spans="1:43" x14ac:dyDescent="0.25">
      <c r="A20" s="12" t="str">
        <f t="shared" si="8"/>
        <v>VM40,4</v>
      </c>
      <c r="B20" s="12" t="str">
        <f t="shared" si="9"/>
        <v>M,18</v>
      </c>
      <c r="C20" s="11">
        <f t="shared" si="23"/>
        <v>19</v>
      </c>
      <c r="D20" s="171">
        <v>419</v>
      </c>
      <c r="E20" s="12">
        <f t="shared" si="0"/>
        <v>1</v>
      </c>
      <c r="F20" s="12">
        <f>COUNTIF(H$2:H20,H20)</f>
        <v>4</v>
      </c>
      <c r="G20" s="12">
        <f>COUNTIF(J$2:J20,J20)</f>
        <v>18</v>
      </c>
      <c r="H20" s="12" t="str">
        <f t="shared" si="1"/>
        <v>VM40</v>
      </c>
      <c r="I20" s="50" t="str">
        <f t="shared" si="2"/>
        <v>VM40</v>
      </c>
      <c r="J20" s="50" t="str">
        <f t="shared" si="3"/>
        <v>M</v>
      </c>
      <c r="K20" s="64" t="str">
        <f t="shared" si="4"/>
        <v>Bob Glasgow</v>
      </c>
      <c r="L20" s="64" t="str">
        <f t="shared" si="5"/>
        <v>Orion Harriers</v>
      </c>
      <c r="M20" s="171">
        <v>0</v>
      </c>
      <c r="N20" s="178">
        <v>17</v>
      </c>
      <c r="O20" s="178">
        <v>57</v>
      </c>
      <c r="P20" s="138">
        <f t="shared" si="10"/>
        <v>0</v>
      </c>
      <c r="Q20" s="137">
        <f t="shared" si="11"/>
        <v>17</v>
      </c>
      <c r="R20" s="143"/>
      <c r="S20" s="143"/>
      <c r="T20" s="143"/>
      <c r="U20" s="144"/>
      <c r="V20" s="144"/>
      <c r="W20" s="144"/>
      <c r="X20" s="145"/>
      <c r="Y20" s="152" t="str">
        <f t="shared" si="12"/>
        <v xml:space="preserve">   17.57 </v>
      </c>
      <c r="Z20" s="136"/>
      <c r="AA20" s="50">
        <f t="shared" si="6"/>
        <v>43</v>
      </c>
      <c r="AB20" s="129">
        <f t="shared" si="7"/>
        <v>27337</v>
      </c>
      <c r="AC20" s="58" t="str">
        <f t="shared" si="13"/>
        <v/>
      </c>
      <c r="AD20" s="58" t="str">
        <f t="shared" si="14"/>
        <v>MOrion Harriers</v>
      </c>
      <c r="AE20" s="60">
        <f>IF(AD20="","",COUNTIF($AD$2:AD20,AD20))</f>
        <v>1</v>
      </c>
      <c r="AF20" s="62">
        <f>IF(AD20="","",SUMIF(AD$2:AD20,AD20,G$2:G20))</f>
        <v>18</v>
      </c>
      <c r="AG20" s="62" t="str">
        <f>IF(AK20&lt;&gt;"",COUNTIF($AK$1:AK19,AK20)+AK20,IF(AL20&lt;&gt;"",COUNTIF($AL$1:AL19,AL20)+AL20,""))</f>
        <v/>
      </c>
      <c r="AH20" s="62" t="str">
        <f t="shared" si="15"/>
        <v>Orion Harriers</v>
      </c>
      <c r="AI20" s="62" t="str">
        <f>IF(AND(J20="M", AH20&lt;&gt;"U/A",AE20=Prizewinners!$J$1),AF20,"")</f>
        <v/>
      </c>
      <c r="AJ20" s="58" t="str">
        <f>IF(AND(J20="F",  AH20&lt;&gt;"U/A",AE20=Prizewinners!$J$16),AF20,"")</f>
        <v/>
      </c>
      <c r="AK20" s="58" t="str">
        <f t="shared" si="16"/>
        <v/>
      </c>
      <c r="AL20" s="58" t="str">
        <f t="shared" si="17"/>
        <v/>
      </c>
      <c r="AM20" s="58" t="str">
        <f t="shared" si="18"/>
        <v>MOrion Harriers1</v>
      </c>
      <c r="AN20" s="58" t="str">
        <f t="shared" si="19"/>
        <v/>
      </c>
      <c r="AO20" s="58" t="str">
        <f t="shared" si="20"/>
        <v/>
      </c>
      <c r="AP20" s="58" t="str">
        <f t="shared" si="21"/>
        <v/>
      </c>
      <c r="AQ20" s="58" t="str">
        <f t="shared" si="22"/>
        <v>Bob Glasgow</v>
      </c>
    </row>
    <row r="21" spans="1:43" x14ac:dyDescent="0.25">
      <c r="A21" s="12" t="str">
        <f t="shared" si="8"/>
        <v>VM40,5</v>
      </c>
      <c r="B21" s="12" t="str">
        <f t="shared" si="9"/>
        <v>M,19</v>
      </c>
      <c r="C21" s="11">
        <f t="shared" si="23"/>
        <v>20</v>
      </c>
      <c r="D21" s="171">
        <v>376</v>
      </c>
      <c r="E21" s="12">
        <f t="shared" si="0"/>
        <v>1</v>
      </c>
      <c r="F21" s="12">
        <f>COUNTIF(H$2:H21,H21)</f>
        <v>5</v>
      </c>
      <c r="G21" s="12">
        <f>COUNTIF(J$2:J21,J21)</f>
        <v>19</v>
      </c>
      <c r="H21" s="12" t="str">
        <f t="shared" si="1"/>
        <v>VM40</v>
      </c>
      <c r="I21" s="50" t="str">
        <f t="shared" si="2"/>
        <v>VM40</v>
      </c>
      <c r="J21" s="50" t="str">
        <f t="shared" si="3"/>
        <v>M</v>
      </c>
      <c r="K21" s="64" t="str">
        <f t="shared" si="4"/>
        <v>Paul Boddey</v>
      </c>
      <c r="L21" s="64" t="str">
        <f t="shared" si="5"/>
        <v>Eton Manor AC</v>
      </c>
      <c r="M21" s="171">
        <v>0</v>
      </c>
      <c r="N21" s="178">
        <v>17</v>
      </c>
      <c r="O21" s="178">
        <v>57</v>
      </c>
      <c r="P21" s="138">
        <f t="shared" si="10"/>
        <v>0</v>
      </c>
      <c r="Q21" s="137">
        <f t="shared" si="11"/>
        <v>17</v>
      </c>
      <c r="R21" s="143"/>
      <c r="S21" s="143"/>
      <c r="T21" s="143"/>
      <c r="U21" s="144"/>
      <c r="V21" s="144"/>
      <c r="W21" s="144"/>
      <c r="X21" s="145"/>
      <c r="Y21" s="152" t="str">
        <f t="shared" si="12"/>
        <v xml:space="preserve">   17.57 </v>
      </c>
      <c r="Z21" s="136"/>
      <c r="AA21" s="50">
        <f t="shared" si="6"/>
        <v>41</v>
      </c>
      <c r="AB21" s="129">
        <f t="shared" si="7"/>
        <v>28283</v>
      </c>
      <c r="AC21" s="58" t="str">
        <f t="shared" si="13"/>
        <v/>
      </c>
      <c r="AD21" s="58" t="str">
        <f t="shared" si="14"/>
        <v>MEton Manor AC</v>
      </c>
      <c r="AE21" s="60">
        <f>IF(AD21="","",COUNTIF($AD$2:AD21,AD21))</f>
        <v>1</v>
      </c>
      <c r="AF21" s="62">
        <f>IF(AD21="","",SUMIF(AD$2:AD21,AD21,G$2:G21))</f>
        <v>19</v>
      </c>
      <c r="AG21" s="62" t="str">
        <f>IF(AK21&lt;&gt;"",COUNTIF($AK$1:AK20,AK21)+AK21,IF(AL21&lt;&gt;"",COUNTIF($AL$1:AL20,AL21)+AL21,""))</f>
        <v/>
      </c>
      <c r="AH21" s="62" t="str">
        <f t="shared" si="15"/>
        <v>Eton Manor AC</v>
      </c>
      <c r="AI21" s="62" t="str">
        <f>IF(AND(J21="M", AH21&lt;&gt;"U/A",AE21=Prizewinners!$J$1),AF21,"")</f>
        <v/>
      </c>
      <c r="AJ21" s="58" t="str">
        <f>IF(AND(J21="F",  AH21&lt;&gt;"U/A",AE21=Prizewinners!$J$16),AF21,"")</f>
        <v/>
      </c>
      <c r="AK21" s="58" t="str">
        <f t="shared" si="16"/>
        <v/>
      </c>
      <c r="AL21" s="58" t="str">
        <f t="shared" si="17"/>
        <v/>
      </c>
      <c r="AM21" s="58" t="str">
        <f t="shared" si="18"/>
        <v>MEton Manor AC1</v>
      </c>
      <c r="AN21" s="58" t="str">
        <f t="shared" si="19"/>
        <v/>
      </c>
      <c r="AO21" s="58" t="str">
        <f t="shared" si="20"/>
        <v/>
      </c>
      <c r="AP21" s="58" t="str">
        <f t="shared" si="21"/>
        <v/>
      </c>
      <c r="AQ21" s="58" t="str">
        <f t="shared" si="22"/>
        <v>Paul Boddey</v>
      </c>
    </row>
    <row r="22" spans="1:43" x14ac:dyDescent="0.25">
      <c r="A22" s="12" t="str">
        <f t="shared" si="8"/>
        <v>VM50,1</v>
      </c>
      <c r="B22" s="12" t="str">
        <f t="shared" si="9"/>
        <v>M,20</v>
      </c>
      <c r="C22" s="11">
        <f t="shared" si="23"/>
        <v>21</v>
      </c>
      <c r="D22" s="171">
        <v>15</v>
      </c>
      <c r="E22" s="12">
        <f t="shared" si="0"/>
        <v>1</v>
      </c>
      <c r="F22" s="12">
        <f>COUNTIF(H$2:H22,H22)</f>
        <v>1</v>
      </c>
      <c r="G22" s="12">
        <f>COUNTIF(J$2:J22,J22)</f>
        <v>20</v>
      </c>
      <c r="H22" s="12" t="str">
        <f t="shared" si="1"/>
        <v>VM50</v>
      </c>
      <c r="I22" s="50" t="str">
        <f t="shared" si="2"/>
        <v>VM50</v>
      </c>
      <c r="J22" s="50" t="str">
        <f t="shared" si="3"/>
        <v>M</v>
      </c>
      <c r="K22" s="64" t="str">
        <f t="shared" si="4"/>
        <v>stephen philcox</v>
      </c>
      <c r="L22" s="64" t="str">
        <f t="shared" si="5"/>
        <v>Ilford AC</v>
      </c>
      <c r="M22" s="171">
        <v>0</v>
      </c>
      <c r="N22" s="178">
        <v>17</v>
      </c>
      <c r="O22" s="178">
        <v>59</v>
      </c>
      <c r="P22" s="138">
        <f t="shared" si="10"/>
        <v>0</v>
      </c>
      <c r="Q22" s="137">
        <f t="shared" si="11"/>
        <v>17</v>
      </c>
      <c r="R22" s="143"/>
      <c r="S22" s="143"/>
      <c r="T22" s="143"/>
      <c r="U22" s="144"/>
      <c r="V22" s="144"/>
      <c r="W22" s="144"/>
      <c r="X22" s="145"/>
      <c r="Y22" s="152" t="str">
        <f t="shared" si="12"/>
        <v xml:space="preserve">   17.59 </v>
      </c>
      <c r="Z22" s="136"/>
      <c r="AA22" s="50">
        <f t="shared" si="6"/>
        <v>52</v>
      </c>
      <c r="AB22" s="129">
        <f t="shared" si="7"/>
        <v>24029</v>
      </c>
      <c r="AC22" s="58" t="str">
        <f t="shared" si="13"/>
        <v/>
      </c>
      <c r="AD22" s="58" t="str">
        <f t="shared" si="14"/>
        <v>MIlford AC</v>
      </c>
      <c r="AE22" s="60">
        <f>IF(AD22="","",COUNTIF($AD$2:AD22,AD22))</f>
        <v>6</v>
      </c>
      <c r="AF22" s="62">
        <f>IF(AD22="","",SUMIF(AD$2:AD22,AD22,G$2:G22))</f>
        <v>56</v>
      </c>
      <c r="AG22" s="62" t="str">
        <f>IF(AK22&lt;&gt;"",COUNTIF($AK$1:AK21,AK22)+AK22,IF(AL22&lt;&gt;"",COUNTIF($AL$1:AL21,AL22)+AL22,""))</f>
        <v/>
      </c>
      <c r="AH22" s="62" t="str">
        <f t="shared" si="15"/>
        <v>Ilford AC</v>
      </c>
      <c r="AI22" s="62" t="str">
        <f>IF(AND(J22="M", AH22&lt;&gt;"U/A",AE22=Prizewinners!$J$1),AF22,"")</f>
        <v/>
      </c>
      <c r="AJ22" s="58" t="str">
        <f>IF(AND(J22="F",  AH22&lt;&gt;"U/A",AE22=Prizewinners!$J$16),AF22,"")</f>
        <v/>
      </c>
      <c r="AK22" s="58" t="str">
        <f t="shared" si="16"/>
        <v/>
      </c>
      <c r="AL22" s="58" t="str">
        <f t="shared" si="17"/>
        <v/>
      </c>
      <c r="AM22" s="58" t="str">
        <f t="shared" si="18"/>
        <v>MIlford AC6</v>
      </c>
      <c r="AN22" s="58" t="str">
        <f t="shared" si="19"/>
        <v/>
      </c>
      <c r="AO22" s="58" t="str">
        <f t="shared" si="20"/>
        <v/>
      </c>
      <c r="AP22" s="58" t="str">
        <f t="shared" si="21"/>
        <v/>
      </c>
      <c r="AQ22" s="58" t="str">
        <f t="shared" si="22"/>
        <v>stephen philcox</v>
      </c>
    </row>
    <row r="23" spans="1:43" x14ac:dyDescent="0.25">
      <c r="A23" s="12" t="str">
        <f t="shared" si="8"/>
        <v>VM40,6</v>
      </c>
      <c r="B23" s="12" t="str">
        <f t="shared" si="9"/>
        <v>M,21</v>
      </c>
      <c r="C23" s="11">
        <f t="shared" si="23"/>
        <v>22</v>
      </c>
      <c r="D23" s="171">
        <v>71</v>
      </c>
      <c r="E23" s="12">
        <f t="shared" si="0"/>
        <v>1</v>
      </c>
      <c r="F23" s="12">
        <f>COUNTIF(H$2:H23,H23)</f>
        <v>6</v>
      </c>
      <c r="G23" s="12">
        <f>COUNTIF(J$2:J23,J23)</f>
        <v>21</v>
      </c>
      <c r="H23" s="12" t="str">
        <f t="shared" si="1"/>
        <v>VM40</v>
      </c>
      <c r="I23" s="50" t="str">
        <f t="shared" si="2"/>
        <v>VM40</v>
      </c>
      <c r="J23" s="50" t="str">
        <f t="shared" si="3"/>
        <v>M</v>
      </c>
      <c r="K23" s="64" t="str">
        <f t="shared" si="4"/>
        <v>Simon Leung-Chester</v>
      </c>
      <c r="L23" s="64" t="str">
        <f t="shared" si="5"/>
        <v>East End Road Runners</v>
      </c>
      <c r="M23" s="171">
        <v>0</v>
      </c>
      <c r="N23" s="178">
        <v>18</v>
      </c>
      <c r="O23" s="178">
        <v>6</v>
      </c>
      <c r="P23" s="138">
        <f t="shared" si="10"/>
        <v>0</v>
      </c>
      <c r="Q23" s="137">
        <f t="shared" si="11"/>
        <v>18</v>
      </c>
      <c r="R23" s="143"/>
      <c r="S23" s="143"/>
      <c r="T23" s="143"/>
      <c r="U23" s="144"/>
      <c r="V23" s="144"/>
      <c r="W23" s="144"/>
      <c r="X23" s="145"/>
      <c r="Y23" s="152" t="str">
        <f t="shared" si="12"/>
        <v xml:space="preserve">   18.06 </v>
      </c>
      <c r="Z23" s="136"/>
      <c r="AA23" s="50">
        <f t="shared" si="6"/>
        <v>45</v>
      </c>
      <c r="AB23" s="129">
        <f t="shared" si="7"/>
        <v>26591</v>
      </c>
      <c r="AC23" s="58" t="str">
        <f t="shared" si="13"/>
        <v/>
      </c>
      <c r="AD23" s="58" t="str">
        <f t="shared" si="14"/>
        <v>MEast End Road Runners</v>
      </c>
      <c r="AE23" s="60">
        <f>IF(AD23="","",COUNTIF($AD$2:AD23,AD23))</f>
        <v>2</v>
      </c>
      <c r="AF23" s="62">
        <f>IF(AD23="","",SUMIF(AD$2:AD23,AD23,G$2:G23))</f>
        <v>38</v>
      </c>
      <c r="AG23" s="62" t="str">
        <f>IF(AK23&lt;&gt;"",COUNTIF($AK$1:AK22,AK23)+AK23,IF(AL23&lt;&gt;"",COUNTIF($AL$1:AL22,AL23)+AL23,""))</f>
        <v/>
      </c>
      <c r="AH23" s="62" t="str">
        <f t="shared" si="15"/>
        <v>East End Road Runners</v>
      </c>
      <c r="AI23" s="62" t="str">
        <f>IF(AND(J23="M", AH23&lt;&gt;"U/A",AE23=Prizewinners!$J$1),AF23,"")</f>
        <v/>
      </c>
      <c r="AJ23" s="58" t="str">
        <f>IF(AND(J23="F",  AH23&lt;&gt;"U/A",AE23=Prizewinners!$J$16),AF23,"")</f>
        <v/>
      </c>
      <c r="AK23" s="58" t="str">
        <f t="shared" si="16"/>
        <v/>
      </c>
      <c r="AL23" s="58" t="str">
        <f t="shared" si="17"/>
        <v/>
      </c>
      <c r="AM23" s="58" t="str">
        <f t="shared" si="18"/>
        <v>MEast End Road Runners2</v>
      </c>
      <c r="AN23" s="58" t="str">
        <f t="shared" si="19"/>
        <v/>
      </c>
      <c r="AO23" s="58" t="str">
        <f t="shared" si="20"/>
        <v/>
      </c>
      <c r="AP23" s="58" t="str">
        <f t="shared" si="21"/>
        <v/>
      </c>
      <c r="AQ23" s="58" t="str">
        <f t="shared" si="22"/>
        <v>Simon Leung-Chester</v>
      </c>
    </row>
    <row r="24" spans="1:43" x14ac:dyDescent="0.25">
      <c r="A24" s="12" t="str">
        <f t="shared" si="8"/>
        <v>SM,12</v>
      </c>
      <c r="B24" s="12" t="str">
        <f t="shared" si="9"/>
        <v>M,22</v>
      </c>
      <c r="C24" s="11">
        <f t="shared" si="23"/>
        <v>23</v>
      </c>
      <c r="D24" s="171">
        <v>475</v>
      </c>
      <c r="E24" s="12">
        <f t="shared" si="0"/>
        <v>1</v>
      </c>
      <c r="F24" s="12">
        <f>COUNTIF(H$2:H24,H24)</f>
        <v>12</v>
      </c>
      <c r="G24" s="12">
        <f>COUNTIF(J$2:J24,J24)</f>
        <v>22</v>
      </c>
      <c r="H24" s="12" t="str">
        <f t="shared" si="1"/>
        <v>SM</v>
      </c>
      <c r="I24" s="50" t="str">
        <f t="shared" si="2"/>
        <v>SM</v>
      </c>
      <c r="J24" s="50" t="str">
        <f t="shared" si="3"/>
        <v>M</v>
      </c>
      <c r="K24" s="64" t="str">
        <f t="shared" si="4"/>
        <v>Spencer Evans</v>
      </c>
      <c r="L24" s="64" t="str">
        <f t="shared" si="5"/>
        <v>East London Runners</v>
      </c>
      <c r="M24" s="171">
        <v>0</v>
      </c>
      <c r="N24" s="178">
        <v>18</v>
      </c>
      <c r="O24" s="178">
        <v>10</v>
      </c>
      <c r="P24" s="138">
        <f t="shared" si="10"/>
        <v>0</v>
      </c>
      <c r="Q24" s="137">
        <f t="shared" si="11"/>
        <v>18</v>
      </c>
      <c r="R24" s="143"/>
      <c r="S24" s="143"/>
      <c r="T24" s="143"/>
      <c r="U24" s="144"/>
      <c r="V24" s="144"/>
      <c r="W24" s="144"/>
      <c r="X24" s="145"/>
      <c r="Y24" s="152" t="str">
        <f t="shared" si="12"/>
        <v xml:space="preserve">   18.10 </v>
      </c>
      <c r="Z24" s="136"/>
      <c r="AA24" s="50">
        <f t="shared" si="6"/>
        <v>30</v>
      </c>
      <c r="AB24" s="129">
        <f t="shared" si="7"/>
        <v>32160</v>
      </c>
      <c r="AC24" s="58" t="str">
        <f t="shared" si="13"/>
        <v/>
      </c>
      <c r="AD24" s="58" t="str">
        <f t="shared" si="14"/>
        <v>MEast London Runners</v>
      </c>
      <c r="AE24" s="60">
        <f>IF(AD24="","",COUNTIF($AD$2:AD24,AD24))</f>
        <v>7</v>
      </c>
      <c r="AF24" s="62">
        <f>IF(AD24="","",SUMIF(AD$2:AD24,AD24,G$2:G24))</f>
        <v>75</v>
      </c>
      <c r="AG24" s="62" t="str">
        <f>IF(AK24&lt;&gt;"",COUNTIF($AK$1:AK23,AK24)+AK24,IF(AL24&lt;&gt;"",COUNTIF($AL$1:AL23,AL24)+AL24,""))</f>
        <v/>
      </c>
      <c r="AH24" s="62" t="str">
        <f t="shared" si="15"/>
        <v>East London Runners</v>
      </c>
      <c r="AI24" s="62" t="str">
        <f>IF(AND(J24="M", AH24&lt;&gt;"U/A",AE24=Prizewinners!$J$1),AF24,"")</f>
        <v/>
      </c>
      <c r="AJ24" s="58" t="str">
        <f>IF(AND(J24="F",  AH24&lt;&gt;"U/A",AE24=Prizewinners!$J$16),AF24,"")</f>
        <v/>
      </c>
      <c r="AK24" s="58" t="str">
        <f t="shared" si="16"/>
        <v/>
      </c>
      <c r="AL24" s="58" t="str">
        <f t="shared" si="17"/>
        <v/>
      </c>
      <c r="AM24" s="58" t="str">
        <f t="shared" si="18"/>
        <v>MEast London Runners7</v>
      </c>
      <c r="AN24" s="58" t="str">
        <f t="shared" si="19"/>
        <v/>
      </c>
      <c r="AO24" s="58" t="str">
        <f t="shared" si="20"/>
        <v/>
      </c>
      <c r="AP24" s="58" t="str">
        <f t="shared" si="21"/>
        <v/>
      </c>
      <c r="AQ24" s="58" t="str">
        <f t="shared" si="22"/>
        <v>Spencer Evans</v>
      </c>
    </row>
    <row r="25" spans="1:43" x14ac:dyDescent="0.25">
      <c r="A25" s="12" t="str">
        <f t="shared" si="8"/>
        <v>SM,13</v>
      </c>
      <c r="B25" s="12" t="str">
        <f t="shared" si="9"/>
        <v>M,23</v>
      </c>
      <c r="C25" s="11">
        <f t="shared" si="23"/>
        <v>24</v>
      </c>
      <c r="D25" s="171">
        <v>412</v>
      </c>
      <c r="E25" s="12">
        <f t="shared" si="0"/>
        <v>1</v>
      </c>
      <c r="F25" s="12">
        <f>COUNTIF(H$2:H25,H25)</f>
        <v>13</v>
      </c>
      <c r="G25" s="12">
        <f>COUNTIF(J$2:J25,J25)</f>
        <v>23</v>
      </c>
      <c r="H25" s="12" t="str">
        <f t="shared" si="1"/>
        <v>SM</v>
      </c>
      <c r="I25" s="50" t="str">
        <f t="shared" si="2"/>
        <v>SM</v>
      </c>
      <c r="J25" s="50" t="str">
        <f t="shared" si="3"/>
        <v>M</v>
      </c>
      <c r="K25" s="64" t="str">
        <f t="shared" si="4"/>
        <v>Patrick Brown</v>
      </c>
      <c r="L25" s="64" t="str">
        <f t="shared" si="5"/>
        <v>East London Runners</v>
      </c>
      <c r="M25" s="171">
        <v>0</v>
      </c>
      <c r="N25" s="178">
        <v>18</v>
      </c>
      <c r="O25" s="178">
        <v>15</v>
      </c>
      <c r="P25" s="138">
        <f t="shared" si="10"/>
        <v>0</v>
      </c>
      <c r="Q25" s="137">
        <f t="shared" si="11"/>
        <v>18</v>
      </c>
      <c r="R25" s="143"/>
      <c r="S25" s="143"/>
      <c r="T25" s="143"/>
      <c r="U25" s="144"/>
      <c r="V25" s="144"/>
      <c r="W25" s="144"/>
      <c r="X25" s="145"/>
      <c r="Y25" s="152" t="str">
        <f t="shared" si="12"/>
        <v xml:space="preserve">   18.15 </v>
      </c>
      <c r="Z25" s="136"/>
      <c r="AA25" s="50">
        <f t="shared" si="6"/>
        <v>33</v>
      </c>
      <c r="AB25" s="129">
        <f t="shared" si="7"/>
        <v>31167</v>
      </c>
      <c r="AC25" s="58" t="str">
        <f t="shared" si="13"/>
        <v/>
      </c>
      <c r="AD25" s="58" t="str">
        <f t="shared" si="14"/>
        <v>MEast London Runners</v>
      </c>
      <c r="AE25" s="60">
        <f>IF(AD25="","",COUNTIF($AD$2:AD25,AD25))</f>
        <v>8</v>
      </c>
      <c r="AF25" s="62">
        <f>IF(AD25="","",SUMIF(AD$2:AD25,AD25,G$2:G25))</f>
        <v>98</v>
      </c>
      <c r="AG25" s="62" t="str">
        <f>IF(AK25&lt;&gt;"",COUNTIF($AK$1:AK24,AK25)+AK25,IF(AL25&lt;&gt;"",COUNTIF($AL$1:AL24,AL25)+AL25,""))</f>
        <v/>
      </c>
      <c r="AH25" s="62" t="str">
        <f t="shared" si="15"/>
        <v>East London Runners</v>
      </c>
      <c r="AI25" s="62" t="str">
        <f>IF(AND(J25="M", AH25&lt;&gt;"U/A",AE25=Prizewinners!$J$1),AF25,"")</f>
        <v/>
      </c>
      <c r="AJ25" s="58" t="str">
        <f>IF(AND(J25="F",  AH25&lt;&gt;"U/A",AE25=Prizewinners!$J$16),AF25,"")</f>
        <v/>
      </c>
      <c r="AK25" s="58" t="str">
        <f t="shared" si="16"/>
        <v/>
      </c>
      <c r="AL25" s="58" t="str">
        <f t="shared" si="17"/>
        <v/>
      </c>
      <c r="AM25" s="58" t="str">
        <f t="shared" si="18"/>
        <v>MEast London Runners8</v>
      </c>
      <c r="AN25" s="58" t="str">
        <f t="shared" si="19"/>
        <v/>
      </c>
      <c r="AO25" s="58" t="str">
        <f t="shared" si="20"/>
        <v/>
      </c>
      <c r="AP25" s="58" t="str">
        <f t="shared" si="21"/>
        <v/>
      </c>
      <c r="AQ25" s="58" t="str">
        <f t="shared" si="22"/>
        <v>Patrick Brown</v>
      </c>
    </row>
    <row r="26" spans="1:43" x14ac:dyDescent="0.25">
      <c r="A26" s="12" t="str">
        <f t="shared" si="8"/>
        <v>SM,14</v>
      </c>
      <c r="B26" s="12" t="str">
        <f t="shared" si="9"/>
        <v>M,24</v>
      </c>
      <c r="C26" s="11">
        <f t="shared" si="23"/>
        <v>25</v>
      </c>
      <c r="D26" s="171">
        <v>93</v>
      </c>
      <c r="E26" s="12">
        <f t="shared" si="0"/>
        <v>1</v>
      </c>
      <c r="F26" s="12">
        <f>COUNTIF(H$2:H26,H26)</f>
        <v>14</v>
      </c>
      <c r="G26" s="12">
        <f>COUNTIF(J$2:J26,J26)</f>
        <v>24</v>
      </c>
      <c r="H26" s="12" t="str">
        <f t="shared" si="1"/>
        <v>SM</v>
      </c>
      <c r="I26" s="50" t="str">
        <f t="shared" si="2"/>
        <v>SM</v>
      </c>
      <c r="J26" s="50" t="str">
        <f t="shared" si="3"/>
        <v>M</v>
      </c>
      <c r="K26" s="64" t="str">
        <f t="shared" si="4"/>
        <v>Aaron Browne</v>
      </c>
      <c r="L26" s="64" t="str">
        <f t="shared" si="5"/>
        <v>East London Runners</v>
      </c>
      <c r="M26" s="171">
        <v>0</v>
      </c>
      <c r="N26" s="178">
        <v>18</v>
      </c>
      <c r="O26" s="178">
        <v>16</v>
      </c>
      <c r="P26" s="138">
        <f t="shared" si="10"/>
        <v>0</v>
      </c>
      <c r="Q26" s="137">
        <f t="shared" si="11"/>
        <v>18</v>
      </c>
      <c r="R26" s="143"/>
      <c r="S26" s="143"/>
      <c r="T26" s="143"/>
      <c r="U26" s="144"/>
      <c r="V26" s="144"/>
      <c r="W26" s="144"/>
      <c r="X26" s="145"/>
      <c r="Y26" s="152" t="str">
        <f t="shared" si="12"/>
        <v xml:space="preserve">   18.16 </v>
      </c>
      <c r="Z26" s="136"/>
      <c r="AA26" s="50">
        <f t="shared" si="6"/>
        <v>25</v>
      </c>
      <c r="AB26" s="129">
        <f t="shared" si="7"/>
        <v>34024</v>
      </c>
      <c r="AC26" s="58" t="str">
        <f t="shared" si="13"/>
        <v/>
      </c>
      <c r="AD26" s="58" t="str">
        <f t="shared" si="14"/>
        <v>MEast London Runners</v>
      </c>
      <c r="AE26" s="60">
        <f>IF(AD26="","",COUNTIF($AD$2:AD26,AD26))</f>
        <v>9</v>
      </c>
      <c r="AF26" s="62">
        <f>IF(AD26="","",SUMIF(AD$2:AD26,AD26,G$2:G26))</f>
        <v>122</v>
      </c>
      <c r="AG26" s="62" t="str">
        <f>IF(AK26&lt;&gt;"",COUNTIF($AK$1:AK25,AK26)+AK26,IF(AL26&lt;&gt;"",COUNTIF($AL$1:AL25,AL26)+AL26,""))</f>
        <v/>
      </c>
      <c r="AH26" s="62" t="str">
        <f t="shared" si="15"/>
        <v>East London Runners</v>
      </c>
      <c r="AI26" s="62" t="str">
        <f>IF(AND(J26="M", AH26&lt;&gt;"U/A",AE26=Prizewinners!$J$1),AF26,"")</f>
        <v/>
      </c>
      <c r="AJ26" s="58" t="str">
        <f>IF(AND(J26="F",  AH26&lt;&gt;"U/A",AE26=Prizewinners!$J$16),AF26,"")</f>
        <v/>
      </c>
      <c r="AK26" s="58" t="str">
        <f t="shared" si="16"/>
        <v/>
      </c>
      <c r="AL26" s="58" t="str">
        <f t="shared" si="17"/>
        <v/>
      </c>
      <c r="AM26" s="58" t="str">
        <f t="shared" si="18"/>
        <v>MEast London Runners9</v>
      </c>
      <c r="AN26" s="58" t="str">
        <f t="shared" si="19"/>
        <v/>
      </c>
      <c r="AO26" s="58" t="str">
        <f t="shared" si="20"/>
        <v/>
      </c>
      <c r="AP26" s="58" t="str">
        <f t="shared" si="21"/>
        <v/>
      </c>
      <c r="AQ26" s="58" t="str">
        <f t="shared" si="22"/>
        <v>Aaron Browne</v>
      </c>
    </row>
    <row r="27" spans="1:43" x14ac:dyDescent="0.25">
      <c r="A27" s="12" t="str">
        <f t="shared" si="8"/>
        <v>SM,15</v>
      </c>
      <c r="B27" s="12" t="str">
        <f t="shared" si="9"/>
        <v>M,25</v>
      </c>
      <c r="C27" s="11">
        <f t="shared" si="23"/>
        <v>26</v>
      </c>
      <c r="D27" s="171">
        <v>331</v>
      </c>
      <c r="E27" s="12">
        <f t="shared" si="0"/>
        <v>1</v>
      </c>
      <c r="F27" s="12">
        <f>COUNTIF(H$2:H27,H27)</f>
        <v>15</v>
      </c>
      <c r="G27" s="12">
        <f>COUNTIF(J$2:J27,J27)</f>
        <v>25</v>
      </c>
      <c r="H27" s="12" t="str">
        <f t="shared" si="1"/>
        <v>SM</v>
      </c>
      <c r="I27" s="50" t="str">
        <f t="shared" si="2"/>
        <v>SM</v>
      </c>
      <c r="J27" s="50" t="str">
        <f t="shared" si="3"/>
        <v>M</v>
      </c>
      <c r="K27" s="64" t="str">
        <f t="shared" si="4"/>
        <v>John Crawley</v>
      </c>
      <c r="L27" s="64" t="str">
        <f t="shared" si="5"/>
        <v>Ilford AC</v>
      </c>
      <c r="M27" s="171">
        <v>0</v>
      </c>
      <c r="N27" s="178">
        <v>18</v>
      </c>
      <c r="O27" s="178">
        <v>17</v>
      </c>
      <c r="P27" s="138">
        <f t="shared" si="10"/>
        <v>0</v>
      </c>
      <c r="Q27" s="137">
        <f t="shared" si="11"/>
        <v>18</v>
      </c>
      <c r="R27" s="143"/>
      <c r="S27" s="143"/>
      <c r="T27" s="143"/>
      <c r="U27" s="144"/>
      <c r="V27" s="144"/>
      <c r="W27" s="144"/>
      <c r="X27" s="145"/>
      <c r="Y27" s="152" t="str">
        <f t="shared" si="12"/>
        <v xml:space="preserve">   18.17 </v>
      </c>
      <c r="Z27" s="136"/>
      <c r="AA27" s="50">
        <f t="shared" si="6"/>
        <v>33</v>
      </c>
      <c r="AB27" s="129">
        <f t="shared" si="7"/>
        <v>31023</v>
      </c>
      <c r="AC27" s="58" t="str">
        <f t="shared" si="13"/>
        <v/>
      </c>
      <c r="AD27" s="58" t="str">
        <f t="shared" si="14"/>
        <v>MIlford AC</v>
      </c>
      <c r="AE27" s="60">
        <f>IF(AD27="","",COUNTIF($AD$2:AD27,AD27))</f>
        <v>7</v>
      </c>
      <c r="AF27" s="62">
        <f>IF(AD27="","",SUMIF(AD$2:AD27,AD27,G$2:G27))</f>
        <v>81</v>
      </c>
      <c r="AG27" s="62" t="str">
        <f>IF(AK27&lt;&gt;"",COUNTIF($AK$1:AK26,AK27)+AK27,IF(AL27&lt;&gt;"",COUNTIF($AL$1:AL26,AL27)+AL27,""))</f>
        <v/>
      </c>
      <c r="AH27" s="62" t="str">
        <f t="shared" si="15"/>
        <v>Ilford AC</v>
      </c>
      <c r="AI27" s="62" t="str">
        <f>IF(AND(J27="M", AH27&lt;&gt;"U/A",AE27=Prizewinners!$J$1),AF27,"")</f>
        <v/>
      </c>
      <c r="AJ27" s="58" t="str">
        <f>IF(AND(J27="F",  AH27&lt;&gt;"U/A",AE27=Prizewinners!$J$16),AF27,"")</f>
        <v/>
      </c>
      <c r="AK27" s="58" t="str">
        <f t="shared" si="16"/>
        <v/>
      </c>
      <c r="AL27" s="58" t="str">
        <f t="shared" si="17"/>
        <v/>
      </c>
      <c r="AM27" s="58" t="str">
        <f t="shared" si="18"/>
        <v>MIlford AC7</v>
      </c>
      <c r="AN27" s="58" t="str">
        <f t="shared" si="19"/>
        <v/>
      </c>
      <c r="AO27" s="58" t="str">
        <f t="shared" si="20"/>
        <v/>
      </c>
      <c r="AP27" s="58" t="str">
        <f t="shared" si="21"/>
        <v/>
      </c>
      <c r="AQ27" s="58" t="str">
        <f t="shared" si="22"/>
        <v>John Crawley</v>
      </c>
    </row>
    <row r="28" spans="1:43" x14ac:dyDescent="0.25">
      <c r="A28" s="12" t="str">
        <f t="shared" si="8"/>
        <v>VM40,7</v>
      </c>
      <c r="B28" s="12" t="str">
        <f t="shared" si="9"/>
        <v>M,26</v>
      </c>
      <c r="C28" s="11">
        <f t="shared" si="23"/>
        <v>27</v>
      </c>
      <c r="D28" s="171">
        <v>441</v>
      </c>
      <c r="E28" s="12">
        <f t="shared" si="0"/>
        <v>1</v>
      </c>
      <c r="F28" s="12">
        <f>COUNTIF(H$2:H28,H28)</f>
        <v>7</v>
      </c>
      <c r="G28" s="12">
        <f>COUNTIF(J$2:J28,J28)</f>
        <v>26</v>
      </c>
      <c r="H28" s="12" t="str">
        <f t="shared" si="1"/>
        <v>VM40</v>
      </c>
      <c r="I28" s="50" t="str">
        <f t="shared" si="2"/>
        <v>VM40</v>
      </c>
      <c r="J28" s="50" t="str">
        <f t="shared" si="3"/>
        <v>M</v>
      </c>
      <c r="K28" s="64" t="str">
        <f t="shared" si="4"/>
        <v>Scott McMillan</v>
      </c>
      <c r="L28" s="64" t="str">
        <f t="shared" si="5"/>
        <v>East London Runners</v>
      </c>
      <c r="M28" s="171">
        <v>0</v>
      </c>
      <c r="N28" s="178">
        <v>18</v>
      </c>
      <c r="O28" s="178">
        <v>31</v>
      </c>
      <c r="P28" s="138">
        <f t="shared" si="10"/>
        <v>0</v>
      </c>
      <c r="Q28" s="137">
        <f t="shared" si="11"/>
        <v>18</v>
      </c>
      <c r="R28" s="143"/>
      <c r="S28" s="143"/>
      <c r="T28" s="143"/>
      <c r="U28" s="144"/>
      <c r="V28" s="144"/>
      <c r="W28" s="144"/>
      <c r="X28" s="145"/>
      <c r="Y28" s="152" t="str">
        <f t="shared" si="12"/>
        <v xml:space="preserve">   18.31 </v>
      </c>
      <c r="Z28" s="136"/>
      <c r="AA28" s="50">
        <f t="shared" si="6"/>
        <v>43</v>
      </c>
      <c r="AB28" s="129">
        <f t="shared" si="7"/>
        <v>27550</v>
      </c>
      <c r="AC28" s="58" t="str">
        <f t="shared" si="13"/>
        <v/>
      </c>
      <c r="AD28" s="58" t="str">
        <f t="shared" si="14"/>
        <v>MEast London Runners</v>
      </c>
      <c r="AE28" s="60">
        <f>IF(AD28="","",COUNTIF($AD$2:AD28,AD28))</f>
        <v>10</v>
      </c>
      <c r="AF28" s="62">
        <f>IF(AD28="","",SUMIF(AD$2:AD28,AD28,G$2:G28))</f>
        <v>148</v>
      </c>
      <c r="AG28" s="62" t="str">
        <f>IF(AK28&lt;&gt;"",COUNTIF($AK$1:AK27,AK28)+AK28,IF(AL28&lt;&gt;"",COUNTIF($AL$1:AL27,AL28)+AL28,""))</f>
        <v/>
      </c>
      <c r="AH28" s="62" t="str">
        <f t="shared" si="15"/>
        <v>East London Runners</v>
      </c>
      <c r="AI28" s="62" t="str">
        <f>IF(AND(J28="M", AH28&lt;&gt;"U/A",AE28=Prizewinners!$J$1),AF28,"")</f>
        <v/>
      </c>
      <c r="AJ28" s="58" t="str">
        <f>IF(AND(J28="F",  AH28&lt;&gt;"U/A",AE28=Prizewinners!$J$16),AF28,"")</f>
        <v/>
      </c>
      <c r="AK28" s="58" t="str">
        <f t="shared" si="16"/>
        <v/>
      </c>
      <c r="AL28" s="58" t="str">
        <f t="shared" si="17"/>
        <v/>
      </c>
      <c r="AM28" s="58" t="str">
        <f t="shared" si="18"/>
        <v>MEast London Runners10</v>
      </c>
      <c r="AN28" s="58" t="str">
        <f t="shared" si="19"/>
        <v/>
      </c>
      <c r="AO28" s="58" t="str">
        <f t="shared" si="20"/>
        <v/>
      </c>
      <c r="AP28" s="58" t="str">
        <f t="shared" si="21"/>
        <v/>
      </c>
      <c r="AQ28" s="58" t="str">
        <f t="shared" si="22"/>
        <v>Scott McMillan</v>
      </c>
    </row>
    <row r="29" spans="1:43" x14ac:dyDescent="0.25">
      <c r="A29" s="12" t="str">
        <f t="shared" si="8"/>
        <v>SM,16</v>
      </c>
      <c r="B29" s="12" t="str">
        <f t="shared" si="9"/>
        <v>M,27</v>
      </c>
      <c r="C29" s="11">
        <f t="shared" si="23"/>
        <v>28</v>
      </c>
      <c r="D29" s="171">
        <v>3</v>
      </c>
      <c r="E29" s="12">
        <f t="shared" si="0"/>
        <v>1</v>
      </c>
      <c r="F29" s="12">
        <f>COUNTIF(H$2:H29,H29)</f>
        <v>16</v>
      </c>
      <c r="G29" s="12">
        <f>COUNTIF(J$2:J29,J29)</f>
        <v>27</v>
      </c>
      <c r="H29" s="12" t="str">
        <f t="shared" si="1"/>
        <v>SM</v>
      </c>
      <c r="I29" s="50" t="str">
        <f t="shared" si="2"/>
        <v>SM</v>
      </c>
      <c r="J29" s="50" t="str">
        <f t="shared" si="3"/>
        <v>M</v>
      </c>
      <c r="K29" s="64" t="str">
        <f t="shared" si="4"/>
        <v>Philip Ellul</v>
      </c>
      <c r="L29" s="64" t="str">
        <f t="shared" si="5"/>
        <v>Barking Road Runners</v>
      </c>
      <c r="M29" s="171">
        <v>0</v>
      </c>
      <c r="N29" s="178">
        <v>18</v>
      </c>
      <c r="O29" s="178">
        <v>40</v>
      </c>
      <c r="P29" s="138">
        <f t="shared" si="10"/>
        <v>0</v>
      </c>
      <c r="Q29" s="137">
        <f t="shared" si="11"/>
        <v>18</v>
      </c>
      <c r="R29" s="143"/>
      <c r="S29" s="143"/>
      <c r="T29" s="143"/>
      <c r="U29" s="144"/>
      <c r="V29" s="144"/>
      <c r="W29" s="144"/>
      <c r="X29" s="145"/>
      <c r="Y29" s="152" t="str">
        <f t="shared" si="12"/>
        <v xml:space="preserve">   18.40 </v>
      </c>
      <c r="Z29" s="136"/>
      <c r="AA29" s="50">
        <f t="shared" si="6"/>
        <v>18</v>
      </c>
      <c r="AB29" s="129">
        <f t="shared" si="7"/>
        <v>36643</v>
      </c>
      <c r="AC29" s="58" t="str">
        <f t="shared" si="13"/>
        <v/>
      </c>
      <c r="AD29" s="58" t="str">
        <f t="shared" si="14"/>
        <v>MBarking Road Runners</v>
      </c>
      <c r="AE29" s="60">
        <f>IF(AD29="","",COUNTIF($AD$2:AD29,AD29))</f>
        <v>2</v>
      </c>
      <c r="AF29" s="62">
        <f>IF(AD29="","",SUMIF(AD$2:AD29,AD29,G$2:G29))</f>
        <v>33</v>
      </c>
      <c r="AG29" s="62" t="str">
        <f>IF(AK29&lt;&gt;"",COUNTIF($AK$1:AK28,AK29)+AK29,IF(AL29&lt;&gt;"",COUNTIF($AL$1:AL28,AL29)+AL29,""))</f>
        <v/>
      </c>
      <c r="AH29" s="62" t="str">
        <f t="shared" si="15"/>
        <v>Barking Road Runners</v>
      </c>
      <c r="AI29" s="62" t="str">
        <f>IF(AND(J29="M", AH29&lt;&gt;"U/A",AE29=Prizewinners!$J$1),AF29,"")</f>
        <v/>
      </c>
      <c r="AJ29" s="58" t="str">
        <f>IF(AND(J29="F",  AH29&lt;&gt;"U/A",AE29=Prizewinners!$J$16),AF29,"")</f>
        <v/>
      </c>
      <c r="AK29" s="58" t="str">
        <f t="shared" si="16"/>
        <v/>
      </c>
      <c r="AL29" s="58" t="str">
        <f t="shared" si="17"/>
        <v/>
      </c>
      <c r="AM29" s="58" t="str">
        <f t="shared" si="18"/>
        <v>MBarking Road Runners2</v>
      </c>
      <c r="AN29" s="58" t="str">
        <f t="shared" si="19"/>
        <v/>
      </c>
      <c r="AO29" s="58" t="str">
        <f t="shared" si="20"/>
        <v/>
      </c>
      <c r="AP29" s="58" t="str">
        <f t="shared" si="21"/>
        <v/>
      </c>
      <c r="AQ29" s="58" t="str">
        <f t="shared" si="22"/>
        <v>Philip Ellul</v>
      </c>
    </row>
    <row r="30" spans="1:43" x14ac:dyDescent="0.25">
      <c r="A30" s="12" t="str">
        <f t="shared" si="8"/>
        <v>,5</v>
      </c>
      <c r="B30" s="12" t="str">
        <f t="shared" si="9"/>
        <v>F,2</v>
      </c>
      <c r="C30" s="11">
        <f t="shared" si="23"/>
        <v>29</v>
      </c>
      <c r="D30" s="171">
        <v>121</v>
      </c>
      <c r="E30" s="12">
        <f t="shared" si="0"/>
        <v>1</v>
      </c>
      <c r="F30" s="12">
        <f>COUNTIF(H$2:H30,H30)</f>
        <v>5</v>
      </c>
      <c r="G30" s="12">
        <f>COUNTIF(J$2:J30,J30)</f>
        <v>2</v>
      </c>
      <c r="H30" s="12" t="str">
        <f t="shared" si="1"/>
        <v/>
      </c>
      <c r="I30" s="50" t="str">
        <f t="shared" si="2"/>
        <v>SF</v>
      </c>
      <c r="J30" s="50" t="str">
        <f t="shared" si="3"/>
        <v>F</v>
      </c>
      <c r="K30" s="64" t="str">
        <f t="shared" si="4"/>
        <v xml:space="preserve">Emily Bullis	</v>
      </c>
      <c r="L30" s="64" t="str">
        <f t="shared" si="5"/>
        <v>Basildon AC</v>
      </c>
      <c r="M30" s="171">
        <v>0</v>
      </c>
      <c r="N30" s="178">
        <v>18</v>
      </c>
      <c r="O30" s="178">
        <v>41</v>
      </c>
      <c r="P30" s="138">
        <f t="shared" si="10"/>
        <v>0</v>
      </c>
      <c r="Q30" s="137">
        <f t="shared" si="11"/>
        <v>18</v>
      </c>
      <c r="R30" s="143"/>
      <c r="S30" s="143"/>
      <c r="T30" s="143"/>
      <c r="U30" s="144"/>
      <c r="V30" s="144"/>
      <c r="W30" s="144"/>
      <c r="X30" s="145"/>
      <c r="Y30" s="152" t="str">
        <f t="shared" si="12"/>
        <v xml:space="preserve">   18.41 </v>
      </c>
      <c r="Z30" s="136"/>
      <c r="AA30" s="50">
        <f t="shared" si="6"/>
        <v>22</v>
      </c>
      <c r="AB30" s="129">
        <f t="shared" si="7"/>
        <v>35045</v>
      </c>
      <c r="AC30" s="58" t="str">
        <f t="shared" si="13"/>
        <v/>
      </c>
      <c r="AD30" s="58" t="str">
        <f t="shared" si="14"/>
        <v>FBasildon AC</v>
      </c>
      <c r="AE30" s="60">
        <f>IF(AD30="","",COUNTIF($AD$2:AD30,AD30))</f>
        <v>2</v>
      </c>
      <c r="AF30" s="62">
        <f>IF(AD30="","",SUMIF(AD$2:AD30,AD30,G$2:G30))</f>
        <v>3</v>
      </c>
      <c r="AG30" s="62" t="str">
        <f>IF(AK30&lt;&gt;"",COUNTIF($AK$1:AK29,AK30)+AK30,IF(AL30&lt;&gt;"",COUNTIF($AL$1:AL29,AL30)+AL30,""))</f>
        <v/>
      </c>
      <c r="AH30" s="62" t="str">
        <f t="shared" si="15"/>
        <v>Basildon AC</v>
      </c>
      <c r="AI30" s="62" t="str">
        <f>IF(AND(J30="M", AH30&lt;&gt;"U/A",AE30=Prizewinners!$J$1),AF30,"")</f>
        <v/>
      </c>
      <c r="AJ30" s="58" t="str">
        <f>IF(AND(J30="F",  AH30&lt;&gt;"U/A",AE30=Prizewinners!$J$16),AF30,"")</f>
        <v/>
      </c>
      <c r="AK30" s="58" t="str">
        <f t="shared" si="16"/>
        <v/>
      </c>
      <c r="AL30" s="58" t="str">
        <f t="shared" si="17"/>
        <v/>
      </c>
      <c r="AM30" s="58" t="str">
        <f t="shared" si="18"/>
        <v>FBasildon AC2</v>
      </c>
      <c r="AN30" s="58" t="str">
        <f t="shared" si="19"/>
        <v/>
      </c>
      <c r="AO30" s="58" t="str">
        <f t="shared" si="20"/>
        <v/>
      </c>
      <c r="AP30" s="58" t="str">
        <f t="shared" si="21"/>
        <v/>
      </c>
      <c r="AQ30" s="58" t="str">
        <f t="shared" si="22"/>
        <v xml:space="preserve">Emily Bullis	</v>
      </c>
    </row>
    <row r="31" spans="1:43" x14ac:dyDescent="0.25">
      <c r="A31" s="12" t="str">
        <f t="shared" si="8"/>
        <v>SM,17</v>
      </c>
      <c r="B31" s="12" t="str">
        <f t="shared" si="9"/>
        <v>M,28</v>
      </c>
      <c r="C31" s="11">
        <f t="shared" si="23"/>
        <v>30</v>
      </c>
      <c r="D31" s="171">
        <v>447</v>
      </c>
      <c r="E31" s="12">
        <f t="shared" si="0"/>
        <v>1</v>
      </c>
      <c r="F31" s="12">
        <f>COUNTIF(H$2:H31,H31)</f>
        <v>17</v>
      </c>
      <c r="G31" s="12">
        <f>COUNTIF(J$2:J31,J31)</f>
        <v>28</v>
      </c>
      <c r="H31" s="12" t="str">
        <f t="shared" si="1"/>
        <v>SM</v>
      </c>
      <c r="I31" s="50" t="str">
        <f t="shared" si="2"/>
        <v>SM</v>
      </c>
      <c r="J31" s="50" t="str">
        <f t="shared" si="3"/>
        <v>M</v>
      </c>
      <c r="K31" s="64" t="str">
        <f t="shared" si="4"/>
        <v>Christopher King</v>
      </c>
      <c r="L31" s="64" t="str">
        <f t="shared" si="5"/>
        <v>Harold Wood Running Club</v>
      </c>
      <c r="M31" s="171">
        <v>0</v>
      </c>
      <c r="N31" s="178">
        <v>18</v>
      </c>
      <c r="O31" s="178">
        <v>42</v>
      </c>
      <c r="P31" s="138">
        <f t="shared" si="10"/>
        <v>0</v>
      </c>
      <c r="Q31" s="137">
        <f t="shared" si="11"/>
        <v>18</v>
      </c>
      <c r="R31" s="143"/>
      <c r="S31" s="143"/>
      <c r="T31" s="143"/>
      <c r="U31" s="144"/>
      <c r="V31" s="144"/>
      <c r="W31" s="144"/>
      <c r="X31" s="145"/>
      <c r="Y31" s="152" t="str">
        <f t="shared" si="12"/>
        <v xml:space="preserve">   18.42 </v>
      </c>
      <c r="Z31" s="136"/>
      <c r="AA31" s="50">
        <f t="shared" si="6"/>
        <v>30</v>
      </c>
      <c r="AB31" s="129">
        <f t="shared" si="7"/>
        <v>32188</v>
      </c>
      <c r="AC31" s="58" t="str">
        <f t="shared" si="13"/>
        <v/>
      </c>
      <c r="AD31" s="58" t="str">
        <f t="shared" si="14"/>
        <v>MHarold Wood Running Club</v>
      </c>
      <c r="AE31" s="60">
        <f>IF(AD31="","",COUNTIF($AD$2:AD31,AD31))</f>
        <v>2</v>
      </c>
      <c r="AF31" s="62">
        <f>IF(AD31="","",SUMIF(AD$2:AD31,AD31,G$2:G31))</f>
        <v>40</v>
      </c>
      <c r="AG31" s="62" t="str">
        <f>IF(AK31&lt;&gt;"",COUNTIF($AK$1:AK30,AK31)+AK31,IF(AL31&lt;&gt;"",COUNTIF($AL$1:AL30,AL31)+AL31,""))</f>
        <v/>
      </c>
      <c r="AH31" s="62" t="str">
        <f t="shared" si="15"/>
        <v>Harold Wood Running Club</v>
      </c>
      <c r="AI31" s="62" t="str">
        <f>IF(AND(J31="M", AH31&lt;&gt;"U/A",AE31=Prizewinners!$J$1),AF31,"")</f>
        <v/>
      </c>
      <c r="AJ31" s="58" t="str">
        <f>IF(AND(J31="F",  AH31&lt;&gt;"U/A",AE31=Prizewinners!$J$16),AF31,"")</f>
        <v/>
      </c>
      <c r="AK31" s="58" t="str">
        <f t="shared" si="16"/>
        <v/>
      </c>
      <c r="AL31" s="58" t="str">
        <f t="shared" si="17"/>
        <v/>
      </c>
      <c r="AM31" s="58" t="str">
        <f t="shared" si="18"/>
        <v>MHarold Wood Running Club2</v>
      </c>
      <c r="AN31" s="58" t="str">
        <f t="shared" si="19"/>
        <v/>
      </c>
      <c r="AO31" s="58" t="str">
        <f t="shared" si="20"/>
        <v/>
      </c>
      <c r="AP31" s="58" t="str">
        <f t="shared" si="21"/>
        <v/>
      </c>
      <c r="AQ31" s="58" t="str">
        <f t="shared" si="22"/>
        <v>Christopher King</v>
      </c>
    </row>
    <row r="32" spans="1:43" x14ac:dyDescent="0.25">
      <c r="A32" s="12" t="str">
        <f t="shared" si="8"/>
        <v>VM40,8</v>
      </c>
      <c r="B32" s="12" t="str">
        <f t="shared" si="9"/>
        <v>M,29</v>
      </c>
      <c r="C32" s="11">
        <f t="shared" si="23"/>
        <v>31</v>
      </c>
      <c r="D32" s="171">
        <v>17</v>
      </c>
      <c r="E32" s="12">
        <f t="shared" si="0"/>
        <v>1</v>
      </c>
      <c r="F32" s="12">
        <f>COUNTIF(H$2:H32,H32)</f>
        <v>8</v>
      </c>
      <c r="G32" s="12">
        <f>COUNTIF(J$2:J32,J32)</f>
        <v>29</v>
      </c>
      <c r="H32" s="12" t="str">
        <f t="shared" si="1"/>
        <v>VM40</v>
      </c>
      <c r="I32" s="50" t="str">
        <f t="shared" si="2"/>
        <v>VM40</v>
      </c>
      <c r="J32" s="50" t="str">
        <f t="shared" si="3"/>
        <v>M</v>
      </c>
      <c r="K32" s="64" t="str">
        <f t="shared" si="4"/>
        <v>Dan Senior</v>
      </c>
      <c r="L32" s="64" t="str">
        <f t="shared" si="5"/>
        <v>East London Runners</v>
      </c>
      <c r="M32" s="171">
        <v>0</v>
      </c>
      <c r="N32" s="178">
        <v>18</v>
      </c>
      <c r="O32" s="178">
        <v>43</v>
      </c>
      <c r="P32" s="138">
        <f t="shared" si="10"/>
        <v>0</v>
      </c>
      <c r="Q32" s="137">
        <f t="shared" si="11"/>
        <v>18</v>
      </c>
      <c r="R32" s="143"/>
      <c r="S32" s="143"/>
      <c r="T32" s="143"/>
      <c r="U32" s="144"/>
      <c r="V32" s="144"/>
      <c r="W32" s="144"/>
      <c r="X32" s="145"/>
      <c r="Y32" s="152" t="str">
        <f t="shared" si="12"/>
        <v xml:space="preserve">   18.43 </v>
      </c>
      <c r="Z32" s="136"/>
      <c r="AA32" s="50">
        <f t="shared" si="6"/>
        <v>42</v>
      </c>
      <c r="AB32" s="129">
        <f t="shared" si="7"/>
        <v>27732</v>
      </c>
      <c r="AC32" s="58" t="str">
        <f t="shared" si="13"/>
        <v/>
      </c>
      <c r="AD32" s="58" t="str">
        <f t="shared" si="14"/>
        <v>MEast London Runners</v>
      </c>
      <c r="AE32" s="60">
        <f>IF(AD32="","",COUNTIF($AD$2:AD32,AD32))</f>
        <v>11</v>
      </c>
      <c r="AF32" s="62">
        <f>IF(AD32="","",SUMIF(AD$2:AD32,AD32,G$2:G32))</f>
        <v>177</v>
      </c>
      <c r="AG32" s="62" t="str">
        <f>IF(AK32&lt;&gt;"",COUNTIF($AK$1:AK31,AK32)+AK32,IF(AL32&lt;&gt;"",COUNTIF($AL$1:AL31,AL32)+AL32,""))</f>
        <v/>
      </c>
      <c r="AH32" s="62" t="str">
        <f t="shared" si="15"/>
        <v>East London Runners</v>
      </c>
      <c r="AI32" s="62" t="str">
        <f>IF(AND(J32="M", AH32&lt;&gt;"U/A",AE32=Prizewinners!$J$1),AF32,"")</f>
        <v/>
      </c>
      <c r="AJ32" s="58" t="str">
        <f>IF(AND(J32="F",  AH32&lt;&gt;"U/A",AE32=Prizewinners!$J$16),AF32,"")</f>
        <v/>
      </c>
      <c r="AK32" s="58" t="str">
        <f t="shared" si="16"/>
        <v/>
      </c>
      <c r="AL32" s="58" t="str">
        <f t="shared" si="17"/>
        <v/>
      </c>
      <c r="AM32" s="58" t="str">
        <f t="shared" si="18"/>
        <v>MEast London Runners11</v>
      </c>
      <c r="AN32" s="58" t="str">
        <f t="shared" si="19"/>
        <v/>
      </c>
      <c r="AO32" s="58" t="str">
        <f t="shared" si="20"/>
        <v/>
      </c>
      <c r="AP32" s="58" t="str">
        <f t="shared" si="21"/>
        <v/>
      </c>
      <c r="AQ32" s="58" t="str">
        <f t="shared" si="22"/>
        <v>Dan Senior</v>
      </c>
    </row>
    <row r="33" spans="1:43" x14ac:dyDescent="0.25">
      <c r="A33" s="12" t="str">
        <f t="shared" si="8"/>
        <v>VM40,9</v>
      </c>
      <c r="B33" s="12" t="str">
        <f t="shared" si="9"/>
        <v>M,30</v>
      </c>
      <c r="C33" s="11">
        <f t="shared" si="23"/>
        <v>32</v>
      </c>
      <c r="D33" s="171">
        <v>1</v>
      </c>
      <c r="E33" s="12">
        <f t="shared" si="0"/>
        <v>1</v>
      </c>
      <c r="F33" s="12">
        <f>COUNTIF(H$2:H33,H33)</f>
        <v>9</v>
      </c>
      <c r="G33" s="12">
        <f>COUNTIF(J$2:J33,J33)</f>
        <v>30</v>
      </c>
      <c r="H33" s="12" t="str">
        <f t="shared" si="1"/>
        <v>VM40</v>
      </c>
      <c r="I33" s="50" t="str">
        <f t="shared" si="2"/>
        <v>VM40</v>
      </c>
      <c r="J33" s="50" t="str">
        <f t="shared" si="3"/>
        <v>M</v>
      </c>
      <c r="K33" s="64" t="str">
        <f t="shared" si="4"/>
        <v>Diarmuid Mac Donnell</v>
      </c>
      <c r="L33" s="64" t="str">
        <f t="shared" si="5"/>
        <v>Barking Road Runners</v>
      </c>
      <c r="M33" s="171">
        <v>0</v>
      </c>
      <c r="N33" s="178">
        <v>18</v>
      </c>
      <c r="O33" s="178">
        <v>46</v>
      </c>
      <c r="P33" s="138">
        <f t="shared" si="10"/>
        <v>0</v>
      </c>
      <c r="Q33" s="137">
        <f t="shared" si="11"/>
        <v>18</v>
      </c>
      <c r="R33" s="143"/>
      <c r="S33" s="143"/>
      <c r="T33" s="143"/>
      <c r="U33" s="144"/>
      <c r="V33" s="144"/>
      <c r="W33" s="144"/>
      <c r="X33" s="145"/>
      <c r="Y33" s="152" t="str">
        <f t="shared" si="12"/>
        <v xml:space="preserve">   18.46 </v>
      </c>
      <c r="Z33" s="136"/>
      <c r="AA33" s="50">
        <f t="shared" si="6"/>
        <v>46</v>
      </c>
      <c r="AB33" s="129">
        <f t="shared" si="7"/>
        <v>26288</v>
      </c>
      <c r="AC33" s="58" t="str">
        <f t="shared" si="13"/>
        <v>M3</v>
      </c>
      <c r="AD33" s="58" t="str">
        <f t="shared" si="14"/>
        <v>MBarking Road Runners</v>
      </c>
      <c r="AE33" s="60">
        <f>IF(AD33="","",COUNTIF($AD$2:AD33,AD33))</f>
        <v>3</v>
      </c>
      <c r="AF33" s="62">
        <f>IF(AD33="","",SUMIF(AD$2:AD33,AD33,G$2:G33))</f>
        <v>63</v>
      </c>
      <c r="AG33" s="62">
        <f>IF(AK33&lt;&gt;"",COUNTIF($AK$1:AK32,AK33)+AK33,IF(AL33&lt;&gt;"",COUNTIF($AL$1:AL32,AL33)+AL33,""))</f>
        <v>3</v>
      </c>
      <c r="AH33" s="62" t="str">
        <f t="shared" si="15"/>
        <v>Barking Road Runners</v>
      </c>
      <c r="AI33" s="62">
        <f>IF(AND(J33="M", AH33&lt;&gt;"U/A",AE33=Prizewinners!$J$1),AF33,"")</f>
        <v>63</v>
      </c>
      <c r="AJ33" s="58" t="str">
        <f>IF(AND(J33="F",  AH33&lt;&gt;"U/A",AE33=Prizewinners!$J$16),AF33,"")</f>
        <v/>
      </c>
      <c r="AK33" s="58">
        <f t="shared" si="16"/>
        <v>3</v>
      </c>
      <c r="AL33" s="58" t="str">
        <f t="shared" si="17"/>
        <v/>
      </c>
      <c r="AM33" s="58" t="str">
        <f t="shared" si="18"/>
        <v>MBarking Road Runners3</v>
      </c>
      <c r="AN33" s="58" t="str">
        <f t="shared" si="19"/>
        <v>Liviu Ionita</v>
      </c>
      <c r="AO33" s="58" t="str">
        <f t="shared" si="20"/>
        <v>Philip Ellul</v>
      </c>
      <c r="AP33" s="58" t="str">
        <f t="shared" si="21"/>
        <v>Diarmuid Mac Donnell</v>
      </c>
      <c r="AQ33" s="58" t="str">
        <f t="shared" si="22"/>
        <v>Diarmuid Mac Donnell</v>
      </c>
    </row>
    <row r="34" spans="1:43" x14ac:dyDescent="0.25">
      <c r="A34" s="12" t="str">
        <f t="shared" si="8"/>
        <v>SM,18</v>
      </c>
      <c r="B34" s="12" t="str">
        <f t="shared" si="9"/>
        <v>M,31</v>
      </c>
      <c r="C34" s="11">
        <f t="shared" si="23"/>
        <v>33</v>
      </c>
      <c r="D34" s="171">
        <v>405</v>
      </c>
      <c r="E34" s="12">
        <f t="shared" si="0"/>
        <v>1</v>
      </c>
      <c r="F34" s="12">
        <f>COUNTIF(H$2:H34,H34)</f>
        <v>18</v>
      </c>
      <c r="G34" s="12">
        <f>COUNTIF(J$2:J34,J34)</f>
        <v>31</v>
      </c>
      <c r="H34" s="12" t="str">
        <f t="shared" si="1"/>
        <v>SM</v>
      </c>
      <c r="I34" s="50" t="str">
        <f t="shared" si="2"/>
        <v>SM</v>
      </c>
      <c r="J34" s="50" t="str">
        <f t="shared" si="3"/>
        <v>M</v>
      </c>
      <c r="K34" s="64" t="str">
        <f t="shared" si="4"/>
        <v>James Nichols</v>
      </c>
      <c r="L34" s="64" t="str">
        <f t="shared" si="5"/>
        <v>East London Runners</v>
      </c>
      <c r="M34" s="171">
        <v>0</v>
      </c>
      <c r="N34" s="178">
        <v>18</v>
      </c>
      <c r="O34" s="178">
        <v>48</v>
      </c>
      <c r="P34" s="138">
        <f t="shared" si="10"/>
        <v>0</v>
      </c>
      <c r="Q34" s="137">
        <f t="shared" si="11"/>
        <v>18</v>
      </c>
      <c r="R34" s="143"/>
      <c r="S34" s="143"/>
      <c r="T34" s="143"/>
      <c r="U34" s="144"/>
      <c r="V34" s="144"/>
      <c r="W34" s="144"/>
      <c r="X34" s="145"/>
      <c r="Y34" s="152" t="str">
        <f t="shared" si="12"/>
        <v xml:space="preserve">   18.48 </v>
      </c>
      <c r="Z34" s="136"/>
      <c r="AA34" s="50">
        <f t="shared" si="6"/>
        <v>34</v>
      </c>
      <c r="AB34" s="129">
        <f t="shared" si="7"/>
        <v>30601</v>
      </c>
      <c r="AC34" s="58" t="str">
        <f t="shared" si="13"/>
        <v/>
      </c>
      <c r="AD34" s="58" t="str">
        <f t="shared" si="14"/>
        <v>MEast London Runners</v>
      </c>
      <c r="AE34" s="60">
        <f>IF(AD34="","",COUNTIF($AD$2:AD34,AD34))</f>
        <v>12</v>
      </c>
      <c r="AF34" s="62">
        <f>IF(AD34="","",SUMIF(AD$2:AD34,AD34,G$2:G34))</f>
        <v>208</v>
      </c>
      <c r="AG34" s="62" t="str">
        <f>IF(AK34&lt;&gt;"",COUNTIF($AK$1:AK33,AK34)+AK34,IF(AL34&lt;&gt;"",COUNTIF($AL$1:AL33,AL34)+AL34,""))</f>
        <v/>
      </c>
      <c r="AH34" s="62" t="str">
        <f t="shared" si="15"/>
        <v>East London Runners</v>
      </c>
      <c r="AI34" s="62" t="str">
        <f>IF(AND(J34="M", AH34&lt;&gt;"U/A",AE34=Prizewinners!$J$1),AF34,"")</f>
        <v/>
      </c>
      <c r="AJ34" s="58" t="str">
        <f>IF(AND(J34="F",  AH34&lt;&gt;"U/A",AE34=Prizewinners!$J$16),AF34,"")</f>
        <v/>
      </c>
      <c r="AK34" s="58" t="str">
        <f t="shared" si="16"/>
        <v/>
      </c>
      <c r="AL34" s="58" t="str">
        <f t="shared" si="17"/>
        <v/>
      </c>
      <c r="AM34" s="58" t="str">
        <f t="shared" si="18"/>
        <v>MEast London Runners12</v>
      </c>
      <c r="AN34" s="58" t="str">
        <f t="shared" si="19"/>
        <v/>
      </c>
      <c r="AO34" s="58" t="str">
        <f t="shared" si="20"/>
        <v/>
      </c>
      <c r="AP34" s="58" t="str">
        <f t="shared" si="21"/>
        <v/>
      </c>
      <c r="AQ34" s="58" t="str">
        <f t="shared" si="22"/>
        <v>James Nichols</v>
      </c>
    </row>
    <row r="35" spans="1:43" x14ac:dyDescent="0.25">
      <c r="A35" s="12" t="str">
        <f t="shared" si="8"/>
        <v>SM,19</v>
      </c>
      <c r="B35" s="12" t="str">
        <f t="shared" si="9"/>
        <v>M,32</v>
      </c>
      <c r="C35" s="11">
        <f t="shared" si="23"/>
        <v>34</v>
      </c>
      <c r="D35" s="171">
        <v>431</v>
      </c>
      <c r="E35" s="12">
        <f t="shared" si="0"/>
        <v>1</v>
      </c>
      <c r="F35" s="12">
        <f>COUNTIF(H$2:H35,H35)</f>
        <v>19</v>
      </c>
      <c r="G35" s="12">
        <f>COUNTIF(J$2:J35,J35)</f>
        <v>32</v>
      </c>
      <c r="H35" s="12" t="str">
        <f t="shared" si="1"/>
        <v>SM</v>
      </c>
      <c r="I35" s="50" t="str">
        <f t="shared" si="2"/>
        <v>SM</v>
      </c>
      <c r="J35" s="50" t="str">
        <f t="shared" si="3"/>
        <v>M</v>
      </c>
      <c r="K35" s="64" t="str">
        <f t="shared" si="4"/>
        <v>Mark Wyatt</v>
      </c>
      <c r="L35" s="64" t="str">
        <f t="shared" si="5"/>
        <v>East London Runners</v>
      </c>
      <c r="M35" s="171">
        <v>0</v>
      </c>
      <c r="N35" s="178">
        <v>18</v>
      </c>
      <c r="O35" s="178">
        <v>59</v>
      </c>
      <c r="P35" s="138">
        <f t="shared" si="10"/>
        <v>0</v>
      </c>
      <c r="Q35" s="137">
        <f t="shared" si="11"/>
        <v>18</v>
      </c>
      <c r="R35" s="143"/>
      <c r="S35" s="143"/>
      <c r="T35" s="143"/>
      <c r="U35" s="144"/>
      <c r="V35" s="144"/>
      <c r="W35" s="144"/>
      <c r="X35" s="145"/>
      <c r="Y35" s="152" t="str">
        <f t="shared" si="12"/>
        <v xml:space="preserve">   18.59 </v>
      </c>
      <c r="Z35" s="136"/>
      <c r="AA35" s="50">
        <f t="shared" si="6"/>
        <v>29</v>
      </c>
      <c r="AB35" s="129">
        <f t="shared" si="7"/>
        <v>32722</v>
      </c>
      <c r="AC35" s="58" t="str">
        <f t="shared" si="13"/>
        <v/>
      </c>
      <c r="AD35" s="58" t="str">
        <f t="shared" si="14"/>
        <v>MEast London Runners</v>
      </c>
      <c r="AE35" s="60">
        <f>IF(AD35="","",COUNTIF($AD$2:AD35,AD35))</f>
        <v>13</v>
      </c>
      <c r="AF35" s="62">
        <f>IF(AD35="","",SUMIF(AD$2:AD35,AD35,G$2:G35))</f>
        <v>240</v>
      </c>
      <c r="AG35" s="62" t="str">
        <f>IF(AK35&lt;&gt;"",COUNTIF($AK$1:AK34,AK35)+AK35,IF(AL35&lt;&gt;"",COUNTIF($AL$1:AL34,AL35)+AL35,""))</f>
        <v/>
      </c>
      <c r="AH35" s="62" t="str">
        <f t="shared" si="15"/>
        <v>East London Runners</v>
      </c>
      <c r="AI35" s="62" t="str">
        <f>IF(AND(J35="M", AH35&lt;&gt;"U/A",AE35=Prizewinners!$J$1),AF35,"")</f>
        <v/>
      </c>
      <c r="AJ35" s="58" t="str">
        <f>IF(AND(J35="F",  AH35&lt;&gt;"U/A",AE35=Prizewinners!$J$16),AF35,"")</f>
        <v/>
      </c>
      <c r="AK35" s="58" t="str">
        <f t="shared" si="16"/>
        <v/>
      </c>
      <c r="AL35" s="58" t="str">
        <f t="shared" si="17"/>
        <v/>
      </c>
      <c r="AM35" s="58" t="str">
        <f t="shared" si="18"/>
        <v>MEast London Runners13</v>
      </c>
      <c r="AN35" s="58" t="str">
        <f t="shared" si="19"/>
        <v/>
      </c>
      <c r="AO35" s="58" t="str">
        <f t="shared" si="20"/>
        <v/>
      </c>
      <c r="AP35" s="58" t="str">
        <f t="shared" si="21"/>
        <v/>
      </c>
      <c r="AQ35" s="58" t="str">
        <f t="shared" si="22"/>
        <v>Mark Wyatt</v>
      </c>
    </row>
    <row r="36" spans="1:43" x14ac:dyDescent="0.25">
      <c r="A36" s="12" t="str">
        <f t="shared" si="8"/>
        <v>SM,20</v>
      </c>
      <c r="B36" s="12" t="str">
        <f t="shared" si="9"/>
        <v>M,33</v>
      </c>
      <c r="C36" s="11">
        <f t="shared" si="23"/>
        <v>35</v>
      </c>
      <c r="D36" s="171">
        <v>132</v>
      </c>
      <c r="E36" s="12">
        <f t="shared" si="0"/>
        <v>1</v>
      </c>
      <c r="F36" s="12">
        <f>COUNTIF(H$2:H36,H36)</f>
        <v>20</v>
      </c>
      <c r="G36" s="12">
        <f>COUNTIF(J$2:J36,J36)</f>
        <v>33</v>
      </c>
      <c r="H36" s="12" t="str">
        <f t="shared" si="1"/>
        <v>SM</v>
      </c>
      <c r="I36" s="50" t="str">
        <f t="shared" si="2"/>
        <v>SM</v>
      </c>
      <c r="J36" s="50" t="str">
        <f t="shared" si="3"/>
        <v>M</v>
      </c>
      <c r="K36" s="64" t="str">
        <f t="shared" si="4"/>
        <v>Bradley Deacon</v>
      </c>
      <c r="L36" s="64" t="str">
        <f t="shared" si="5"/>
        <v>Ilford AC</v>
      </c>
      <c r="M36" s="171">
        <v>0</v>
      </c>
      <c r="N36" s="178">
        <v>19</v>
      </c>
      <c r="O36" s="178">
        <v>6</v>
      </c>
      <c r="P36" s="138">
        <f t="shared" si="10"/>
        <v>0</v>
      </c>
      <c r="Q36" s="137">
        <f t="shared" si="11"/>
        <v>19</v>
      </c>
      <c r="R36" s="143"/>
      <c r="S36" s="143"/>
      <c r="T36" s="143"/>
      <c r="U36" s="144"/>
      <c r="V36" s="144"/>
      <c r="W36" s="144"/>
      <c r="X36" s="145"/>
      <c r="Y36" s="152" t="str">
        <f t="shared" si="12"/>
        <v xml:space="preserve">   19.06 </v>
      </c>
      <c r="Z36" s="136"/>
      <c r="AA36" s="50">
        <f t="shared" si="6"/>
        <v>15</v>
      </c>
      <c r="AB36" s="129">
        <f t="shared" si="7"/>
        <v>37855</v>
      </c>
      <c r="AC36" s="58" t="str">
        <f t="shared" si="13"/>
        <v/>
      </c>
      <c r="AD36" s="58" t="str">
        <f t="shared" si="14"/>
        <v>MIlford AC</v>
      </c>
      <c r="AE36" s="60">
        <f>IF(AD36="","",COUNTIF($AD$2:AD36,AD36))</f>
        <v>8</v>
      </c>
      <c r="AF36" s="62">
        <f>IF(AD36="","",SUMIF(AD$2:AD36,AD36,G$2:G36))</f>
        <v>114</v>
      </c>
      <c r="AG36" s="62" t="str">
        <f>IF(AK36&lt;&gt;"",COUNTIF($AK$1:AK35,AK36)+AK36,IF(AL36&lt;&gt;"",COUNTIF($AL$1:AL35,AL36)+AL36,""))</f>
        <v/>
      </c>
      <c r="AH36" s="62" t="str">
        <f t="shared" si="15"/>
        <v>Ilford AC</v>
      </c>
      <c r="AI36" s="62" t="str">
        <f>IF(AND(J36="M", AH36&lt;&gt;"U/A",AE36=Prizewinners!$J$1),AF36,"")</f>
        <v/>
      </c>
      <c r="AJ36" s="58" t="str">
        <f>IF(AND(J36="F",  AH36&lt;&gt;"U/A",AE36=Prizewinners!$J$16),AF36,"")</f>
        <v/>
      </c>
      <c r="AK36" s="58" t="str">
        <f t="shared" si="16"/>
        <v/>
      </c>
      <c r="AL36" s="58" t="str">
        <f t="shared" si="17"/>
        <v/>
      </c>
      <c r="AM36" s="58" t="str">
        <f t="shared" si="18"/>
        <v>MIlford AC8</v>
      </c>
      <c r="AN36" s="58" t="str">
        <f t="shared" si="19"/>
        <v/>
      </c>
      <c r="AO36" s="58" t="str">
        <f t="shared" si="20"/>
        <v/>
      </c>
      <c r="AP36" s="58" t="str">
        <f t="shared" si="21"/>
        <v/>
      </c>
      <c r="AQ36" s="58" t="str">
        <f t="shared" si="22"/>
        <v>Bradley Deacon</v>
      </c>
    </row>
    <row r="37" spans="1:43" x14ac:dyDescent="0.25">
      <c r="A37" s="12" t="str">
        <f t="shared" si="8"/>
        <v>VM60,1</v>
      </c>
      <c r="B37" s="12" t="str">
        <f t="shared" si="9"/>
        <v>M,34</v>
      </c>
      <c r="C37" s="11">
        <f t="shared" si="23"/>
        <v>36</v>
      </c>
      <c r="D37" s="171">
        <v>139</v>
      </c>
      <c r="E37" s="12">
        <f t="shared" si="0"/>
        <v>1</v>
      </c>
      <c r="F37" s="12">
        <f>COUNTIF(H$2:H37,H37)</f>
        <v>1</v>
      </c>
      <c r="G37" s="12">
        <f>COUNTIF(J$2:J37,J37)</f>
        <v>34</v>
      </c>
      <c r="H37" s="12" t="str">
        <f t="shared" si="1"/>
        <v>VM60</v>
      </c>
      <c r="I37" s="50" t="str">
        <f t="shared" si="2"/>
        <v>VM60</v>
      </c>
      <c r="J37" s="50" t="str">
        <f t="shared" si="3"/>
        <v>M</v>
      </c>
      <c r="K37" s="64" t="str">
        <f t="shared" si="4"/>
        <v>Dave Cox</v>
      </c>
      <c r="L37" s="64" t="str">
        <f t="shared" si="5"/>
        <v>Woodford Green AC with Essex Ladies</v>
      </c>
      <c r="M37" s="171">
        <v>0</v>
      </c>
      <c r="N37" s="178">
        <v>19</v>
      </c>
      <c r="O37" s="178">
        <v>8</v>
      </c>
      <c r="P37" s="138">
        <f t="shared" si="10"/>
        <v>0</v>
      </c>
      <c r="Q37" s="137">
        <f t="shared" si="11"/>
        <v>19</v>
      </c>
      <c r="R37" s="143"/>
      <c r="S37" s="143"/>
      <c r="T37" s="143"/>
      <c r="U37" s="144"/>
      <c r="V37" s="144"/>
      <c r="W37" s="144"/>
      <c r="X37" s="145"/>
      <c r="Y37" s="152" t="str">
        <f t="shared" si="12"/>
        <v xml:space="preserve">   19.08 </v>
      </c>
      <c r="Z37" s="136"/>
      <c r="AA37" s="50">
        <f t="shared" si="6"/>
        <v>65</v>
      </c>
      <c r="AB37" s="129">
        <f t="shared" si="7"/>
        <v>19547</v>
      </c>
      <c r="AC37" s="58" t="str">
        <f t="shared" si="13"/>
        <v/>
      </c>
      <c r="AD37" s="58" t="str">
        <f t="shared" si="14"/>
        <v>MWoodford Green AC with Essex Ladies</v>
      </c>
      <c r="AE37" s="60">
        <f>IF(AD37="","",COUNTIF($AD$2:AD37,AD37))</f>
        <v>1</v>
      </c>
      <c r="AF37" s="62">
        <f>IF(AD37="","",SUMIF(AD$2:AD37,AD37,G$2:G37))</f>
        <v>34</v>
      </c>
      <c r="AG37" s="62" t="str">
        <f>IF(AK37&lt;&gt;"",COUNTIF($AK$1:AK36,AK37)+AK37,IF(AL37&lt;&gt;"",COUNTIF($AL$1:AL36,AL37)+AL37,""))</f>
        <v/>
      </c>
      <c r="AH37" s="62" t="str">
        <f t="shared" si="15"/>
        <v>Woodford Green AC with Essex Ladies</v>
      </c>
      <c r="AI37" s="62" t="str">
        <f>IF(AND(J37="M", AH37&lt;&gt;"U/A",AE37=Prizewinners!$J$1),AF37,"")</f>
        <v/>
      </c>
      <c r="AJ37" s="58" t="str">
        <f>IF(AND(J37="F",  AH37&lt;&gt;"U/A",AE37=Prizewinners!$J$16),AF37,"")</f>
        <v/>
      </c>
      <c r="AK37" s="58" t="str">
        <f t="shared" si="16"/>
        <v/>
      </c>
      <c r="AL37" s="58" t="str">
        <f t="shared" si="17"/>
        <v/>
      </c>
      <c r="AM37" s="58" t="str">
        <f t="shared" si="18"/>
        <v>MWoodford Green AC with Essex Ladies1</v>
      </c>
      <c r="AN37" s="58" t="str">
        <f t="shared" si="19"/>
        <v/>
      </c>
      <c r="AO37" s="58" t="str">
        <f t="shared" si="20"/>
        <v/>
      </c>
      <c r="AP37" s="58" t="str">
        <f t="shared" si="21"/>
        <v/>
      </c>
      <c r="AQ37" s="58" t="str">
        <f t="shared" si="22"/>
        <v>Dave Cox</v>
      </c>
    </row>
    <row r="38" spans="1:43" x14ac:dyDescent="0.25">
      <c r="A38" s="12" t="str">
        <f t="shared" si="8"/>
        <v>SM,21</v>
      </c>
      <c r="B38" s="12" t="str">
        <f t="shared" si="9"/>
        <v>M,35</v>
      </c>
      <c r="C38" s="11">
        <f t="shared" si="23"/>
        <v>37</v>
      </c>
      <c r="D38" s="171">
        <v>460</v>
      </c>
      <c r="E38" s="12">
        <f t="shared" si="0"/>
        <v>1</v>
      </c>
      <c r="F38" s="12">
        <f>COUNTIF(H$2:H38,H38)</f>
        <v>21</v>
      </c>
      <c r="G38" s="12">
        <f>COUNTIF(J$2:J38,J38)</f>
        <v>35</v>
      </c>
      <c r="H38" s="12" t="str">
        <f t="shared" si="1"/>
        <v>SM</v>
      </c>
      <c r="I38" s="50" t="str">
        <f t="shared" si="2"/>
        <v>SM</v>
      </c>
      <c r="J38" s="50" t="str">
        <f t="shared" si="3"/>
        <v>M</v>
      </c>
      <c r="K38" s="64" t="str">
        <f t="shared" si="4"/>
        <v>James Coker</v>
      </c>
      <c r="L38" s="64" t="str">
        <f t="shared" si="5"/>
        <v>Harold Wood Running Club</v>
      </c>
      <c r="M38" s="171">
        <v>0</v>
      </c>
      <c r="N38" s="178">
        <v>19</v>
      </c>
      <c r="O38" s="178">
        <v>10</v>
      </c>
      <c r="P38" s="138">
        <f t="shared" si="10"/>
        <v>0</v>
      </c>
      <c r="Q38" s="137">
        <f t="shared" si="11"/>
        <v>19</v>
      </c>
      <c r="R38" s="143"/>
      <c r="S38" s="143"/>
      <c r="T38" s="143"/>
      <c r="U38" s="144"/>
      <c r="V38" s="144"/>
      <c r="W38" s="144"/>
      <c r="X38" s="145"/>
      <c r="Y38" s="152" t="str">
        <f t="shared" si="12"/>
        <v xml:space="preserve">   19.10 </v>
      </c>
      <c r="Z38" s="136"/>
      <c r="AA38" s="50">
        <f t="shared" si="6"/>
        <v>29</v>
      </c>
      <c r="AB38" s="129">
        <f t="shared" si="7"/>
        <v>32449</v>
      </c>
      <c r="AC38" s="58" t="str">
        <f t="shared" si="13"/>
        <v>M4</v>
      </c>
      <c r="AD38" s="58" t="str">
        <f t="shared" si="14"/>
        <v>MHarold Wood Running Club</v>
      </c>
      <c r="AE38" s="60">
        <f>IF(AD38="","",COUNTIF($AD$2:AD38,AD38))</f>
        <v>3</v>
      </c>
      <c r="AF38" s="62">
        <f>IF(AD38="","",SUMIF(AD$2:AD38,AD38,G$2:G38))</f>
        <v>75</v>
      </c>
      <c r="AG38" s="62">
        <f>IF(AK38&lt;&gt;"",COUNTIF($AK$1:AK37,AK38)+AK38,IF(AL38&lt;&gt;"",COUNTIF($AL$1:AL37,AL38)+AL38,""))</f>
        <v>4</v>
      </c>
      <c r="AH38" s="62" t="str">
        <f t="shared" si="15"/>
        <v>Harold Wood Running Club</v>
      </c>
      <c r="AI38" s="62">
        <f>IF(AND(J38="M", AH38&lt;&gt;"U/A",AE38=Prizewinners!$J$1),AF38,"")</f>
        <v>75</v>
      </c>
      <c r="AJ38" s="58" t="str">
        <f>IF(AND(J38="F",  AH38&lt;&gt;"U/A",AE38=Prizewinners!$J$16),AF38,"")</f>
        <v/>
      </c>
      <c r="AK38" s="58">
        <f t="shared" si="16"/>
        <v>4</v>
      </c>
      <c r="AL38" s="58" t="str">
        <f t="shared" si="17"/>
        <v/>
      </c>
      <c r="AM38" s="58" t="str">
        <f t="shared" si="18"/>
        <v>MHarold Wood Running Club3</v>
      </c>
      <c r="AN38" s="58" t="str">
        <f t="shared" si="19"/>
        <v>Adam Bartlett</v>
      </c>
      <c r="AO38" s="58" t="str">
        <f t="shared" si="20"/>
        <v>Christopher King</v>
      </c>
      <c r="AP38" s="58" t="str">
        <f t="shared" si="21"/>
        <v>James Coker</v>
      </c>
      <c r="AQ38" s="58" t="str">
        <f t="shared" si="22"/>
        <v>James Coker</v>
      </c>
    </row>
    <row r="39" spans="1:43" x14ac:dyDescent="0.25">
      <c r="A39" s="12" t="str">
        <f t="shared" si="8"/>
        <v>SM,22</v>
      </c>
      <c r="B39" s="12" t="str">
        <f t="shared" si="9"/>
        <v>M,36</v>
      </c>
      <c r="C39" s="11">
        <f t="shared" si="23"/>
        <v>38</v>
      </c>
      <c r="D39" s="171">
        <v>499</v>
      </c>
      <c r="E39" s="12">
        <f t="shared" si="0"/>
        <v>1</v>
      </c>
      <c r="F39" s="12">
        <f>COUNTIF(H$2:H39,H39)</f>
        <v>22</v>
      </c>
      <c r="G39" s="12">
        <f>COUNTIF(J$2:J39,J39)</f>
        <v>36</v>
      </c>
      <c r="H39" s="12" t="str">
        <f t="shared" si="1"/>
        <v>SM</v>
      </c>
      <c r="I39" s="50" t="str">
        <f t="shared" si="2"/>
        <v>SM</v>
      </c>
      <c r="J39" s="50" t="str">
        <f t="shared" si="3"/>
        <v>M</v>
      </c>
      <c r="K39" s="64" t="str">
        <f t="shared" si="4"/>
        <v>George Fernandez</v>
      </c>
      <c r="L39" s="64" t="str">
        <f t="shared" si="5"/>
        <v>Eton Manor AC</v>
      </c>
      <c r="M39" s="171">
        <v>0</v>
      </c>
      <c r="N39" s="178">
        <v>19</v>
      </c>
      <c r="O39" s="178">
        <v>15</v>
      </c>
      <c r="P39" s="138">
        <f t="shared" si="10"/>
        <v>0</v>
      </c>
      <c r="Q39" s="137">
        <f t="shared" si="11"/>
        <v>19</v>
      </c>
      <c r="R39" s="143"/>
      <c r="S39" s="143"/>
      <c r="T39" s="143"/>
      <c r="U39" s="144"/>
      <c r="V39" s="144"/>
      <c r="W39" s="144"/>
      <c r="X39" s="145"/>
      <c r="Y39" s="152" t="str">
        <f t="shared" si="12"/>
        <v xml:space="preserve">   19.15 </v>
      </c>
      <c r="Z39" s="136"/>
      <c r="AA39" s="50">
        <f t="shared" si="6"/>
        <v>20</v>
      </c>
      <c r="AB39" s="129">
        <f t="shared" si="7"/>
        <v>35948</v>
      </c>
      <c r="AC39" s="58" t="str">
        <f t="shared" si="13"/>
        <v/>
      </c>
      <c r="AD39" s="58" t="str">
        <f t="shared" si="14"/>
        <v>MEton Manor AC</v>
      </c>
      <c r="AE39" s="60">
        <f>IF(AD39="","",COUNTIF($AD$2:AD39,AD39))</f>
        <v>2</v>
      </c>
      <c r="AF39" s="62">
        <f>IF(AD39="","",SUMIF(AD$2:AD39,AD39,G$2:G39))</f>
        <v>55</v>
      </c>
      <c r="AG39" s="62" t="str">
        <f>IF(AK39&lt;&gt;"",COUNTIF($AK$1:AK38,AK39)+AK39,IF(AL39&lt;&gt;"",COUNTIF($AL$1:AL38,AL39)+AL39,""))</f>
        <v/>
      </c>
      <c r="AH39" s="62" t="str">
        <f t="shared" si="15"/>
        <v>Eton Manor AC</v>
      </c>
      <c r="AI39" s="62" t="str">
        <f>IF(AND(J39="M", AH39&lt;&gt;"U/A",AE39=Prizewinners!$J$1),AF39,"")</f>
        <v/>
      </c>
      <c r="AJ39" s="58" t="str">
        <f>IF(AND(J39="F",  AH39&lt;&gt;"U/A",AE39=Prizewinners!$J$16),AF39,"")</f>
        <v/>
      </c>
      <c r="AK39" s="58" t="str">
        <f t="shared" si="16"/>
        <v/>
      </c>
      <c r="AL39" s="58" t="str">
        <f t="shared" si="17"/>
        <v/>
      </c>
      <c r="AM39" s="58" t="str">
        <f t="shared" si="18"/>
        <v>MEton Manor AC2</v>
      </c>
      <c r="AN39" s="58" t="str">
        <f t="shared" si="19"/>
        <v/>
      </c>
      <c r="AO39" s="58" t="str">
        <f t="shared" si="20"/>
        <v/>
      </c>
      <c r="AP39" s="58" t="str">
        <f t="shared" si="21"/>
        <v/>
      </c>
      <c r="AQ39" s="58" t="str">
        <f t="shared" si="22"/>
        <v>George Fernandez</v>
      </c>
    </row>
    <row r="40" spans="1:43" x14ac:dyDescent="0.25">
      <c r="A40" s="12" t="str">
        <f t="shared" si="8"/>
        <v>SM,23</v>
      </c>
      <c r="B40" s="12" t="str">
        <f t="shared" si="9"/>
        <v>M,37</v>
      </c>
      <c r="C40" s="11">
        <f t="shared" si="23"/>
        <v>39</v>
      </c>
      <c r="D40" s="171">
        <v>102</v>
      </c>
      <c r="E40" s="12">
        <f t="shared" si="0"/>
        <v>1</v>
      </c>
      <c r="F40" s="12">
        <f>COUNTIF(H$2:H40,H40)</f>
        <v>23</v>
      </c>
      <c r="G40" s="12">
        <f>COUNTIF(J$2:J40,J40)</f>
        <v>37</v>
      </c>
      <c r="H40" s="12" t="str">
        <f t="shared" si="1"/>
        <v>SM</v>
      </c>
      <c r="I40" s="50" t="str">
        <f t="shared" si="2"/>
        <v>SM</v>
      </c>
      <c r="J40" s="50" t="str">
        <f t="shared" si="3"/>
        <v>M</v>
      </c>
      <c r="K40" s="64" t="str">
        <f t="shared" si="4"/>
        <v>Rodney Baldwin</v>
      </c>
      <c r="L40" s="64" t="str">
        <f t="shared" si="5"/>
        <v>East End Road Runners</v>
      </c>
      <c r="M40" s="171">
        <v>0</v>
      </c>
      <c r="N40" s="178">
        <v>19</v>
      </c>
      <c r="O40" s="178">
        <v>16</v>
      </c>
      <c r="P40" s="138">
        <f t="shared" si="10"/>
        <v>0</v>
      </c>
      <c r="Q40" s="137">
        <f t="shared" si="11"/>
        <v>19</v>
      </c>
      <c r="R40" s="143"/>
      <c r="S40" s="143"/>
      <c r="T40" s="143"/>
      <c r="U40" s="144"/>
      <c r="V40" s="144"/>
      <c r="W40" s="144"/>
      <c r="X40" s="145"/>
      <c r="Y40" s="152" t="str">
        <f t="shared" si="12"/>
        <v xml:space="preserve">   19.16 </v>
      </c>
      <c r="Z40" s="136"/>
      <c r="AA40" s="50">
        <f t="shared" si="6"/>
        <v>36</v>
      </c>
      <c r="AB40" s="129">
        <f t="shared" si="7"/>
        <v>30001</v>
      </c>
      <c r="AC40" s="58" t="str">
        <f t="shared" si="13"/>
        <v>M5</v>
      </c>
      <c r="AD40" s="58" t="str">
        <f t="shared" si="14"/>
        <v>MEast End Road Runners</v>
      </c>
      <c r="AE40" s="60">
        <f>IF(AD40="","",COUNTIF($AD$2:AD40,AD40))</f>
        <v>3</v>
      </c>
      <c r="AF40" s="62">
        <f>IF(AD40="","",SUMIF(AD$2:AD40,AD40,G$2:G40))</f>
        <v>75</v>
      </c>
      <c r="AG40" s="62">
        <f>IF(AK40&lt;&gt;"",COUNTIF($AK$1:AK39,AK40)+AK40,IF(AL40&lt;&gt;"",COUNTIF($AL$1:AL39,AL40)+AL40,""))</f>
        <v>5</v>
      </c>
      <c r="AH40" s="62" t="str">
        <f t="shared" si="15"/>
        <v>East End Road Runners</v>
      </c>
      <c r="AI40" s="62">
        <f>IF(AND(J40="M", AH40&lt;&gt;"U/A",AE40=Prizewinners!$J$1),AF40,"")</f>
        <v>75</v>
      </c>
      <c r="AJ40" s="58" t="str">
        <f>IF(AND(J40="F",  AH40&lt;&gt;"U/A",AE40=Prizewinners!$J$16),AF40,"")</f>
        <v/>
      </c>
      <c r="AK40" s="58">
        <f t="shared" si="16"/>
        <v>4</v>
      </c>
      <c r="AL40" s="58" t="str">
        <f t="shared" si="17"/>
        <v/>
      </c>
      <c r="AM40" s="58" t="str">
        <f t="shared" si="18"/>
        <v>MEast End Road Runners3</v>
      </c>
      <c r="AN40" s="58" t="str">
        <f t="shared" si="19"/>
        <v>Jimmi Lee</v>
      </c>
      <c r="AO40" s="58" t="str">
        <f t="shared" si="20"/>
        <v>Simon Leung-Chester</v>
      </c>
      <c r="AP40" s="58" t="str">
        <f t="shared" si="21"/>
        <v>Rodney Baldwin</v>
      </c>
      <c r="AQ40" s="58" t="str">
        <f t="shared" si="22"/>
        <v>Rodney Baldwin</v>
      </c>
    </row>
    <row r="41" spans="1:43" x14ac:dyDescent="0.25">
      <c r="A41" s="12" t="str">
        <f t="shared" si="8"/>
        <v>SM,24</v>
      </c>
      <c r="B41" s="12" t="str">
        <f t="shared" si="9"/>
        <v>M,38</v>
      </c>
      <c r="C41" s="11">
        <f t="shared" si="23"/>
        <v>40</v>
      </c>
      <c r="D41" s="171">
        <v>41</v>
      </c>
      <c r="E41" s="12">
        <f t="shared" si="0"/>
        <v>1</v>
      </c>
      <c r="F41" s="12">
        <f>COUNTIF(H$2:H41,H41)</f>
        <v>24</v>
      </c>
      <c r="G41" s="12">
        <f>COUNTIF(J$2:J41,J41)</f>
        <v>38</v>
      </c>
      <c r="H41" s="12" t="str">
        <f t="shared" si="1"/>
        <v>SM</v>
      </c>
      <c r="I41" s="50" t="str">
        <f t="shared" si="2"/>
        <v>SM</v>
      </c>
      <c r="J41" s="50" t="str">
        <f t="shared" si="3"/>
        <v>M</v>
      </c>
      <c r="K41" s="64" t="str">
        <f t="shared" si="4"/>
        <v>Craig Livermore</v>
      </c>
      <c r="L41" s="64" t="str">
        <f t="shared" si="5"/>
        <v>East London Runners</v>
      </c>
      <c r="M41" s="171">
        <v>0</v>
      </c>
      <c r="N41" s="178">
        <v>19</v>
      </c>
      <c r="O41" s="178">
        <v>17</v>
      </c>
      <c r="P41" s="138">
        <f t="shared" si="10"/>
        <v>0</v>
      </c>
      <c r="Q41" s="137">
        <f t="shared" si="11"/>
        <v>19</v>
      </c>
      <c r="R41" s="143"/>
      <c r="S41" s="143"/>
      <c r="T41" s="143"/>
      <c r="U41" s="144"/>
      <c r="V41" s="144"/>
      <c r="W41" s="144"/>
      <c r="X41" s="145"/>
      <c r="Y41" s="152" t="str">
        <f t="shared" si="12"/>
        <v xml:space="preserve">   19.17 </v>
      </c>
      <c r="Z41" s="136"/>
      <c r="AA41" s="50">
        <f t="shared" si="6"/>
        <v>27</v>
      </c>
      <c r="AB41" s="129">
        <f t="shared" si="7"/>
        <v>33276</v>
      </c>
      <c r="AC41" s="58" t="str">
        <f t="shared" si="13"/>
        <v/>
      </c>
      <c r="AD41" s="58" t="str">
        <f t="shared" si="14"/>
        <v>MEast London Runners</v>
      </c>
      <c r="AE41" s="60">
        <f>IF(AD41="","",COUNTIF($AD$2:AD41,AD41))</f>
        <v>14</v>
      </c>
      <c r="AF41" s="62">
        <f>IF(AD41="","",SUMIF(AD$2:AD41,AD41,G$2:G41))</f>
        <v>278</v>
      </c>
      <c r="AG41" s="62" t="str">
        <f>IF(AK41&lt;&gt;"",COUNTIF($AK$1:AK40,AK41)+AK41,IF(AL41&lt;&gt;"",COUNTIF($AL$1:AL40,AL41)+AL41,""))</f>
        <v/>
      </c>
      <c r="AH41" s="62" t="str">
        <f t="shared" si="15"/>
        <v>East London Runners</v>
      </c>
      <c r="AI41" s="62" t="str">
        <f>IF(AND(J41="M", AH41&lt;&gt;"U/A",AE41=Prizewinners!$J$1),AF41,"")</f>
        <v/>
      </c>
      <c r="AJ41" s="58" t="str">
        <f>IF(AND(J41="F",  AH41&lt;&gt;"U/A",AE41=Prizewinners!$J$16),AF41,"")</f>
        <v/>
      </c>
      <c r="AK41" s="58" t="str">
        <f t="shared" si="16"/>
        <v/>
      </c>
      <c r="AL41" s="58" t="str">
        <f t="shared" si="17"/>
        <v/>
      </c>
      <c r="AM41" s="58" t="str">
        <f t="shared" si="18"/>
        <v>MEast London Runners14</v>
      </c>
      <c r="AN41" s="58" t="str">
        <f t="shared" si="19"/>
        <v/>
      </c>
      <c r="AO41" s="58" t="str">
        <f t="shared" si="20"/>
        <v/>
      </c>
      <c r="AP41" s="58" t="str">
        <f t="shared" si="21"/>
        <v/>
      </c>
      <c r="AQ41" s="58" t="str">
        <f t="shared" si="22"/>
        <v>Craig Livermore</v>
      </c>
    </row>
    <row r="42" spans="1:43" x14ac:dyDescent="0.25">
      <c r="A42" s="12" t="str">
        <f t="shared" si="8"/>
        <v>SM,25</v>
      </c>
      <c r="B42" s="12" t="str">
        <f t="shared" si="9"/>
        <v>M,39</v>
      </c>
      <c r="C42" s="11">
        <f t="shared" si="23"/>
        <v>41</v>
      </c>
      <c r="D42" s="171">
        <v>436</v>
      </c>
      <c r="E42" s="12">
        <f t="shared" si="0"/>
        <v>1</v>
      </c>
      <c r="F42" s="12">
        <f>COUNTIF(H$2:H42,H42)</f>
        <v>25</v>
      </c>
      <c r="G42" s="12">
        <f>COUNTIF(J$2:J42,J42)</f>
        <v>39</v>
      </c>
      <c r="H42" s="12" t="str">
        <f t="shared" si="1"/>
        <v>SM</v>
      </c>
      <c r="I42" s="50" t="str">
        <f t="shared" si="2"/>
        <v>SM</v>
      </c>
      <c r="J42" s="50" t="str">
        <f t="shared" si="3"/>
        <v>M</v>
      </c>
      <c r="K42" s="64" t="str">
        <f t="shared" si="4"/>
        <v>Josh Jenner</v>
      </c>
      <c r="L42" s="64" t="str">
        <f t="shared" si="5"/>
        <v>Harold Wood Running Club</v>
      </c>
      <c r="M42" s="171">
        <v>0</v>
      </c>
      <c r="N42" s="178">
        <v>19</v>
      </c>
      <c r="O42" s="178">
        <v>19</v>
      </c>
      <c r="P42" s="138">
        <f t="shared" si="10"/>
        <v>0</v>
      </c>
      <c r="Q42" s="137">
        <f t="shared" si="11"/>
        <v>19</v>
      </c>
      <c r="R42" s="143"/>
      <c r="S42" s="143"/>
      <c r="T42" s="143"/>
      <c r="U42" s="144"/>
      <c r="V42" s="144"/>
      <c r="W42" s="144"/>
      <c r="X42" s="145"/>
      <c r="Y42" s="152" t="str">
        <f t="shared" si="12"/>
        <v xml:space="preserve">   19.19 </v>
      </c>
      <c r="Z42" s="136"/>
      <c r="AA42" s="50">
        <f t="shared" si="6"/>
        <v>31</v>
      </c>
      <c r="AB42" s="129">
        <f t="shared" si="7"/>
        <v>31708</v>
      </c>
      <c r="AC42" s="58" t="str">
        <f t="shared" si="13"/>
        <v/>
      </c>
      <c r="AD42" s="58" t="str">
        <f t="shared" si="14"/>
        <v>MHarold Wood Running Club</v>
      </c>
      <c r="AE42" s="60">
        <f>IF(AD42="","",COUNTIF($AD$2:AD42,AD42))</f>
        <v>4</v>
      </c>
      <c r="AF42" s="62">
        <f>IF(AD42="","",SUMIF(AD$2:AD42,AD42,G$2:G42))</f>
        <v>114</v>
      </c>
      <c r="AG42" s="62" t="str">
        <f>IF(AK42&lt;&gt;"",COUNTIF($AK$1:AK41,AK42)+AK42,IF(AL42&lt;&gt;"",COUNTIF($AL$1:AL41,AL42)+AL42,""))</f>
        <v/>
      </c>
      <c r="AH42" s="62" t="str">
        <f t="shared" si="15"/>
        <v>Harold Wood Running Club</v>
      </c>
      <c r="AI42" s="62" t="str">
        <f>IF(AND(J42="M", AH42&lt;&gt;"U/A",AE42=Prizewinners!$J$1),AF42,"")</f>
        <v/>
      </c>
      <c r="AJ42" s="58" t="str">
        <f>IF(AND(J42="F",  AH42&lt;&gt;"U/A",AE42=Prizewinners!$J$16),AF42,"")</f>
        <v/>
      </c>
      <c r="AK42" s="58" t="str">
        <f t="shared" si="16"/>
        <v/>
      </c>
      <c r="AL42" s="58" t="str">
        <f t="shared" si="17"/>
        <v/>
      </c>
      <c r="AM42" s="58" t="str">
        <f t="shared" si="18"/>
        <v>MHarold Wood Running Club4</v>
      </c>
      <c r="AN42" s="58" t="str">
        <f t="shared" si="19"/>
        <v/>
      </c>
      <c r="AO42" s="58" t="str">
        <f t="shared" si="20"/>
        <v/>
      </c>
      <c r="AP42" s="58" t="str">
        <f t="shared" si="21"/>
        <v/>
      </c>
      <c r="AQ42" s="58" t="str">
        <f t="shared" si="22"/>
        <v>Josh Jenner</v>
      </c>
    </row>
    <row r="43" spans="1:43" x14ac:dyDescent="0.25">
      <c r="A43" s="12" t="str">
        <f t="shared" si="8"/>
        <v>VM50,2</v>
      </c>
      <c r="B43" s="12" t="str">
        <f t="shared" si="9"/>
        <v>M,40</v>
      </c>
      <c r="C43" s="11">
        <f t="shared" si="23"/>
        <v>42</v>
      </c>
      <c r="D43" s="171">
        <v>470</v>
      </c>
      <c r="E43" s="12">
        <f t="shared" si="0"/>
        <v>1</v>
      </c>
      <c r="F43" s="12">
        <f>COUNTIF(H$2:H43,H43)</f>
        <v>2</v>
      </c>
      <c r="G43" s="12">
        <f>COUNTIF(J$2:J43,J43)</f>
        <v>40</v>
      </c>
      <c r="H43" s="12" t="str">
        <f t="shared" si="1"/>
        <v>VM50</v>
      </c>
      <c r="I43" s="50" t="str">
        <f t="shared" si="2"/>
        <v>VM50</v>
      </c>
      <c r="J43" s="50" t="str">
        <f t="shared" si="3"/>
        <v>M</v>
      </c>
      <c r="K43" s="64" t="str">
        <f t="shared" si="4"/>
        <v>Terry Knightley</v>
      </c>
      <c r="L43" s="64" t="str">
        <f t="shared" si="5"/>
        <v>Ilford AC</v>
      </c>
      <c r="M43" s="171">
        <v>0</v>
      </c>
      <c r="N43" s="178">
        <v>19</v>
      </c>
      <c r="O43" s="178">
        <v>22</v>
      </c>
      <c r="P43" s="138">
        <f t="shared" si="10"/>
        <v>0</v>
      </c>
      <c r="Q43" s="137">
        <f t="shared" si="11"/>
        <v>19</v>
      </c>
      <c r="R43" s="143"/>
      <c r="S43" s="143"/>
      <c r="T43" s="143"/>
      <c r="U43" s="144"/>
      <c r="V43" s="144"/>
      <c r="W43" s="144"/>
      <c r="X43" s="145"/>
      <c r="Y43" s="152" t="str">
        <f t="shared" si="12"/>
        <v xml:space="preserve">   19.22 </v>
      </c>
      <c r="Z43" s="136"/>
      <c r="AA43" s="50">
        <f t="shared" si="6"/>
        <v>58</v>
      </c>
      <c r="AB43" s="129">
        <f t="shared" si="7"/>
        <v>22119</v>
      </c>
      <c r="AC43" s="58" t="str">
        <f t="shared" si="13"/>
        <v/>
      </c>
      <c r="AD43" s="58" t="str">
        <f t="shared" si="14"/>
        <v>MIlford AC</v>
      </c>
      <c r="AE43" s="60">
        <f>IF(AD43="","",COUNTIF($AD$2:AD43,AD43))</f>
        <v>9</v>
      </c>
      <c r="AF43" s="62">
        <f>IF(AD43="","",SUMIF(AD$2:AD43,AD43,G$2:G43))</f>
        <v>154</v>
      </c>
      <c r="AG43" s="62" t="str">
        <f>IF(AK43&lt;&gt;"",COUNTIF($AK$1:AK42,AK43)+AK43,IF(AL43&lt;&gt;"",COUNTIF($AL$1:AL42,AL43)+AL43,""))</f>
        <v/>
      </c>
      <c r="AH43" s="62" t="str">
        <f t="shared" si="15"/>
        <v>Ilford AC</v>
      </c>
      <c r="AI43" s="62" t="str">
        <f>IF(AND(J43="M", AH43&lt;&gt;"U/A",AE43=Prizewinners!$J$1),AF43,"")</f>
        <v/>
      </c>
      <c r="AJ43" s="58" t="str">
        <f>IF(AND(J43="F",  AH43&lt;&gt;"U/A",AE43=Prizewinners!$J$16),AF43,"")</f>
        <v/>
      </c>
      <c r="AK43" s="58" t="str">
        <f t="shared" si="16"/>
        <v/>
      </c>
      <c r="AL43" s="58" t="str">
        <f t="shared" si="17"/>
        <v/>
      </c>
      <c r="AM43" s="58" t="str">
        <f t="shared" si="18"/>
        <v>MIlford AC9</v>
      </c>
      <c r="AN43" s="58" t="str">
        <f t="shared" si="19"/>
        <v/>
      </c>
      <c r="AO43" s="58" t="str">
        <f t="shared" si="20"/>
        <v/>
      </c>
      <c r="AP43" s="58" t="str">
        <f t="shared" si="21"/>
        <v/>
      </c>
      <c r="AQ43" s="58" t="str">
        <f t="shared" si="22"/>
        <v>Terry Knightley</v>
      </c>
    </row>
    <row r="44" spans="1:43" x14ac:dyDescent="0.25">
      <c r="A44" s="12" t="str">
        <f t="shared" si="8"/>
        <v>VM40,10</v>
      </c>
      <c r="B44" s="12" t="str">
        <f t="shared" si="9"/>
        <v>M,41</v>
      </c>
      <c r="C44" s="11">
        <f t="shared" si="23"/>
        <v>43</v>
      </c>
      <c r="D44" s="171">
        <v>2</v>
      </c>
      <c r="E44" s="12">
        <f t="shared" si="0"/>
        <v>1</v>
      </c>
      <c r="F44" s="12">
        <f>COUNTIF(H$2:H44,H44)</f>
        <v>10</v>
      </c>
      <c r="G44" s="12">
        <f>COUNTIF(J$2:J44,J44)</f>
        <v>41</v>
      </c>
      <c r="H44" s="12" t="str">
        <f t="shared" si="1"/>
        <v>VM40</v>
      </c>
      <c r="I44" s="50" t="str">
        <f t="shared" si="2"/>
        <v>VM40</v>
      </c>
      <c r="J44" s="50" t="str">
        <f t="shared" si="3"/>
        <v>M</v>
      </c>
      <c r="K44" s="64" t="str">
        <f t="shared" si="4"/>
        <v>Dervish Bartlett</v>
      </c>
      <c r="L44" s="64" t="str">
        <f t="shared" si="5"/>
        <v>Barking Road Runners</v>
      </c>
      <c r="M44" s="171">
        <v>0</v>
      </c>
      <c r="N44" s="178">
        <v>19</v>
      </c>
      <c r="O44" s="178">
        <v>28</v>
      </c>
      <c r="P44" s="138">
        <f t="shared" si="10"/>
        <v>0</v>
      </c>
      <c r="Q44" s="137">
        <f t="shared" si="11"/>
        <v>19</v>
      </c>
      <c r="R44" s="143"/>
      <c r="S44" s="143"/>
      <c r="T44" s="143"/>
      <c r="U44" s="144"/>
      <c r="V44" s="144"/>
      <c r="W44" s="144"/>
      <c r="X44" s="145"/>
      <c r="Y44" s="152" t="str">
        <f t="shared" si="12"/>
        <v xml:space="preserve">   19.28 </v>
      </c>
      <c r="Z44" s="136"/>
      <c r="AA44" s="50">
        <f t="shared" si="6"/>
        <v>48</v>
      </c>
      <c r="AB44" s="129">
        <f t="shared" si="7"/>
        <v>25721</v>
      </c>
      <c r="AC44" s="58" t="str">
        <f t="shared" si="13"/>
        <v/>
      </c>
      <c r="AD44" s="58" t="str">
        <f t="shared" si="14"/>
        <v>MBarking Road Runners</v>
      </c>
      <c r="AE44" s="60">
        <f>IF(AD44="","",COUNTIF($AD$2:AD44,AD44))</f>
        <v>4</v>
      </c>
      <c r="AF44" s="62">
        <f>IF(AD44="","",SUMIF(AD$2:AD44,AD44,G$2:G44))</f>
        <v>104</v>
      </c>
      <c r="AG44" s="62" t="str">
        <f>IF(AK44&lt;&gt;"",COUNTIF($AK$1:AK43,AK44)+AK44,IF(AL44&lt;&gt;"",COUNTIF($AL$1:AL43,AL44)+AL44,""))</f>
        <v/>
      </c>
      <c r="AH44" s="62" t="str">
        <f t="shared" si="15"/>
        <v>Barking Road Runners</v>
      </c>
      <c r="AI44" s="62" t="str">
        <f>IF(AND(J44="M", AH44&lt;&gt;"U/A",AE44=Prizewinners!$J$1),AF44,"")</f>
        <v/>
      </c>
      <c r="AJ44" s="58" t="str">
        <f>IF(AND(J44="F",  AH44&lt;&gt;"U/A",AE44=Prizewinners!$J$16),AF44,"")</f>
        <v/>
      </c>
      <c r="AK44" s="58" t="str">
        <f t="shared" si="16"/>
        <v/>
      </c>
      <c r="AL44" s="58" t="str">
        <f t="shared" si="17"/>
        <v/>
      </c>
      <c r="AM44" s="58" t="str">
        <f t="shared" si="18"/>
        <v>MBarking Road Runners4</v>
      </c>
      <c r="AN44" s="58" t="str">
        <f t="shared" si="19"/>
        <v/>
      </c>
      <c r="AO44" s="58" t="str">
        <f t="shared" si="20"/>
        <v/>
      </c>
      <c r="AP44" s="58" t="str">
        <f t="shared" si="21"/>
        <v/>
      </c>
      <c r="AQ44" s="58" t="str">
        <f t="shared" si="22"/>
        <v>Dervish Bartlett</v>
      </c>
    </row>
    <row r="45" spans="1:43" x14ac:dyDescent="0.25">
      <c r="A45" s="12" t="str">
        <f t="shared" si="8"/>
        <v>VM40,11</v>
      </c>
      <c r="B45" s="12" t="str">
        <f t="shared" si="9"/>
        <v>M,42</v>
      </c>
      <c r="C45" s="11">
        <f t="shared" si="23"/>
        <v>44</v>
      </c>
      <c r="D45" s="171">
        <v>404</v>
      </c>
      <c r="E45" s="12">
        <f t="shared" si="0"/>
        <v>1</v>
      </c>
      <c r="F45" s="12">
        <f>COUNTIF(H$2:H45,H45)</f>
        <v>11</v>
      </c>
      <c r="G45" s="12">
        <f>COUNTIF(J$2:J45,J45)</f>
        <v>42</v>
      </c>
      <c r="H45" s="12" t="str">
        <f t="shared" si="1"/>
        <v>VM40</v>
      </c>
      <c r="I45" s="50" t="str">
        <f t="shared" si="2"/>
        <v>VM40</v>
      </c>
      <c r="J45" s="50" t="str">
        <f t="shared" si="3"/>
        <v>M</v>
      </c>
      <c r="K45" s="64" t="str">
        <f t="shared" si="4"/>
        <v>Phil Enright</v>
      </c>
      <c r="L45" s="64" t="str">
        <f t="shared" si="5"/>
        <v>Unattached</v>
      </c>
      <c r="M45" s="171">
        <v>0</v>
      </c>
      <c r="N45" s="178">
        <v>19</v>
      </c>
      <c r="O45" s="178">
        <v>28</v>
      </c>
      <c r="P45" s="138">
        <f t="shared" si="10"/>
        <v>0</v>
      </c>
      <c r="Q45" s="137">
        <f t="shared" si="11"/>
        <v>19</v>
      </c>
      <c r="R45" s="143"/>
      <c r="S45" s="143"/>
      <c r="T45" s="143"/>
      <c r="U45" s="144"/>
      <c r="V45" s="144"/>
      <c r="W45" s="144"/>
      <c r="X45" s="145"/>
      <c r="Y45" s="152" t="str">
        <f t="shared" si="12"/>
        <v xml:space="preserve">   19.28 </v>
      </c>
      <c r="Z45" s="136"/>
      <c r="AA45" s="50">
        <f t="shared" si="6"/>
        <v>46</v>
      </c>
      <c r="AB45" s="129">
        <f t="shared" si="7"/>
        <v>26536</v>
      </c>
      <c r="AC45" s="58" t="str">
        <f t="shared" si="13"/>
        <v/>
      </c>
      <c r="AD45" s="58" t="str">
        <f t="shared" si="14"/>
        <v>MUnattached</v>
      </c>
      <c r="AE45" s="60">
        <f>IF(AD45="","",COUNTIF($AD$2:AD45,AD45))</f>
        <v>1</v>
      </c>
      <c r="AF45" s="62">
        <f>IF(AD45="","",SUMIF(AD$2:AD45,AD45,G$2:G45))</f>
        <v>42</v>
      </c>
      <c r="AG45" s="62" t="str">
        <f>IF(AK45&lt;&gt;"",COUNTIF($AK$1:AK44,AK45)+AK45,IF(AL45&lt;&gt;"",COUNTIF($AL$1:AL44,AL45)+AL45,""))</f>
        <v/>
      </c>
      <c r="AH45" s="62" t="str">
        <f t="shared" si="15"/>
        <v>Unattached</v>
      </c>
      <c r="AI45" s="62" t="str">
        <f>IF(AND(J45="M", AH45&lt;&gt;"U/A",AE45=Prizewinners!$J$1),AF45,"")</f>
        <v/>
      </c>
      <c r="AJ45" s="58" t="str">
        <f>IF(AND(J45="F",  AH45&lt;&gt;"U/A",AE45=Prizewinners!$J$16),AF45,"")</f>
        <v/>
      </c>
      <c r="AK45" s="58" t="str">
        <f t="shared" si="16"/>
        <v/>
      </c>
      <c r="AL45" s="58" t="str">
        <f t="shared" si="17"/>
        <v/>
      </c>
      <c r="AM45" s="58" t="str">
        <f t="shared" si="18"/>
        <v>MUnattached1</v>
      </c>
      <c r="AN45" s="58" t="str">
        <f t="shared" si="19"/>
        <v/>
      </c>
      <c r="AO45" s="58" t="str">
        <f t="shared" si="20"/>
        <v/>
      </c>
      <c r="AP45" s="58" t="str">
        <f t="shared" si="21"/>
        <v/>
      </c>
      <c r="AQ45" s="58" t="str">
        <f t="shared" si="22"/>
        <v>Phil Enright</v>
      </c>
    </row>
    <row r="46" spans="1:43" x14ac:dyDescent="0.25">
      <c r="A46" s="12" t="str">
        <f t="shared" si="8"/>
        <v>SM,26</v>
      </c>
      <c r="B46" s="12" t="str">
        <f t="shared" si="9"/>
        <v>M,43</v>
      </c>
      <c r="C46" s="11">
        <f t="shared" si="23"/>
        <v>45</v>
      </c>
      <c r="D46" s="171">
        <v>374</v>
      </c>
      <c r="E46" s="12">
        <f t="shared" si="0"/>
        <v>1</v>
      </c>
      <c r="F46" s="12">
        <f>COUNTIF(H$2:H46,H46)</f>
        <v>26</v>
      </c>
      <c r="G46" s="12">
        <f>COUNTIF(J$2:J46,J46)</f>
        <v>43</v>
      </c>
      <c r="H46" s="12" t="str">
        <f t="shared" si="1"/>
        <v>SM</v>
      </c>
      <c r="I46" s="50" t="str">
        <f t="shared" si="2"/>
        <v>SM</v>
      </c>
      <c r="J46" s="50" t="str">
        <f t="shared" si="3"/>
        <v>M</v>
      </c>
      <c r="K46" s="64" t="str">
        <f t="shared" si="4"/>
        <v>Shahib Ali</v>
      </c>
      <c r="L46" s="64" t="str">
        <f t="shared" si="5"/>
        <v>East London Runners</v>
      </c>
      <c r="M46" s="171">
        <v>0</v>
      </c>
      <c r="N46" s="178">
        <v>19</v>
      </c>
      <c r="O46" s="178">
        <v>36</v>
      </c>
      <c r="P46" s="138">
        <f t="shared" si="10"/>
        <v>0</v>
      </c>
      <c r="Q46" s="137">
        <f t="shared" si="11"/>
        <v>19</v>
      </c>
      <c r="R46" s="143"/>
      <c r="S46" s="143"/>
      <c r="T46" s="143"/>
      <c r="U46" s="144"/>
      <c r="V46" s="144"/>
      <c r="W46" s="144"/>
      <c r="X46" s="145"/>
      <c r="Y46" s="152" t="str">
        <f t="shared" si="12"/>
        <v xml:space="preserve">   19.36 </v>
      </c>
      <c r="Z46" s="136"/>
      <c r="AA46" s="50">
        <f t="shared" si="6"/>
        <v>32</v>
      </c>
      <c r="AB46" s="129">
        <f t="shared" si="7"/>
        <v>31478</v>
      </c>
      <c r="AC46" s="58" t="str">
        <f t="shared" si="13"/>
        <v/>
      </c>
      <c r="AD46" s="58" t="str">
        <f t="shared" si="14"/>
        <v>MEast London Runners</v>
      </c>
      <c r="AE46" s="60">
        <f>IF(AD46="","",COUNTIF($AD$2:AD46,AD46))</f>
        <v>15</v>
      </c>
      <c r="AF46" s="62">
        <f>IF(AD46="","",SUMIF(AD$2:AD46,AD46,G$2:G46))</f>
        <v>321</v>
      </c>
      <c r="AG46" s="62" t="str">
        <f>IF(AK46&lt;&gt;"",COUNTIF($AK$1:AK45,AK46)+AK46,IF(AL46&lt;&gt;"",COUNTIF($AL$1:AL45,AL46)+AL46,""))</f>
        <v/>
      </c>
      <c r="AH46" s="62" t="str">
        <f t="shared" si="15"/>
        <v>East London Runners</v>
      </c>
      <c r="AI46" s="62" t="str">
        <f>IF(AND(J46="M", AH46&lt;&gt;"U/A",AE46=Prizewinners!$J$1),AF46,"")</f>
        <v/>
      </c>
      <c r="AJ46" s="58" t="str">
        <f>IF(AND(J46="F",  AH46&lt;&gt;"U/A",AE46=Prizewinners!$J$16),AF46,"")</f>
        <v/>
      </c>
      <c r="AK46" s="58" t="str">
        <f t="shared" si="16"/>
        <v/>
      </c>
      <c r="AL46" s="58" t="str">
        <f t="shared" si="17"/>
        <v/>
      </c>
      <c r="AM46" s="58" t="str">
        <f t="shared" si="18"/>
        <v>MEast London Runners15</v>
      </c>
      <c r="AN46" s="58" t="str">
        <f t="shared" si="19"/>
        <v/>
      </c>
      <c r="AO46" s="58" t="str">
        <f t="shared" si="20"/>
        <v/>
      </c>
      <c r="AP46" s="58" t="str">
        <f t="shared" si="21"/>
        <v/>
      </c>
      <c r="AQ46" s="58" t="str">
        <f t="shared" si="22"/>
        <v>Shahib Ali</v>
      </c>
    </row>
    <row r="47" spans="1:43" x14ac:dyDescent="0.25">
      <c r="A47" s="12" t="str">
        <f t="shared" si="8"/>
        <v>VM40,12</v>
      </c>
      <c r="B47" s="12" t="str">
        <f t="shared" si="9"/>
        <v>M,44</v>
      </c>
      <c r="C47" s="11">
        <f t="shared" si="23"/>
        <v>46</v>
      </c>
      <c r="D47" s="171">
        <v>340</v>
      </c>
      <c r="E47" s="12">
        <f t="shared" si="0"/>
        <v>1</v>
      </c>
      <c r="F47" s="12">
        <f>COUNTIF(H$2:H47,H47)</f>
        <v>12</v>
      </c>
      <c r="G47" s="12">
        <f>COUNTIF(J$2:J47,J47)</f>
        <v>44</v>
      </c>
      <c r="H47" s="12" t="str">
        <f t="shared" si="1"/>
        <v>VM40</v>
      </c>
      <c r="I47" s="50" t="str">
        <f t="shared" si="2"/>
        <v>VM40</v>
      </c>
      <c r="J47" s="50" t="str">
        <f t="shared" si="3"/>
        <v>M</v>
      </c>
      <c r="K47" s="64" t="str">
        <f t="shared" si="4"/>
        <v>Daniel Holeyman</v>
      </c>
      <c r="L47" s="64" t="str">
        <f t="shared" si="5"/>
        <v>Ilford AC</v>
      </c>
      <c r="M47" s="171">
        <v>0</v>
      </c>
      <c r="N47" s="178">
        <v>19</v>
      </c>
      <c r="O47" s="178">
        <v>37</v>
      </c>
      <c r="P47" s="138">
        <f t="shared" si="10"/>
        <v>0</v>
      </c>
      <c r="Q47" s="137">
        <f t="shared" si="11"/>
        <v>19</v>
      </c>
      <c r="R47" s="143"/>
      <c r="S47" s="143"/>
      <c r="T47" s="143"/>
      <c r="U47" s="144"/>
      <c r="V47" s="144"/>
      <c r="W47" s="144"/>
      <c r="X47" s="145"/>
      <c r="Y47" s="152" t="str">
        <f t="shared" si="12"/>
        <v xml:space="preserve">   19.37 </v>
      </c>
      <c r="Z47" s="136"/>
      <c r="AA47" s="50">
        <f t="shared" si="6"/>
        <v>44</v>
      </c>
      <c r="AB47" s="129">
        <f t="shared" si="7"/>
        <v>26976</v>
      </c>
      <c r="AC47" s="58" t="str">
        <f t="shared" si="13"/>
        <v/>
      </c>
      <c r="AD47" s="58" t="str">
        <f t="shared" si="14"/>
        <v>MIlford AC</v>
      </c>
      <c r="AE47" s="60">
        <f>IF(AD47="","",COUNTIF($AD$2:AD47,AD47))</f>
        <v>10</v>
      </c>
      <c r="AF47" s="62">
        <f>IF(AD47="","",SUMIF(AD$2:AD47,AD47,G$2:G47))</f>
        <v>198</v>
      </c>
      <c r="AG47" s="62" t="str">
        <f>IF(AK47&lt;&gt;"",COUNTIF($AK$1:AK46,AK47)+AK47,IF(AL47&lt;&gt;"",COUNTIF($AL$1:AL46,AL47)+AL47,""))</f>
        <v/>
      </c>
      <c r="AH47" s="62" t="str">
        <f t="shared" si="15"/>
        <v>Ilford AC</v>
      </c>
      <c r="AI47" s="62" t="str">
        <f>IF(AND(J47="M", AH47&lt;&gt;"U/A",AE47=Prizewinners!$J$1),AF47,"")</f>
        <v/>
      </c>
      <c r="AJ47" s="58" t="str">
        <f>IF(AND(J47="F",  AH47&lt;&gt;"U/A",AE47=Prizewinners!$J$16),AF47,"")</f>
        <v/>
      </c>
      <c r="AK47" s="58" t="str">
        <f t="shared" si="16"/>
        <v/>
      </c>
      <c r="AL47" s="58" t="str">
        <f t="shared" si="17"/>
        <v/>
      </c>
      <c r="AM47" s="58" t="str">
        <f t="shared" si="18"/>
        <v>MIlford AC10</v>
      </c>
      <c r="AN47" s="58" t="str">
        <f t="shared" si="19"/>
        <v/>
      </c>
      <c r="AO47" s="58" t="str">
        <f t="shared" si="20"/>
        <v/>
      </c>
      <c r="AP47" s="58" t="str">
        <f t="shared" si="21"/>
        <v/>
      </c>
      <c r="AQ47" s="58" t="str">
        <f t="shared" si="22"/>
        <v>Daniel Holeyman</v>
      </c>
    </row>
    <row r="48" spans="1:43" x14ac:dyDescent="0.25">
      <c r="A48" s="12" t="str">
        <f t="shared" si="8"/>
        <v>VM40,13</v>
      </c>
      <c r="B48" s="12" t="str">
        <f t="shared" si="9"/>
        <v>M,45</v>
      </c>
      <c r="C48" s="11">
        <f t="shared" si="23"/>
        <v>47</v>
      </c>
      <c r="D48" s="171">
        <v>384</v>
      </c>
      <c r="E48" s="12">
        <f t="shared" si="0"/>
        <v>1</v>
      </c>
      <c r="F48" s="12">
        <f>COUNTIF(H$2:H48,H48)</f>
        <v>13</v>
      </c>
      <c r="G48" s="12">
        <f>COUNTIF(J$2:J48,J48)</f>
        <v>45</v>
      </c>
      <c r="H48" s="12" t="str">
        <f t="shared" si="1"/>
        <v>VM40</v>
      </c>
      <c r="I48" s="50" t="str">
        <f t="shared" si="2"/>
        <v>VM40</v>
      </c>
      <c r="J48" s="50" t="str">
        <f t="shared" si="3"/>
        <v>M</v>
      </c>
      <c r="K48" s="64" t="str">
        <f t="shared" si="4"/>
        <v>Peter Craik</v>
      </c>
      <c r="L48" s="64" t="str">
        <f t="shared" si="5"/>
        <v>East London Runners</v>
      </c>
      <c r="M48" s="171">
        <v>0</v>
      </c>
      <c r="N48" s="178">
        <v>19</v>
      </c>
      <c r="O48" s="178">
        <v>38</v>
      </c>
      <c r="P48" s="138">
        <f t="shared" si="10"/>
        <v>0</v>
      </c>
      <c r="Q48" s="137">
        <f t="shared" si="11"/>
        <v>19</v>
      </c>
      <c r="R48" s="143"/>
      <c r="S48" s="143"/>
      <c r="T48" s="143"/>
      <c r="U48" s="144"/>
      <c r="V48" s="144"/>
      <c r="W48" s="144"/>
      <c r="X48" s="145"/>
      <c r="Y48" s="152" t="str">
        <f t="shared" si="12"/>
        <v xml:space="preserve">   19.38 </v>
      </c>
      <c r="Z48" s="136"/>
      <c r="AA48" s="50">
        <f t="shared" si="6"/>
        <v>48</v>
      </c>
      <c r="AB48" s="129">
        <f t="shared" si="7"/>
        <v>25659</v>
      </c>
      <c r="AC48" s="58" t="str">
        <f t="shared" si="13"/>
        <v/>
      </c>
      <c r="AD48" s="58" t="str">
        <f t="shared" si="14"/>
        <v>MEast London Runners</v>
      </c>
      <c r="AE48" s="60">
        <f>IF(AD48="","",COUNTIF($AD$2:AD48,AD48))</f>
        <v>16</v>
      </c>
      <c r="AF48" s="62">
        <f>IF(AD48="","",SUMIF(AD$2:AD48,AD48,G$2:G48))</f>
        <v>366</v>
      </c>
      <c r="AG48" s="62" t="str">
        <f>IF(AK48&lt;&gt;"",COUNTIF($AK$1:AK47,AK48)+AK48,IF(AL48&lt;&gt;"",COUNTIF($AL$1:AL47,AL48)+AL48,""))</f>
        <v/>
      </c>
      <c r="AH48" s="62" t="str">
        <f t="shared" si="15"/>
        <v>East London Runners</v>
      </c>
      <c r="AI48" s="62" t="str">
        <f>IF(AND(J48="M", AH48&lt;&gt;"U/A",AE48=Prizewinners!$J$1),AF48,"")</f>
        <v/>
      </c>
      <c r="AJ48" s="58" t="str">
        <f>IF(AND(J48="F",  AH48&lt;&gt;"U/A",AE48=Prizewinners!$J$16),AF48,"")</f>
        <v/>
      </c>
      <c r="AK48" s="58" t="str">
        <f t="shared" si="16"/>
        <v/>
      </c>
      <c r="AL48" s="58" t="str">
        <f t="shared" si="17"/>
        <v/>
      </c>
      <c r="AM48" s="58" t="str">
        <f t="shared" si="18"/>
        <v>MEast London Runners16</v>
      </c>
      <c r="AN48" s="58" t="str">
        <f t="shared" si="19"/>
        <v/>
      </c>
      <c r="AO48" s="58" t="str">
        <f t="shared" si="20"/>
        <v/>
      </c>
      <c r="AP48" s="58" t="str">
        <f t="shared" si="21"/>
        <v/>
      </c>
      <c r="AQ48" s="58" t="str">
        <f t="shared" si="22"/>
        <v>Peter Craik</v>
      </c>
    </row>
    <row r="49" spans="1:43" x14ac:dyDescent="0.25">
      <c r="A49" s="12" t="str">
        <f t="shared" si="8"/>
        <v>VM50,3</v>
      </c>
      <c r="B49" s="12" t="str">
        <f t="shared" si="9"/>
        <v>M,46</v>
      </c>
      <c r="C49" s="11">
        <f t="shared" si="23"/>
        <v>48</v>
      </c>
      <c r="D49" s="171">
        <v>334</v>
      </c>
      <c r="E49" s="12">
        <f t="shared" si="0"/>
        <v>1</v>
      </c>
      <c r="F49" s="12">
        <f>COUNTIF(H$2:H49,H49)</f>
        <v>3</v>
      </c>
      <c r="G49" s="12">
        <f>COUNTIF(J$2:J49,J49)</f>
        <v>46</v>
      </c>
      <c r="H49" s="12" t="str">
        <f t="shared" si="1"/>
        <v>VM50</v>
      </c>
      <c r="I49" s="50" t="str">
        <f t="shared" si="2"/>
        <v>VM50</v>
      </c>
      <c r="J49" s="50" t="str">
        <f t="shared" si="3"/>
        <v>M</v>
      </c>
      <c r="K49" s="64" t="str">
        <f t="shared" si="4"/>
        <v>Peter Salmon</v>
      </c>
      <c r="L49" s="64" t="str">
        <f t="shared" si="5"/>
        <v>Dagenham 88 Runners</v>
      </c>
      <c r="M49" s="171">
        <v>0</v>
      </c>
      <c r="N49" s="178">
        <v>19</v>
      </c>
      <c r="O49" s="178">
        <v>41</v>
      </c>
      <c r="P49" s="138">
        <f t="shared" si="10"/>
        <v>0</v>
      </c>
      <c r="Q49" s="137">
        <f t="shared" si="11"/>
        <v>19</v>
      </c>
      <c r="R49" s="143"/>
      <c r="S49" s="143"/>
      <c r="T49" s="143"/>
      <c r="U49" s="144"/>
      <c r="V49" s="144"/>
      <c r="W49" s="144"/>
      <c r="X49" s="145"/>
      <c r="Y49" s="152" t="str">
        <f t="shared" si="12"/>
        <v xml:space="preserve">   19.41 </v>
      </c>
      <c r="Z49" s="136"/>
      <c r="AA49" s="50">
        <f t="shared" si="6"/>
        <v>50</v>
      </c>
      <c r="AB49" s="129">
        <f t="shared" si="7"/>
        <v>24934</v>
      </c>
      <c r="AC49" s="58" t="str">
        <f t="shared" si="13"/>
        <v/>
      </c>
      <c r="AD49" s="58" t="str">
        <f t="shared" si="14"/>
        <v>MDagenham 88 Runners</v>
      </c>
      <c r="AE49" s="60">
        <f>IF(AD49="","",COUNTIF($AD$2:AD49,AD49))</f>
        <v>1</v>
      </c>
      <c r="AF49" s="62">
        <f>IF(AD49="","",SUMIF(AD$2:AD49,AD49,G$2:G49))</f>
        <v>46</v>
      </c>
      <c r="AG49" s="62" t="str">
        <f>IF(AK49&lt;&gt;"",COUNTIF($AK$1:AK48,AK49)+AK49,IF(AL49&lt;&gt;"",COUNTIF($AL$1:AL48,AL49)+AL49,""))</f>
        <v/>
      </c>
      <c r="AH49" s="62" t="str">
        <f t="shared" si="15"/>
        <v>Dagenham 88 Runners</v>
      </c>
      <c r="AI49" s="62" t="str">
        <f>IF(AND(J49="M", AH49&lt;&gt;"U/A",AE49=Prizewinners!$J$1),AF49,"")</f>
        <v/>
      </c>
      <c r="AJ49" s="58" t="str">
        <f>IF(AND(J49="F",  AH49&lt;&gt;"U/A",AE49=Prizewinners!$J$16),AF49,"")</f>
        <v/>
      </c>
      <c r="AK49" s="58" t="str">
        <f t="shared" si="16"/>
        <v/>
      </c>
      <c r="AL49" s="58" t="str">
        <f t="shared" si="17"/>
        <v/>
      </c>
      <c r="AM49" s="58" t="str">
        <f t="shared" si="18"/>
        <v>MDagenham 88 Runners1</v>
      </c>
      <c r="AN49" s="58" t="str">
        <f t="shared" si="19"/>
        <v/>
      </c>
      <c r="AO49" s="58" t="str">
        <f t="shared" si="20"/>
        <v/>
      </c>
      <c r="AP49" s="58" t="str">
        <f t="shared" si="21"/>
        <v/>
      </c>
      <c r="AQ49" s="58" t="str">
        <f t="shared" si="22"/>
        <v>Peter Salmon</v>
      </c>
    </row>
    <row r="50" spans="1:43" x14ac:dyDescent="0.25">
      <c r="A50" s="12" t="str">
        <f t="shared" si="8"/>
        <v>SM,27</v>
      </c>
      <c r="B50" s="12" t="str">
        <f t="shared" si="9"/>
        <v>M,47</v>
      </c>
      <c r="C50" s="11">
        <f t="shared" si="23"/>
        <v>49</v>
      </c>
      <c r="D50" s="171">
        <v>49</v>
      </c>
      <c r="E50" s="12">
        <f t="shared" si="0"/>
        <v>1</v>
      </c>
      <c r="F50" s="12">
        <f>COUNTIF(H$2:H50,H50)</f>
        <v>27</v>
      </c>
      <c r="G50" s="12">
        <f>COUNTIF(J$2:J50,J50)</f>
        <v>47</v>
      </c>
      <c r="H50" s="12" t="str">
        <f t="shared" si="1"/>
        <v>SM</v>
      </c>
      <c r="I50" s="50" t="str">
        <f t="shared" si="2"/>
        <v>SM</v>
      </c>
      <c r="J50" s="50" t="str">
        <f t="shared" si="3"/>
        <v>M</v>
      </c>
      <c r="K50" s="64" t="str">
        <f t="shared" si="4"/>
        <v>david cato</v>
      </c>
      <c r="L50" s="64" t="str">
        <f t="shared" si="5"/>
        <v>Eton Manor AC</v>
      </c>
      <c r="M50" s="171">
        <v>0</v>
      </c>
      <c r="N50" s="178">
        <v>19</v>
      </c>
      <c r="O50" s="178">
        <v>45</v>
      </c>
      <c r="P50" s="138">
        <f t="shared" si="10"/>
        <v>0</v>
      </c>
      <c r="Q50" s="137">
        <f t="shared" si="11"/>
        <v>19</v>
      </c>
      <c r="R50" s="143"/>
      <c r="S50" s="143"/>
      <c r="T50" s="143"/>
      <c r="U50" s="144"/>
      <c r="V50" s="144"/>
      <c r="W50" s="144"/>
      <c r="X50" s="145"/>
      <c r="Y50" s="152" t="str">
        <f t="shared" si="12"/>
        <v xml:space="preserve">   19.45 </v>
      </c>
      <c r="Z50" s="136"/>
      <c r="AA50" s="50">
        <f t="shared" si="6"/>
        <v>38</v>
      </c>
      <c r="AB50" s="129">
        <f t="shared" si="7"/>
        <v>29098</v>
      </c>
      <c r="AC50" s="58" t="str">
        <f t="shared" si="13"/>
        <v>M6</v>
      </c>
      <c r="AD50" s="58" t="str">
        <f t="shared" si="14"/>
        <v>MEton Manor AC</v>
      </c>
      <c r="AE50" s="60">
        <f>IF(AD50="","",COUNTIF($AD$2:AD50,AD50))</f>
        <v>3</v>
      </c>
      <c r="AF50" s="62">
        <f>IF(AD50="","",SUMIF(AD$2:AD50,AD50,G$2:G50))</f>
        <v>102</v>
      </c>
      <c r="AG50" s="62">
        <f>IF(AK50&lt;&gt;"",COUNTIF($AK$1:AK49,AK50)+AK50,IF(AL50&lt;&gt;"",COUNTIF($AL$1:AL49,AL50)+AL50,""))</f>
        <v>6</v>
      </c>
      <c r="AH50" s="62" t="str">
        <f t="shared" si="15"/>
        <v>Eton Manor AC</v>
      </c>
      <c r="AI50" s="62">
        <f>IF(AND(J50="M", AH50&lt;&gt;"U/A",AE50=Prizewinners!$J$1),AF50,"")</f>
        <v>102</v>
      </c>
      <c r="AJ50" s="58" t="str">
        <f>IF(AND(J50="F",  AH50&lt;&gt;"U/A",AE50=Prizewinners!$J$16),AF50,"")</f>
        <v/>
      </c>
      <c r="AK50" s="58">
        <f t="shared" si="16"/>
        <v>6</v>
      </c>
      <c r="AL50" s="58" t="str">
        <f t="shared" si="17"/>
        <v/>
      </c>
      <c r="AM50" s="58" t="str">
        <f t="shared" si="18"/>
        <v>MEton Manor AC3</v>
      </c>
      <c r="AN50" s="58" t="str">
        <f t="shared" si="19"/>
        <v>Paul Boddey</v>
      </c>
      <c r="AO50" s="58" t="str">
        <f t="shared" si="20"/>
        <v>George Fernandez</v>
      </c>
      <c r="AP50" s="58" t="str">
        <f t="shared" si="21"/>
        <v>david cato</v>
      </c>
      <c r="AQ50" s="58" t="str">
        <f t="shared" si="22"/>
        <v>david cato</v>
      </c>
    </row>
    <row r="51" spans="1:43" x14ac:dyDescent="0.25">
      <c r="A51" s="12" t="str">
        <f t="shared" si="8"/>
        <v>VM40,14</v>
      </c>
      <c r="B51" s="12" t="str">
        <f t="shared" si="9"/>
        <v>M,48</v>
      </c>
      <c r="C51" s="11">
        <f t="shared" si="23"/>
        <v>50</v>
      </c>
      <c r="D51" s="171">
        <v>336</v>
      </c>
      <c r="E51" s="12">
        <f t="shared" si="0"/>
        <v>1</v>
      </c>
      <c r="F51" s="12">
        <f>COUNTIF(H$2:H51,H51)</f>
        <v>14</v>
      </c>
      <c r="G51" s="12">
        <f>COUNTIF(J$2:J51,J51)</f>
        <v>48</v>
      </c>
      <c r="H51" s="12" t="str">
        <f t="shared" si="1"/>
        <v>VM40</v>
      </c>
      <c r="I51" s="50" t="str">
        <f t="shared" si="2"/>
        <v>VM40</v>
      </c>
      <c r="J51" s="50" t="str">
        <f t="shared" si="3"/>
        <v>M</v>
      </c>
      <c r="K51" s="64" t="str">
        <f t="shared" si="4"/>
        <v>Robert Rayworth</v>
      </c>
      <c r="L51" s="64" t="str">
        <f t="shared" si="5"/>
        <v>East London Runners</v>
      </c>
      <c r="M51" s="171">
        <v>0</v>
      </c>
      <c r="N51" s="178">
        <v>19</v>
      </c>
      <c r="O51" s="178">
        <v>46</v>
      </c>
      <c r="P51" s="138">
        <f t="shared" si="10"/>
        <v>0</v>
      </c>
      <c r="Q51" s="137">
        <f t="shared" si="11"/>
        <v>19</v>
      </c>
      <c r="R51" s="143"/>
      <c r="S51" s="143"/>
      <c r="T51" s="143"/>
      <c r="U51" s="144"/>
      <c r="V51" s="144"/>
      <c r="W51" s="144"/>
      <c r="X51" s="145"/>
      <c r="Y51" s="152" t="str">
        <f t="shared" si="12"/>
        <v xml:space="preserve">   19.46 </v>
      </c>
      <c r="Z51" s="136"/>
      <c r="AA51" s="50">
        <f t="shared" si="6"/>
        <v>42</v>
      </c>
      <c r="AB51" s="129">
        <f t="shared" si="7"/>
        <v>27741</v>
      </c>
      <c r="AC51" s="58" t="str">
        <f t="shared" si="13"/>
        <v/>
      </c>
      <c r="AD51" s="58" t="str">
        <f t="shared" si="14"/>
        <v>MEast London Runners</v>
      </c>
      <c r="AE51" s="60">
        <f>IF(AD51="","",COUNTIF($AD$2:AD51,AD51))</f>
        <v>17</v>
      </c>
      <c r="AF51" s="62">
        <f>IF(AD51="","",SUMIF(AD$2:AD51,AD51,G$2:G51))</f>
        <v>414</v>
      </c>
      <c r="AG51" s="62" t="str">
        <f>IF(AK51&lt;&gt;"",COUNTIF($AK$1:AK50,AK51)+AK51,IF(AL51&lt;&gt;"",COUNTIF($AL$1:AL50,AL51)+AL51,""))</f>
        <v/>
      </c>
      <c r="AH51" s="62" t="str">
        <f t="shared" si="15"/>
        <v>East London Runners</v>
      </c>
      <c r="AI51" s="62" t="str">
        <f>IF(AND(J51="M", AH51&lt;&gt;"U/A",AE51=Prizewinners!$J$1),AF51,"")</f>
        <v/>
      </c>
      <c r="AJ51" s="58" t="str">
        <f>IF(AND(J51="F",  AH51&lt;&gt;"U/A",AE51=Prizewinners!$J$16),AF51,"")</f>
        <v/>
      </c>
      <c r="AK51" s="58" t="str">
        <f t="shared" si="16"/>
        <v/>
      </c>
      <c r="AL51" s="58" t="str">
        <f t="shared" si="17"/>
        <v/>
      </c>
      <c r="AM51" s="58" t="str">
        <f t="shared" si="18"/>
        <v>MEast London Runners17</v>
      </c>
      <c r="AN51" s="58" t="str">
        <f t="shared" si="19"/>
        <v/>
      </c>
      <c r="AO51" s="58" t="str">
        <f t="shared" si="20"/>
        <v/>
      </c>
      <c r="AP51" s="58" t="str">
        <f t="shared" si="21"/>
        <v/>
      </c>
      <c r="AQ51" s="58" t="str">
        <f t="shared" si="22"/>
        <v>Robert Rayworth</v>
      </c>
    </row>
    <row r="52" spans="1:43" x14ac:dyDescent="0.25">
      <c r="A52" s="12" t="str">
        <f t="shared" si="8"/>
        <v>SM,28</v>
      </c>
      <c r="B52" s="12" t="str">
        <f t="shared" si="9"/>
        <v>M,49</v>
      </c>
      <c r="C52" s="11">
        <f t="shared" si="23"/>
        <v>51</v>
      </c>
      <c r="D52" s="171">
        <v>115</v>
      </c>
      <c r="E52" s="12">
        <f t="shared" si="0"/>
        <v>1</v>
      </c>
      <c r="F52" s="12">
        <f>COUNTIF(H$2:H52,H52)</f>
        <v>28</v>
      </c>
      <c r="G52" s="12">
        <f>COUNTIF(J$2:J52,J52)</f>
        <v>49</v>
      </c>
      <c r="H52" s="12" t="str">
        <f t="shared" si="1"/>
        <v>SM</v>
      </c>
      <c r="I52" s="50" t="str">
        <f t="shared" si="2"/>
        <v>SM</v>
      </c>
      <c r="J52" s="50" t="str">
        <f t="shared" si="3"/>
        <v>M</v>
      </c>
      <c r="K52" s="64" t="str">
        <f t="shared" si="4"/>
        <v>James Lowndes</v>
      </c>
      <c r="L52" s="64" t="str">
        <f t="shared" si="5"/>
        <v>Barking Road Runners</v>
      </c>
      <c r="M52" s="171">
        <v>0</v>
      </c>
      <c r="N52" s="178">
        <v>19</v>
      </c>
      <c r="O52" s="178">
        <v>48</v>
      </c>
      <c r="P52" s="138">
        <f t="shared" si="10"/>
        <v>0</v>
      </c>
      <c r="Q52" s="137">
        <f t="shared" si="11"/>
        <v>19</v>
      </c>
      <c r="R52" s="143"/>
      <c r="S52" s="143"/>
      <c r="T52" s="143"/>
      <c r="U52" s="144"/>
      <c r="V52" s="144"/>
      <c r="W52" s="144"/>
      <c r="X52" s="145"/>
      <c r="Y52" s="152" t="str">
        <f t="shared" si="12"/>
        <v xml:space="preserve">   19.48 </v>
      </c>
      <c r="Z52" s="136"/>
      <c r="AA52" s="50">
        <f t="shared" si="6"/>
        <v>39</v>
      </c>
      <c r="AB52" s="129">
        <f t="shared" si="7"/>
        <v>28757</v>
      </c>
      <c r="AC52" s="58" t="str">
        <f t="shared" si="13"/>
        <v/>
      </c>
      <c r="AD52" s="58" t="str">
        <f t="shared" si="14"/>
        <v>MBarking Road Runners</v>
      </c>
      <c r="AE52" s="60">
        <f>IF(AD52="","",COUNTIF($AD$2:AD52,AD52))</f>
        <v>5</v>
      </c>
      <c r="AF52" s="62">
        <f>IF(AD52="","",SUMIF(AD$2:AD52,AD52,G$2:G52))</f>
        <v>153</v>
      </c>
      <c r="AG52" s="62" t="str">
        <f>IF(AK52&lt;&gt;"",COUNTIF($AK$1:AK51,AK52)+AK52,IF(AL52&lt;&gt;"",COUNTIF($AL$1:AL51,AL52)+AL52,""))</f>
        <v/>
      </c>
      <c r="AH52" s="62" t="str">
        <f t="shared" si="15"/>
        <v>Barking Road Runners</v>
      </c>
      <c r="AI52" s="62" t="str">
        <f>IF(AND(J52="M", AH52&lt;&gt;"U/A",AE52=Prizewinners!$J$1),AF52,"")</f>
        <v/>
      </c>
      <c r="AJ52" s="58" t="str">
        <f>IF(AND(J52="F",  AH52&lt;&gt;"U/A",AE52=Prizewinners!$J$16),AF52,"")</f>
        <v/>
      </c>
      <c r="AK52" s="58" t="str">
        <f t="shared" si="16"/>
        <v/>
      </c>
      <c r="AL52" s="58" t="str">
        <f t="shared" si="17"/>
        <v/>
      </c>
      <c r="AM52" s="58" t="str">
        <f t="shared" si="18"/>
        <v>MBarking Road Runners5</v>
      </c>
      <c r="AN52" s="58" t="str">
        <f t="shared" si="19"/>
        <v/>
      </c>
      <c r="AO52" s="58" t="str">
        <f t="shared" si="20"/>
        <v/>
      </c>
      <c r="AP52" s="58" t="str">
        <f t="shared" si="21"/>
        <v/>
      </c>
      <c r="AQ52" s="58" t="str">
        <f t="shared" si="22"/>
        <v>James Lowndes</v>
      </c>
    </row>
    <row r="53" spans="1:43" x14ac:dyDescent="0.25">
      <c r="A53" s="12" t="str">
        <f t="shared" si="8"/>
        <v>SM,29</v>
      </c>
      <c r="B53" s="12" t="str">
        <f t="shared" si="9"/>
        <v>M,50</v>
      </c>
      <c r="C53" s="11">
        <f t="shared" si="23"/>
        <v>52</v>
      </c>
      <c r="D53" s="171">
        <v>69</v>
      </c>
      <c r="E53" s="12">
        <f t="shared" si="0"/>
        <v>1</v>
      </c>
      <c r="F53" s="12">
        <f>COUNTIF(H$2:H53,H53)</f>
        <v>29</v>
      </c>
      <c r="G53" s="12">
        <f>COUNTIF(J$2:J53,J53)</f>
        <v>50</v>
      </c>
      <c r="H53" s="12" t="str">
        <f>IF(G53&gt;3,I53,"")</f>
        <v>SM</v>
      </c>
      <c r="I53" s="50" t="str">
        <f t="shared" si="2"/>
        <v>SM</v>
      </c>
      <c r="J53" s="50" t="str">
        <f t="shared" si="3"/>
        <v>M</v>
      </c>
      <c r="K53" s="64" t="str">
        <f t="shared" si="4"/>
        <v>In-Yong Hwang</v>
      </c>
      <c r="L53" s="64" t="str">
        <f t="shared" si="5"/>
        <v>East End Road Runners</v>
      </c>
      <c r="M53" s="171">
        <v>0</v>
      </c>
      <c r="N53" s="178">
        <v>19</v>
      </c>
      <c r="O53" s="178">
        <v>49</v>
      </c>
      <c r="P53" s="138">
        <f t="shared" si="10"/>
        <v>0</v>
      </c>
      <c r="Q53" s="137">
        <f t="shared" si="11"/>
        <v>19</v>
      </c>
      <c r="R53" s="143"/>
      <c r="S53" s="143"/>
      <c r="T53" s="143"/>
      <c r="U53" s="144"/>
      <c r="V53" s="144"/>
      <c r="W53" s="144"/>
      <c r="X53" s="145"/>
      <c r="Y53" s="152" t="str">
        <f t="shared" si="12"/>
        <v xml:space="preserve">   19.49 </v>
      </c>
      <c r="Z53" s="136"/>
      <c r="AA53" s="50">
        <f t="shared" si="6"/>
        <v>29</v>
      </c>
      <c r="AB53" s="129">
        <f t="shared" si="7"/>
        <v>32388</v>
      </c>
      <c r="AC53" s="58" t="str">
        <f t="shared" si="13"/>
        <v/>
      </c>
      <c r="AD53" s="58" t="str">
        <f t="shared" si="14"/>
        <v>MEast End Road Runners</v>
      </c>
      <c r="AE53" s="60">
        <f>IF(AD53="","",COUNTIF($AD$2:AD53,AD53))</f>
        <v>4</v>
      </c>
      <c r="AF53" s="62">
        <f>IF(AD53="","",SUMIF(AD$2:AD53,AD53,G$2:G53))</f>
        <v>125</v>
      </c>
      <c r="AG53" s="62" t="str">
        <f>IF(AK53&lt;&gt;"",COUNTIF($AK$1:AK52,AK53)+AK53,IF(AL53&lt;&gt;"",COUNTIF($AL$1:AL52,AL53)+AL53,""))</f>
        <v/>
      </c>
      <c r="AH53" s="62" t="str">
        <f t="shared" si="15"/>
        <v>East End Road Runners</v>
      </c>
      <c r="AI53" s="62" t="str">
        <f>IF(AND(J53="M", AH53&lt;&gt;"U/A",AE53=Prizewinners!$J$1),AF53,"")</f>
        <v/>
      </c>
      <c r="AJ53" s="58" t="str">
        <f>IF(AND(J53="F",  AH53&lt;&gt;"U/A",AE53=Prizewinners!$J$16),AF53,"")</f>
        <v/>
      </c>
      <c r="AK53" s="58" t="str">
        <f t="shared" si="16"/>
        <v/>
      </c>
      <c r="AL53" s="58" t="str">
        <f t="shared" si="17"/>
        <v/>
      </c>
      <c r="AM53" s="58" t="str">
        <f t="shared" si="18"/>
        <v>MEast End Road Runners4</v>
      </c>
      <c r="AN53" s="58" t="str">
        <f t="shared" si="19"/>
        <v/>
      </c>
      <c r="AO53" s="58" t="str">
        <f t="shared" si="20"/>
        <v/>
      </c>
      <c r="AP53" s="58" t="str">
        <f t="shared" si="21"/>
        <v/>
      </c>
      <c r="AQ53" s="58" t="str">
        <f t="shared" si="22"/>
        <v>In-Yong Hwang</v>
      </c>
    </row>
    <row r="54" spans="1:43" x14ac:dyDescent="0.25">
      <c r="A54" s="12" t="str">
        <f t="shared" si="8"/>
        <v>SM,30</v>
      </c>
      <c r="B54" s="12" t="str">
        <f t="shared" si="9"/>
        <v>M,51</v>
      </c>
      <c r="C54" s="11">
        <f t="shared" si="23"/>
        <v>53</v>
      </c>
      <c r="D54" s="171">
        <v>80</v>
      </c>
      <c r="E54" s="12">
        <f t="shared" si="0"/>
        <v>1</v>
      </c>
      <c r="F54" s="12">
        <f>COUNTIF(H$2:H54,H54)</f>
        <v>30</v>
      </c>
      <c r="G54" s="12">
        <f>COUNTIF(J$2:J54,J54)</f>
        <v>51</v>
      </c>
      <c r="H54" s="12" t="str">
        <f t="shared" si="1"/>
        <v>SM</v>
      </c>
      <c r="I54" s="50" t="str">
        <f t="shared" si="2"/>
        <v>SM</v>
      </c>
      <c r="J54" s="50" t="str">
        <f t="shared" si="3"/>
        <v>M</v>
      </c>
      <c r="K54" s="64" t="str">
        <f t="shared" si="4"/>
        <v>Radoslaw Michalczuk</v>
      </c>
      <c r="L54" s="64" t="str">
        <f t="shared" si="5"/>
        <v>Unattached</v>
      </c>
      <c r="M54" s="171">
        <v>0</v>
      </c>
      <c r="N54" s="178">
        <v>19</v>
      </c>
      <c r="O54" s="178">
        <v>53</v>
      </c>
      <c r="P54" s="138">
        <f t="shared" si="10"/>
        <v>0</v>
      </c>
      <c r="Q54" s="137">
        <f t="shared" si="11"/>
        <v>19</v>
      </c>
      <c r="R54" s="143"/>
      <c r="S54" s="143"/>
      <c r="T54" s="143"/>
      <c r="U54" s="144"/>
      <c r="V54" s="144"/>
      <c r="W54" s="144"/>
      <c r="X54" s="145"/>
      <c r="Y54" s="152" t="str">
        <f t="shared" si="12"/>
        <v xml:space="preserve">   19.53 </v>
      </c>
      <c r="Z54" s="136"/>
      <c r="AA54" s="50">
        <f t="shared" si="6"/>
        <v>33</v>
      </c>
      <c r="AB54" s="129">
        <f t="shared" si="7"/>
        <v>30984</v>
      </c>
      <c r="AC54" s="58" t="str">
        <f t="shared" si="13"/>
        <v/>
      </c>
      <c r="AD54" s="58" t="str">
        <f t="shared" si="14"/>
        <v>MUnattached</v>
      </c>
      <c r="AE54" s="60">
        <f>IF(AD54="","",COUNTIF($AD$2:AD54,AD54))</f>
        <v>2</v>
      </c>
      <c r="AF54" s="62">
        <f>IF(AD54="","",SUMIF(AD$2:AD54,AD54,G$2:G54))</f>
        <v>93</v>
      </c>
      <c r="AG54" s="62" t="str">
        <f>IF(AK54&lt;&gt;"",COUNTIF($AK$1:AK53,AK54)+AK54,IF(AL54&lt;&gt;"",COUNTIF($AL$1:AL53,AL54)+AL54,""))</f>
        <v/>
      </c>
      <c r="AH54" s="62" t="str">
        <f t="shared" si="15"/>
        <v>Unattached</v>
      </c>
      <c r="AI54" s="62" t="str">
        <f>IF(AND(J54="M", AH54&lt;&gt;"U/A",AE54=Prizewinners!$J$1),AF54,"")</f>
        <v/>
      </c>
      <c r="AJ54" s="58" t="str">
        <f>IF(AND(J54="F",  AH54&lt;&gt;"U/A",AE54=Prizewinners!$J$16),AF54,"")</f>
        <v/>
      </c>
      <c r="AK54" s="58" t="str">
        <f t="shared" si="16"/>
        <v/>
      </c>
      <c r="AL54" s="58" t="str">
        <f t="shared" si="17"/>
        <v/>
      </c>
      <c r="AM54" s="58" t="str">
        <f t="shared" si="18"/>
        <v>MUnattached2</v>
      </c>
      <c r="AN54" s="58" t="str">
        <f t="shared" si="19"/>
        <v/>
      </c>
      <c r="AO54" s="58" t="str">
        <f t="shared" si="20"/>
        <v/>
      </c>
      <c r="AP54" s="58" t="str">
        <f t="shared" si="21"/>
        <v/>
      </c>
      <c r="AQ54" s="58" t="str">
        <f t="shared" si="22"/>
        <v>Radoslaw Michalczuk</v>
      </c>
    </row>
    <row r="55" spans="1:43" x14ac:dyDescent="0.25">
      <c r="A55" s="12" t="str">
        <f t="shared" si="8"/>
        <v>SM,31</v>
      </c>
      <c r="B55" s="12" t="str">
        <f t="shared" si="9"/>
        <v>M,52</v>
      </c>
      <c r="C55" s="11">
        <f t="shared" si="23"/>
        <v>54</v>
      </c>
      <c r="D55" s="171">
        <v>136</v>
      </c>
      <c r="E55" s="12">
        <f t="shared" si="0"/>
        <v>1</v>
      </c>
      <c r="F55" s="12">
        <f>COUNTIF(H$2:H55,H55)</f>
        <v>31</v>
      </c>
      <c r="G55" s="12">
        <f>COUNTIF(J$2:J55,J55)</f>
        <v>52</v>
      </c>
      <c r="H55" s="12" t="str">
        <f t="shared" si="1"/>
        <v>SM</v>
      </c>
      <c r="I55" s="50" t="str">
        <f t="shared" si="2"/>
        <v>SM</v>
      </c>
      <c r="J55" s="50" t="str">
        <f t="shared" si="3"/>
        <v>M</v>
      </c>
      <c r="K55" s="64" t="str">
        <f t="shared" si="4"/>
        <v>Martin Reynolds</v>
      </c>
      <c r="L55" s="64" t="str">
        <f t="shared" si="5"/>
        <v>Orion Harriers</v>
      </c>
      <c r="M55" s="171">
        <v>0</v>
      </c>
      <c r="N55" s="178">
        <v>19</v>
      </c>
      <c r="O55" s="178">
        <v>53</v>
      </c>
      <c r="P55" s="138">
        <f t="shared" si="10"/>
        <v>0</v>
      </c>
      <c r="Q55" s="137">
        <f t="shared" si="11"/>
        <v>19</v>
      </c>
      <c r="R55" s="143"/>
      <c r="S55" s="143"/>
      <c r="T55" s="143"/>
      <c r="U55" s="144"/>
      <c r="V55" s="144"/>
      <c r="W55" s="144"/>
      <c r="X55" s="145"/>
      <c r="Y55" s="152" t="str">
        <f t="shared" si="12"/>
        <v xml:space="preserve">   19.53 </v>
      </c>
      <c r="Z55" s="136"/>
      <c r="AA55" s="50">
        <f t="shared" si="6"/>
        <v>39</v>
      </c>
      <c r="AB55" s="129">
        <f t="shared" si="7"/>
        <v>29066</v>
      </c>
      <c r="AC55" s="58" t="str">
        <f t="shared" si="13"/>
        <v/>
      </c>
      <c r="AD55" s="58" t="str">
        <f t="shared" si="14"/>
        <v>MOrion Harriers</v>
      </c>
      <c r="AE55" s="60">
        <f>IF(AD55="","",COUNTIF($AD$2:AD55,AD55))</f>
        <v>2</v>
      </c>
      <c r="AF55" s="62">
        <f>IF(AD55="","",SUMIF(AD$2:AD55,AD55,G$2:G55))</f>
        <v>70</v>
      </c>
      <c r="AG55" s="62" t="str">
        <f>IF(AK55&lt;&gt;"",COUNTIF($AK$1:AK54,AK55)+AK55,IF(AL55&lt;&gt;"",COUNTIF($AL$1:AL54,AL55)+AL55,""))</f>
        <v/>
      </c>
      <c r="AH55" s="62" t="str">
        <f t="shared" si="15"/>
        <v>Orion Harriers</v>
      </c>
      <c r="AI55" s="62" t="str">
        <f>IF(AND(J55="M", AH55&lt;&gt;"U/A",AE55=Prizewinners!$J$1),AF55,"")</f>
        <v/>
      </c>
      <c r="AJ55" s="58" t="str">
        <f>IF(AND(J55="F",  AH55&lt;&gt;"U/A",AE55=Prizewinners!$J$16),AF55,"")</f>
        <v/>
      </c>
      <c r="AK55" s="58" t="str">
        <f t="shared" si="16"/>
        <v/>
      </c>
      <c r="AL55" s="58" t="str">
        <f t="shared" si="17"/>
        <v/>
      </c>
      <c r="AM55" s="58" t="str">
        <f t="shared" si="18"/>
        <v>MOrion Harriers2</v>
      </c>
      <c r="AN55" s="58" t="str">
        <f t="shared" si="19"/>
        <v/>
      </c>
      <c r="AO55" s="58" t="str">
        <f t="shared" si="20"/>
        <v/>
      </c>
      <c r="AP55" s="58" t="str">
        <f t="shared" si="21"/>
        <v/>
      </c>
      <c r="AQ55" s="58" t="str">
        <f t="shared" si="22"/>
        <v>Martin Reynolds</v>
      </c>
    </row>
    <row r="56" spans="1:43" x14ac:dyDescent="0.25">
      <c r="A56" s="12" t="str">
        <f t="shared" si="8"/>
        <v>VM40,15</v>
      </c>
      <c r="B56" s="12" t="str">
        <f t="shared" si="9"/>
        <v>M,53</v>
      </c>
      <c r="C56" s="11">
        <f t="shared" si="23"/>
        <v>55</v>
      </c>
      <c r="D56" s="171">
        <v>417</v>
      </c>
      <c r="E56" s="12">
        <f t="shared" si="0"/>
        <v>1</v>
      </c>
      <c r="F56" s="12">
        <f>COUNTIF(H$2:H56,H56)</f>
        <v>15</v>
      </c>
      <c r="G56" s="12">
        <f>COUNTIF(J$2:J56,J56)</f>
        <v>53</v>
      </c>
      <c r="H56" s="12" t="str">
        <f t="shared" si="1"/>
        <v>VM40</v>
      </c>
      <c r="I56" s="50" t="str">
        <f t="shared" si="2"/>
        <v>VM40</v>
      </c>
      <c r="J56" s="50" t="str">
        <f t="shared" si="3"/>
        <v>M</v>
      </c>
      <c r="K56" s="64" t="str">
        <f t="shared" si="4"/>
        <v>Dan Green</v>
      </c>
      <c r="L56" s="64" t="str">
        <f t="shared" si="5"/>
        <v>Orion Harriers</v>
      </c>
      <c r="M56" s="171">
        <v>0</v>
      </c>
      <c r="N56" s="178">
        <v>19</v>
      </c>
      <c r="O56" s="178">
        <v>58</v>
      </c>
      <c r="P56" s="138">
        <f t="shared" si="10"/>
        <v>0</v>
      </c>
      <c r="Q56" s="137">
        <f t="shared" si="11"/>
        <v>19</v>
      </c>
      <c r="R56" s="143"/>
      <c r="S56" s="143"/>
      <c r="T56" s="143"/>
      <c r="U56" s="144"/>
      <c r="V56" s="144"/>
      <c r="W56" s="144"/>
      <c r="X56" s="145"/>
      <c r="Y56" s="152" t="str">
        <f t="shared" si="12"/>
        <v xml:space="preserve">   19.58 </v>
      </c>
      <c r="Z56" s="136"/>
      <c r="AA56" s="50">
        <f t="shared" si="6"/>
        <v>49</v>
      </c>
      <c r="AB56" s="129">
        <f t="shared" si="7"/>
        <v>25283</v>
      </c>
      <c r="AC56" s="58" t="str">
        <f t="shared" si="13"/>
        <v>M7</v>
      </c>
      <c r="AD56" s="58" t="str">
        <f t="shared" si="14"/>
        <v>MOrion Harriers</v>
      </c>
      <c r="AE56" s="60">
        <f>IF(AD56="","",COUNTIF($AD$2:AD56,AD56))</f>
        <v>3</v>
      </c>
      <c r="AF56" s="62">
        <f>IF(AD56="","",SUMIF(AD$2:AD56,AD56,G$2:G56))</f>
        <v>123</v>
      </c>
      <c r="AG56" s="62">
        <f>IF(AK56&lt;&gt;"",COUNTIF($AK$1:AK55,AK56)+AK56,IF(AL56&lt;&gt;"",COUNTIF($AL$1:AL55,AL56)+AL56,""))</f>
        <v>7</v>
      </c>
      <c r="AH56" s="62" t="str">
        <f t="shared" si="15"/>
        <v>Orion Harriers</v>
      </c>
      <c r="AI56" s="62">
        <f>IF(AND(J56="M", AH56&lt;&gt;"U/A",AE56=Prizewinners!$J$1),AF56,"")</f>
        <v>123</v>
      </c>
      <c r="AJ56" s="58" t="str">
        <f>IF(AND(J56="F",  AH56&lt;&gt;"U/A",AE56=Prizewinners!$J$16),AF56,"")</f>
        <v/>
      </c>
      <c r="AK56" s="58">
        <f t="shared" si="16"/>
        <v>7</v>
      </c>
      <c r="AL56" s="58" t="str">
        <f t="shared" si="17"/>
        <v/>
      </c>
      <c r="AM56" s="58" t="str">
        <f t="shared" si="18"/>
        <v>MOrion Harriers3</v>
      </c>
      <c r="AN56" s="58" t="str">
        <f t="shared" si="19"/>
        <v>Bob Glasgow</v>
      </c>
      <c r="AO56" s="58" t="str">
        <f t="shared" si="20"/>
        <v>Martin Reynolds</v>
      </c>
      <c r="AP56" s="58" t="str">
        <f t="shared" si="21"/>
        <v>Dan Green</v>
      </c>
      <c r="AQ56" s="58" t="str">
        <f t="shared" si="22"/>
        <v>Dan Green</v>
      </c>
    </row>
    <row r="57" spans="1:43" x14ac:dyDescent="0.25">
      <c r="A57" s="12" t="str">
        <f t="shared" si="8"/>
        <v>SM,32</v>
      </c>
      <c r="B57" s="12" t="str">
        <f t="shared" si="9"/>
        <v>M,54</v>
      </c>
      <c r="C57" s="11">
        <f t="shared" si="23"/>
        <v>56</v>
      </c>
      <c r="D57" s="171">
        <v>9</v>
      </c>
      <c r="E57" s="12">
        <f t="shared" si="0"/>
        <v>1</v>
      </c>
      <c r="F57" s="12">
        <f>COUNTIF(H$2:H57,H57)</f>
        <v>32</v>
      </c>
      <c r="G57" s="12">
        <f>COUNTIF(J$2:J57,J57)</f>
        <v>54</v>
      </c>
      <c r="H57" s="12" t="str">
        <f t="shared" si="1"/>
        <v>SM</v>
      </c>
      <c r="I57" s="50" t="str">
        <f t="shared" si="2"/>
        <v>SM</v>
      </c>
      <c r="J57" s="50" t="str">
        <f t="shared" si="3"/>
        <v>M</v>
      </c>
      <c r="K57" s="64" t="str">
        <f t="shared" si="4"/>
        <v>Paul Withyman</v>
      </c>
      <c r="L57" s="64" t="str">
        <f t="shared" si="5"/>
        <v>Barking Road Runners</v>
      </c>
      <c r="M57" s="171">
        <v>0</v>
      </c>
      <c r="N57" s="178">
        <v>19</v>
      </c>
      <c r="O57" s="178">
        <v>59</v>
      </c>
      <c r="P57" s="138">
        <f t="shared" si="10"/>
        <v>0</v>
      </c>
      <c r="Q57" s="137">
        <f t="shared" si="11"/>
        <v>19</v>
      </c>
      <c r="R57" s="143"/>
      <c r="S57" s="143"/>
      <c r="T57" s="143"/>
      <c r="U57" s="144"/>
      <c r="V57" s="144"/>
      <c r="W57" s="144"/>
      <c r="X57" s="145"/>
      <c r="Y57" s="152" t="str">
        <f t="shared" si="12"/>
        <v xml:space="preserve">   19.59 </v>
      </c>
      <c r="Z57" s="136"/>
      <c r="AA57" s="50">
        <f t="shared" si="6"/>
        <v>37</v>
      </c>
      <c r="AB57" s="129">
        <f t="shared" si="7"/>
        <v>29682</v>
      </c>
      <c r="AC57" s="58" t="str">
        <f t="shared" si="13"/>
        <v/>
      </c>
      <c r="AD57" s="58" t="str">
        <f t="shared" si="14"/>
        <v>MBarking Road Runners</v>
      </c>
      <c r="AE57" s="60">
        <f>IF(AD57="","",COUNTIF($AD$2:AD57,AD57))</f>
        <v>6</v>
      </c>
      <c r="AF57" s="62">
        <f>IF(AD57="","",SUMIF(AD$2:AD57,AD57,G$2:G57))</f>
        <v>207</v>
      </c>
      <c r="AG57" s="62" t="str">
        <f>IF(AK57&lt;&gt;"",COUNTIF($AK$1:AK56,AK57)+AK57,IF(AL57&lt;&gt;"",COUNTIF($AL$1:AL56,AL57)+AL57,""))</f>
        <v/>
      </c>
      <c r="AH57" s="62" t="str">
        <f t="shared" si="15"/>
        <v>Barking Road Runners</v>
      </c>
      <c r="AI57" s="62" t="str">
        <f>IF(AND(J57="M", AH57&lt;&gt;"U/A",AE57=Prizewinners!$J$1),AF57,"")</f>
        <v/>
      </c>
      <c r="AJ57" s="58" t="str">
        <f>IF(AND(J57="F",  AH57&lt;&gt;"U/A",AE57=Prizewinners!$J$16),AF57,"")</f>
        <v/>
      </c>
      <c r="AK57" s="58" t="str">
        <f t="shared" si="16"/>
        <v/>
      </c>
      <c r="AL57" s="58" t="str">
        <f t="shared" si="17"/>
        <v/>
      </c>
      <c r="AM57" s="58" t="str">
        <f t="shared" si="18"/>
        <v>MBarking Road Runners6</v>
      </c>
      <c r="AN57" s="58" t="str">
        <f t="shared" si="19"/>
        <v/>
      </c>
      <c r="AO57" s="58" t="str">
        <f t="shared" si="20"/>
        <v/>
      </c>
      <c r="AP57" s="58" t="str">
        <f t="shared" si="21"/>
        <v/>
      </c>
      <c r="AQ57" s="58" t="str">
        <f t="shared" si="22"/>
        <v>Paul Withyman</v>
      </c>
    </row>
    <row r="58" spans="1:43" x14ac:dyDescent="0.25">
      <c r="A58" s="12" t="str">
        <f t="shared" si="8"/>
        <v>VM40,16</v>
      </c>
      <c r="B58" s="12" t="str">
        <f t="shared" si="9"/>
        <v>M,55</v>
      </c>
      <c r="C58" s="11">
        <f t="shared" si="23"/>
        <v>57</v>
      </c>
      <c r="D58" s="171">
        <v>497</v>
      </c>
      <c r="E58" s="12">
        <f t="shared" si="0"/>
        <v>1</v>
      </c>
      <c r="F58" s="12">
        <f>COUNTIF(H$2:H58,H58)</f>
        <v>16</v>
      </c>
      <c r="G58" s="12">
        <f>COUNTIF(J$2:J58,J58)</f>
        <v>55</v>
      </c>
      <c r="H58" s="12" t="str">
        <f t="shared" si="1"/>
        <v>VM40</v>
      </c>
      <c r="I58" s="50" t="str">
        <f t="shared" si="2"/>
        <v>VM40</v>
      </c>
      <c r="J58" s="50" t="str">
        <f t="shared" si="3"/>
        <v>M</v>
      </c>
      <c r="K58" s="64" t="str">
        <f t="shared" si="4"/>
        <v>Ashley Faria</v>
      </c>
      <c r="L58" s="64" t="str">
        <f t="shared" si="5"/>
        <v>East London Runners</v>
      </c>
      <c r="M58" s="171">
        <v>0</v>
      </c>
      <c r="N58" s="178">
        <v>20</v>
      </c>
      <c r="O58" s="178">
        <v>0</v>
      </c>
      <c r="P58" s="138">
        <f t="shared" si="10"/>
        <v>0</v>
      </c>
      <c r="Q58" s="137">
        <f t="shared" si="11"/>
        <v>20</v>
      </c>
      <c r="R58" s="143"/>
      <c r="S58" s="143"/>
      <c r="T58" s="143"/>
      <c r="U58" s="144"/>
      <c r="V58" s="144"/>
      <c r="W58" s="144"/>
      <c r="X58" s="145"/>
      <c r="Y58" s="152" t="str">
        <f t="shared" si="12"/>
        <v xml:space="preserve">   20.00 </v>
      </c>
      <c r="Z58" s="136"/>
      <c r="AA58" s="50">
        <f t="shared" si="6"/>
        <v>48</v>
      </c>
      <c r="AB58" s="129">
        <f t="shared" si="7"/>
        <v>25623</v>
      </c>
      <c r="AC58" s="58" t="str">
        <f t="shared" si="13"/>
        <v/>
      </c>
      <c r="AD58" s="58" t="str">
        <f t="shared" si="14"/>
        <v>MEast London Runners</v>
      </c>
      <c r="AE58" s="60">
        <f>IF(AD58="","",COUNTIF($AD$2:AD58,AD58))</f>
        <v>18</v>
      </c>
      <c r="AF58" s="62">
        <f>IF(AD58="","",SUMIF(AD$2:AD58,AD58,G$2:G58))</f>
        <v>469</v>
      </c>
      <c r="AG58" s="62" t="str">
        <f>IF(AK58&lt;&gt;"",COUNTIF($AK$1:AK57,AK58)+AK58,IF(AL58&lt;&gt;"",COUNTIF($AL$1:AL57,AL58)+AL58,""))</f>
        <v/>
      </c>
      <c r="AH58" s="62" t="str">
        <f t="shared" si="15"/>
        <v>East London Runners</v>
      </c>
      <c r="AI58" s="62" t="str">
        <f>IF(AND(J58="M", AH58&lt;&gt;"U/A",AE58=Prizewinners!$J$1),AF58,"")</f>
        <v/>
      </c>
      <c r="AJ58" s="58" t="str">
        <f>IF(AND(J58="F",  AH58&lt;&gt;"U/A",AE58=Prizewinners!$J$16),AF58,"")</f>
        <v/>
      </c>
      <c r="AK58" s="58" t="str">
        <f t="shared" si="16"/>
        <v/>
      </c>
      <c r="AL58" s="58" t="str">
        <f t="shared" si="17"/>
        <v/>
      </c>
      <c r="AM58" s="58" t="str">
        <f t="shared" si="18"/>
        <v>MEast London Runners18</v>
      </c>
      <c r="AN58" s="58" t="str">
        <f t="shared" si="19"/>
        <v/>
      </c>
      <c r="AO58" s="58" t="str">
        <f t="shared" si="20"/>
        <v/>
      </c>
      <c r="AP58" s="58" t="str">
        <f t="shared" si="21"/>
        <v/>
      </c>
      <c r="AQ58" s="58" t="str">
        <f t="shared" si="22"/>
        <v>Ashley Faria</v>
      </c>
    </row>
    <row r="59" spans="1:43" x14ac:dyDescent="0.25">
      <c r="A59" s="12" t="str">
        <f t="shared" si="8"/>
        <v>,6</v>
      </c>
      <c r="B59" s="12" t="str">
        <f t="shared" si="9"/>
        <v>F,3</v>
      </c>
      <c r="C59" s="11">
        <f t="shared" si="23"/>
        <v>58</v>
      </c>
      <c r="D59" s="171">
        <v>451</v>
      </c>
      <c r="E59" s="12">
        <f t="shared" si="0"/>
        <v>1</v>
      </c>
      <c r="F59" s="12">
        <f>COUNTIF(H$2:H59,H59)</f>
        <v>6</v>
      </c>
      <c r="G59" s="12">
        <f>COUNTIF(J$2:J59,J59)</f>
        <v>3</v>
      </c>
      <c r="H59" s="12" t="str">
        <f t="shared" si="1"/>
        <v/>
      </c>
      <c r="I59" s="50" t="str">
        <f t="shared" si="2"/>
        <v>SF</v>
      </c>
      <c r="J59" s="50" t="str">
        <f t="shared" si="3"/>
        <v>F</v>
      </c>
      <c r="K59" s="64" t="str">
        <f t="shared" si="4"/>
        <v>Zoila Gilham-Fernandez</v>
      </c>
      <c r="L59" s="64" t="str">
        <f t="shared" si="5"/>
        <v>East London Runners</v>
      </c>
      <c r="M59" s="171">
        <v>0</v>
      </c>
      <c r="N59" s="178">
        <v>20</v>
      </c>
      <c r="O59" s="178">
        <v>3</v>
      </c>
      <c r="P59" s="138">
        <f t="shared" si="10"/>
        <v>0</v>
      </c>
      <c r="Q59" s="137">
        <f t="shared" si="11"/>
        <v>20</v>
      </c>
      <c r="R59" s="143"/>
      <c r="S59" s="143"/>
      <c r="T59" s="143"/>
      <c r="U59" s="144"/>
      <c r="V59" s="144"/>
      <c r="W59" s="144"/>
      <c r="X59" s="145"/>
      <c r="Y59" s="152" t="str">
        <f t="shared" si="12"/>
        <v xml:space="preserve">   20.03 </v>
      </c>
      <c r="Z59" s="136"/>
      <c r="AA59" s="50">
        <f t="shared" si="6"/>
        <v>24</v>
      </c>
      <c r="AB59" s="129">
        <f t="shared" si="7"/>
        <v>34348</v>
      </c>
      <c r="AC59" s="58" t="str">
        <f t="shared" si="13"/>
        <v/>
      </c>
      <c r="AD59" s="58" t="str">
        <f t="shared" si="14"/>
        <v>FEast London Runners</v>
      </c>
      <c r="AE59" s="60">
        <f>IF(AD59="","",COUNTIF($AD$2:AD59,AD59))</f>
        <v>1</v>
      </c>
      <c r="AF59" s="62">
        <f>IF(AD59="","",SUMIF(AD$2:AD59,AD59,G$2:G59))</f>
        <v>3</v>
      </c>
      <c r="AG59" s="62" t="str">
        <f>IF(AK59&lt;&gt;"",COUNTIF($AK$1:AK58,AK59)+AK59,IF(AL59&lt;&gt;"",COUNTIF($AL$1:AL58,AL59)+AL59,""))</f>
        <v/>
      </c>
      <c r="AH59" s="62" t="str">
        <f t="shared" si="15"/>
        <v>East London Runners</v>
      </c>
      <c r="AI59" s="62" t="str">
        <f>IF(AND(J59="M", AH59&lt;&gt;"U/A",AE59=Prizewinners!$J$1),AF59,"")</f>
        <v/>
      </c>
      <c r="AJ59" s="58" t="str">
        <f>IF(AND(J59="F",  AH59&lt;&gt;"U/A",AE59=Prizewinners!$J$16),AF59,"")</f>
        <v/>
      </c>
      <c r="AK59" s="58" t="str">
        <f t="shared" si="16"/>
        <v/>
      </c>
      <c r="AL59" s="58" t="str">
        <f t="shared" si="17"/>
        <v/>
      </c>
      <c r="AM59" s="58" t="str">
        <f t="shared" si="18"/>
        <v>FEast London Runners1</v>
      </c>
      <c r="AN59" s="58" t="str">
        <f t="shared" si="19"/>
        <v/>
      </c>
      <c r="AO59" s="58" t="str">
        <f t="shared" si="20"/>
        <v/>
      </c>
      <c r="AP59" s="58" t="str">
        <f t="shared" si="21"/>
        <v/>
      </c>
      <c r="AQ59" s="58" t="str">
        <f t="shared" si="22"/>
        <v>Zoila Gilham-Fernandez</v>
      </c>
    </row>
    <row r="60" spans="1:43" x14ac:dyDescent="0.25">
      <c r="A60" s="12" t="str">
        <f t="shared" si="8"/>
        <v>VM50,4</v>
      </c>
      <c r="B60" s="12" t="str">
        <f t="shared" si="9"/>
        <v>M,56</v>
      </c>
      <c r="C60" s="11">
        <f t="shared" si="23"/>
        <v>59</v>
      </c>
      <c r="D60" s="171">
        <v>472</v>
      </c>
      <c r="E60" s="12">
        <f t="shared" si="0"/>
        <v>1</v>
      </c>
      <c r="F60" s="12">
        <f>COUNTIF(H$2:H60,H60)</f>
        <v>4</v>
      </c>
      <c r="G60" s="12">
        <f>COUNTIF(J$2:J60,J60)</f>
        <v>56</v>
      </c>
      <c r="H60" s="12" t="str">
        <f t="shared" si="1"/>
        <v>VM50</v>
      </c>
      <c r="I60" s="50" t="str">
        <f t="shared" si="2"/>
        <v>VM50</v>
      </c>
      <c r="J60" s="50" t="str">
        <f t="shared" si="3"/>
        <v>M</v>
      </c>
      <c r="K60" s="64" t="str">
        <f t="shared" si="4"/>
        <v>Gary Flint</v>
      </c>
      <c r="L60" s="64" t="str">
        <f t="shared" si="5"/>
        <v>Havering 90 Joggers</v>
      </c>
      <c r="M60" s="171">
        <v>0</v>
      </c>
      <c r="N60" s="178">
        <v>20</v>
      </c>
      <c r="O60" s="178">
        <v>6</v>
      </c>
      <c r="P60" s="138">
        <f t="shared" si="10"/>
        <v>0</v>
      </c>
      <c r="Q60" s="137">
        <f t="shared" si="11"/>
        <v>20</v>
      </c>
      <c r="R60" s="143"/>
      <c r="S60" s="143"/>
      <c r="T60" s="143"/>
      <c r="U60" s="144"/>
      <c r="V60" s="144"/>
      <c r="W60" s="144"/>
      <c r="X60" s="145"/>
      <c r="Y60" s="152" t="str">
        <f t="shared" si="12"/>
        <v xml:space="preserve">   20.06 </v>
      </c>
      <c r="Z60" s="136"/>
      <c r="AA60" s="50">
        <f t="shared" si="6"/>
        <v>54</v>
      </c>
      <c r="AB60" s="129">
        <f t="shared" si="7"/>
        <v>23321</v>
      </c>
      <c r="AC60" s="58" t="str">
        <f t="shared" si="13"/>
        <v/>
      </c>
      <c r="AD60" s="58" t="str">
        <f t="shared" si="14"/>
        <v>MHavering 90 Joggers</v>
      </c>
      <c r="AE60" s="60">
        <f>IF(AD60="","",COUNTIF($AD$2:AD60,AD60))</f>
        <v>1</v>
      </c>
      <c r="AF60" s="62">
        <f>IF(AD60="","",SUMIF(AD$2:AD60,AD60,G$2:G60))</f>
        <v>56</v>
      </c>
      <c r="AG60" s="62" t="str">
        <f>IF(AK60&lt;&gt;"",COUNTIF($AK$1:AK59,AK60)+AK60,IF(AL60&lt;&gt;"",COUNTIF($AL$1:AL59,AL60)+AL60,""))</f>
        <v/>
      </c>
      <c r="AH60" s="62" t="str">
        <f t="shared" si="15"/>
        <v>Havering 90 Joggers</v>
      </c>
      <c r="AI60" s="62" t="str">
        <f>IF(AND(J60="M", AH60&lt;&gt;"U/A",AE60=Prizewinners!$J$1),AF60,"")</f>
        <v/>
      </c>
      <c r="AJ60" s="58" t="str">
        <f>IF(AND(J60="F",  AH60&lt;&gt;"U/A",AE60=Prizewinners!$J$16),AF60,"")</f>
        <v/>
      </c>
      <c r="AK60" s="58" t="str">
        <f t="shared" si="16"/>
        <v/>
      </c>
      <c r="AL60" s="58" t="str">
        <f t="shared" si="17"/>
        <v/>
      </c>
      <c r="AM60" s="58" t="str">
        <f t="shared" si="18"/>
        <v>MHavering 90 Joggers1</v>
      </c>
      <c r="AN60" s="58" t="str">
        <f t="shared" si="19"/>
        <v/>
      </c>
      <c r="AO60" s="58" t="str">
        <f t="shared" si="20"/>
        <v/>
      </c>
      <c r="AP60" s="58" t="str">
        <f t="shared" si="21"/>
        <v/>
      </c>
      <c r="AQ60" s="58" t="str">
        <f t="shared" si="22"/>
        <v>Gary Flint</v>
      </c>
    </row>
    <row r="61" spans="1:43" x14ac:dyDescent="0.25">
      <c r="A61" s="12" t="str">
        <f t="shared" si="8"/>
        <v>SM,33</v>
      </c>
      <c r="B61" s="12" t="str">
        <f t="shared" si="9"/>
        <v>M,57</v>
      </c>
      <c r="C61" s="11">
        <f t="shared" si="23"/>
        <v>60</v>
      </c>
      <c r="D61" s="171">
        <v>39</v>
      </c>
      <c r="E61" s="12">
        <f t="shared" si="0"/>
        <v>1</v>
      </c>
      <c r="F61" s="12">
        <f>COUNTIF(H$2:H61,H61)</f>
        <v>33</v>
      </c>
      <c r="G61" s="12">
        <f>COUNTIF(J$2:J61,J61)</f>
        <v>57</v>
      </c>
      <c r="H61" s="12" t="str">
        <f t="shared" si="1"/>
        <v>SM</v>
      </c>
      <c r="I61" s="50" t="str">
        <f t="shared" si="2"/>
        <v>SM</v>
      </c>
      <c r="J61" s="50" t="str">
        <f t="shared" si="3"/>
        <v>M</v>
      </c>
      <c r="K61" s="64" t="str">
        <f t="shared" si="4"/>
        <v>Tom Howourth</v>
      </c>
      <c r="L61" s="64" t="str">
        <f t="shared" si="5"/>
        <v>East London Runners</v>
      </c>
      <c r="M61" s="171">
        <v>0</v>
      </c>
      <c r="N61" s="178">
        <v>20</v>
      </c>
      <c r="O61" s="178">
        <v>10</v>
      </c>
      <c r="P61" s="138">
        <f t="shared" si="10"/>
        <v>0</v>
      </c>
      <c r="Q61" s="137">
        <f t="shared" si="11"/>
        <v>20</v>
      </c>
      <c r="R61" s="143"/>
      <c r="S61" s="143"/>
      <c r="T61" s="143"/>
      <c r="U61" s="144"/>
      <c r="V61" s="144"/>
      <c r="W61" s="144"/>
      <c r="X61" s="145"/>
      <c r="Y61" s="152" t="str">
        <f t="shared" si="12"/>
        <v xml:space="preserve">   20.10 </v>
      </c>
      <c r="Z61" s="136"/>
      <c r="AA61" s="50">
        <f t="shared" si="6"/>
        <v>28</v>
      </c>
      <c r="AB61" s="129">
        <f t="shared" si="7"/>
        <v>32870</v>
      </c>
      <c r="AC61" s="58" t="str">
        <f t="shared" si="13"/>
        <v/>
      </c>
      <c r="AD61" s="58" t="str">
        <f t="shared" si="14"/>
        <v>MEast London Runners</v>
      </c>
      <c r="AE61" s="60">
        <f>IF(AD61="","",COUNTIF($AD$2:AD61,AD61))</f>
        <v>19</v>
      </c>
      <c r="AF61" s="62">
        <f>IF(AD61="","",SUMIF(AD$2:AD61,AD61,G$2:G61))</f>
        <v>526</v>
      </c>
      <c r="AG61" s="62" t="str">
        <f>IF(AK61&lt;&gt;"",COUNTIF($AK$1:AK60,AK61)+AK61,IF(AL61&lt;&gt;"",COUNTIF($AL$1:AL60,AL61)+AL61,""))</f>
        <v/>
      </c>
      <c r="AH61" s="62" t="str">
        <f t="shared" si="15"/>
        <v>East London Runners</v>
      </c>
      <c r="AI61" s="62" t="str">
        <f>IF(AND(J61="M", AH61&lt;&gt;"U/A",AE61=Prizewinners!$J$1),AF61,"")</f>
        <v/>
      </c>
      <c r="AJ61" s="58" t="str">
        <f>IF(AND(J61="F",  AH61&lt;&gt;"U/A",AE61=Prizewinners!$J$16),AF61,"")</f>
        <v/>
      </c>
      <c r="AK61" s="58" t="str">
        <f t="shared" si="16"/>
        <v/>
      </c>
      <c r="AL61" s="58" t="str">
        <f t="shared" si="17"/>
        <v/>
      </c>
      <c r="AM61" s="58" t="str">
        <f t="shared" si="18"/>
        <v>MEast London Runners19</v>
      </c>
      <c r="AN61" s="58" t="str">
        <f t="shared" si="19"/>
        <v/>
      </c>
      <c r="AO61" s="58" t="str">
        <f t="shared" si="20"/>
        <v/>
      </c>
      <c r="AP61" s="58" t="str">
        <f t="shared" si="21"/>
        <v/>
      </c>
      <c r="AQ61" s="58" t="str">
        <f t="shared" si="22"/>
        <v>Tom Howourth</v>
      </c>
    </row>
    <row r="62" spans="1:43" x14ac:dyDescent="0.25">
      <c r="A62" s="12" t="str">
        <f t="shared" si="8"/>
        <v>VM40,17</v>
      </c>
      <c r="B62" s="12" t="str">
        <f t="shared" si="9"/>
        <v>M,58</v>
      </c>
      <c r="C62" s="11">
        <f t="shared" si="23"/>
        <v>61</v>
      </c>
      <c r="D62" s="171">
        <v>484</v>
      </c>
      <c r="E62" s="12">
        <f t="shared" si="0"/>
        <v>1</v>
      </c>
      <c r="F62" s="12">
        <f>COUNTIF(H$2:H62,H62)</f>
        <v>17</v>
      </c>
      <c r="G62" s="12">
        <f>COUNTIF(J$2:J62,J62)</f>
        <v>58</v>
      </c>
      <c r="H62" s="12" t="str">
        <f t="shared" si="1"/>
        <v>VM40</v>
      </c>
      <c r="I62" s="50" t="str">
        <f t="shared" si="2"/>
        <v>VM40</v>
      </c>
      <c r="J62" s="50" t="str">
        <f t="shared" si="3"/>
        <v>M</v>
      </c>
      <c r="K62" s="64" t="str">
        <f t="shared" si="4"/>
        <v>Neil Gage</v>
      </c>
      <c r="L62" s="64" t="str">
        <f t="shared" si="5"/>
        <v>East London Runners</v>
      </c>
      <c r="M62" s="171">
        <v>0</v>
      </c>
      <c r="N62" s="178">
        <v>20</v>
      </c>
      <c r="O62" s="178">
        <v>15</v>
      </c>
      <c r="P62" s="138">
        <f t="shared" si="10"/>
        <v>0</v>
      </c>
      <c r="Q62" s="137">
        <f t="shared" si="11"/>
        <v>20</v>
      </c>
      <c r="R62" s="143"/>
      <c r="S62" s="143"/>
      <c r="T62" s="143"/>
      <c r="U62" s="144"/>
      <c r="V62" s="144"/>
      <c r="W62" s="144"/>
      <c r="X62" s="145"/>
      <c r="Y62" s="152" t="str">
        <f t="shared" si="12"/>
        <v xml:space="preserve">   20.15 </v>
      </c>
      <c r="Z62" s="136"/>
      <c r="AA62" s="50">
        <f t="shared" si="6"/>
        <v>41</v>
      </c>
      <c r="AB62" s="129">
        <f t="shared" si="7"/>
        <v>28000</v>
      </c>
      <c r="AC62" s="58" t="str">
        <f t="shared" si="13"/>
        <v/>
      </c>
      <c r="AD62" s="58" t="str">
        <f t="shared" si="14"/>
        <v>MEast London Runners</v>
      </c>
      <c r="AE62" s="60">
        <f>IF(AD62="","",COUNTIF($AD$2:AD62,AD62))</f>
        <v>20</v>
      </c>
      <c r="AF62" s="62">
        <f>IF(AD62="","",SUMIF(AD$2:AD62,AD62,G$2:G62))</f>
        <v>584</v>
      </c>
      <c r="AG62" s="62" t="str">
        <f>IF(AK62&lt;&gt;"",COUNTIF($AK$1:AK61,AK62)+AK62,IF(AL62&lt;&gt;"",COUNTIF($AL$1:AL61,AL62)+AL62,""))</f>
        <v/>
      </c>
      <c r="AH62" s="62" t="str">
        <f t="shared" si="15"/>
        <v>East London Runners</v>
      </c>
      <c r="AI62" s="62" t="str">
        <f>IF(AND(J62="M", AH62&lt;&gt;"U/A",AE62=Prizewinners!$J$1),AF62,"")</f>
        <v/>
      </c>
      <c r="AJ62" s="58" t="str">
        <f>IF(AND(J62="F",  AH62&lt;&gt;"U/A",AE62=Prizewinners!$J$16),AF62,"")</f>
        <v/>
      </c>
      <c r="AK62" s="58" t="str">
        <f t="shared" si="16"/>
        <v/>
      </c>
      <c r="AL62" s="58" t="str">
        <f t="shared" si="17"/>
        <v/>
      </c>
      <c r="AM62" s="58" t="str">
        <f t="shared" si="18"/>
        <v>MEast London Runners20</v>
      </c>
      <c r="AN62" s="58" t="str">
        <f t="shared" si="19"/>
        <v/>
      </c>
      <c r="AO62" s="58" t="str">
        <f t="shared" si="20"/>
        <v/>
      </c>
      <c r="AP62" s="58" t="str">
        <f t="shared" si="21"/>
        <v/>
      </c>
      <c r="AQ62" s="58" t="str">
        <f t="shared" si="22"/>
        <v>Neil Gage</v>
      </c>
    </row>
    <row r="63" spans="1:43" x14ac:dyDescent="0.25">
      <c r="A63" s="12" t="str">
        <f t="shared" si="8"/>
        <v>VM40,18</v>
      </c>
      <c r="B63" s="12" t="str">
        <f t="shared" si="9"/>
        <v>M,59</v>
      </c>
      <c r="C63" s="11">
        <f t="shared" si="23"/>
        <v>62</v>
      </c>
      <c r="D63" s="171">
        <v>401</v>
      </c>
      <c r="E63" s="12">
        <f t="shared" si="0"/>
        <v>1</v>
      </c>
      <c r="F63" s="12">
        <f>COUNTIF(H$2:H63,H63)</f>
        <v>18</v>
      </c>
      <c r="G63" s="12">
        <f>COUNTIF(J$2:J63,J63)</f>
        <v>59</v>
      </c>
      <c r="H63" s="12" t="str">
        <f t="shared" si="1"/>
        <v>VM40</v>
      </c>
      <c r="I63" s="50" t="str">
        <f t="shared" si="2"/>
        <v>VM40</v>
      </c>
      <c r="J63" s="50" t="str">
        <f t="shared" si="3"/>
        <v>M</v>
      </c>
      <c r="K63" s="64" t="str">
        <f t="shared" si="4"/>
        <v>Jacob Stevens</v>
      </c>
      <c r="L63" s="64" t="str">
        <f t="shared" si="5"/>
        <v>East London Runners</v>
      </c>
      <c r="M63" s="171">
        <v>0</v>
      </c>
      <c r="N63" s="178">
        <v>20</v>
      </c>
      <c r="O63" s="178">
        <v>17</v>
      </c>
      <c r="P63" s="138">
        <f t="shared" si="10"/>
        <v>0</v>
      </c>
      <c r="Q63" s="137">
        <f t="shared" si="11"/>
        <v>20</v>
      </c>
      <c r="R63" s="143"/>
      <c r="S63" s="143"/>
      <c r="T63" s="143"/>
      <c r="U63" s="144"/>
      <c r="V63" s="144"/>
      <c r="W63" s="144"/>
      <c r="X63" s="145"/>
      <c r="Y63" s="152" t="str">
        <f t="shared" si="12"/>
        <v xml:space="preserve">   20.17 </v>
      </c>
      <c r="Z63" s="136"/>
      <c r="AA63" s="50">
        <f t="shared" si="6"/>
        <v>42</v>
      </c>
      <c r="AB63" s="129">
        <f t="shared" si="7"/>
        <v>27744</v>
      </c>
      <c r="AC63" s="58" t="str">
        <f t="shared" si="13"/>
        <v/>
      </c>
      <c r="AD63" s="58" t="str">
        <f t="shared" si="14"/>
        <v>MEast London Runners</v>
      </c>
      <c r="AE63" s="60">
        <f>IF(AD63="","",COUNTIF($AD$2:AD63,AD63))</f>
        <v>21</v>
      </c>
      <c r="AF63" s="62">
        <f>IF(AD63="","",SUMIF(AD$2:AD63,AD63,G$2:G63))</f>
        <v>643</v>
      </c>
      <c r="AG63" s="62" t="str">
        <f>IF(AK63&lt;&gt;"",COUNTIF($AK$1:AK62,AK63)+AK63,IF(AL63&lt;&gt;"",COUNTIF($AL$1:AL62,AL63)+AL63,""))</f>
        <v/>
      </c>
      <c r="AH63" s="62" t="str">
        <f t="shared" si="15"/>
        <v>East London Runners</v>
      </c>
      <c r="AI63" s="62" t="str">
        <f>IF(AND(J63="M", AH63&lt;&gt;"U/A",AE63=Prizewinners!$J$1),AF63,"")</f>
        <v/>
      </c>
      <c r="AJ63" s="58" t="str">
        <f>IF(AND(J63="F",  AH63&lt;&gt;"U/A",AE63=Prizewinners!$J$16),AF63,"")</f>
        <v/>
      </c>
      <c r="AK63" s="58" t="str">
        <f t="shared" si="16"/>
        <v/>
      </c>
      <c r="AL63" s="58" t="str">
        <f t="shared" si="17"/>
        <v/>
      </c>
      <c r="AM63" s="58" t="str">
        <f t="shared" si="18"/>
        <v>MEast London Runners21</v>
      </c>
      <c r="AN63" s="58" t="str">
        <f t="shared" si="19"/>
        <v/>
      </c>
      <c r="AO63" s="58" t="str">
        <f t="shared" si="20"/>
        <v/>
      </c>
      <c r="AP63" s="58" t="str">
        <f t="shared" si="21"/>
        <v/>
      </c>
      <c r="AQ63" s="58" t="str">
        <f t="shared" si="22"/>
        <v>Jacob Stevens</v>
      </c>
    </row>
    <row r="64" spans="1:43" x14ac:dyDescent="0.25">
      <c r="A64" s="12" t="str">
        <f t="shared" si="8"/>
        <v>SM,34</v>
      </c>
      <c r="B64" s="12" t="str">
        <f t="shared" si="9"/>
        <v>M,60</v>
      </c>
      <c r="C64" s="11">
        <f t="shared" si="23"/>
        <v>63</v>
      </c>
      <c r="D64" s="171">
        <v>47</v>
      </c>
      <c r="E64" s="12">
        <f t="shared" si="0"/>
        <v>1</v>
      </c>
      <c r="F64" s="12">
        <f>COUNTIF(H$2:H64,H64)</f>
        <v>34</v>
      </c>
      <c r="G64" s="12">
        <f>COUNTIF(J$2:J64,J64)</f>
        <v>60</v>
      </c>
      <c r="H64" s="12" t="str">
        <f t="shared" si="1"/>
        <v>SM</v>
      </c>
      <c r="I64" s="50" t="str">
        <f t="shared" si="2"/>
        <v>SM</v>
      </c>
      <c r="J64" s="50" t="str">
        <f t="shared" si="3"/>
        <v>M</v>
      </c>
      <c r="K64" s="64" t="str">
        <f t="shared" si="4"/>
        <v>Ian Pithouse</v>
      </c>
      <c r="L64" s="64" t="str">
        <f t="shared" si="5"/>
        <v>East End Road Runners</v>
      </c>
      <c r="M64" s="171">
        <v>0</v>
      </c>
      <c r="N64" s="178">
        <v>20</v>
      </c>
      <c r="O64" s="178">
        <v>18</v>
      </c>
      <c r="P64" s="138">
        <f t="shared" si="10"/>
        <v>0</v>
      </c>
      <c r="Q64" s="137">
        <f t="shared" si="11"/>
        <v>20</v>
      </c>
      <c r="R64" s="143"/>
      <c r="S64" s="143"/>
      <c r="T64" s="143"/>
      <c r="U64" s="144"/>
      <c r="V64" s="144"/>
      <c r="W64" s="144"/>
      <c r="X64" s="145"/>
      <c r="Y64" s="152" t="str">
        <f t="shared" si="12"/>
        <v xml:space="preserve">   20.18 </v>
      </c>
      <c r="Z64" s="136"/>
      <c r="AA64" s="50">
        <f t="shared" si="6"/>
        <v>34</v>
      </c>
      <c r="AB64" s="129">
        <f t="shared" si="7"/>
        <v>30760</v>
      </c>
      <c r="AC64" s="58" t="str">
        <f t="shared" si="13"/>
        <v/>
      </c>
      <c r="AD64" s="58" t="str">
        <f t="shared" si="14"/>
        <v>MEast End Road Runners</v>
      </c>
      <c r="AE64" s="60">
        <f>IF(AD64="","",COUNTIF($AD$2:AD64,AD64))</f>
        <v>5</v>
      </c>
      <c r="AF64" s="62">
        <f>IF(AD64="","",SUMIF(AD$2:AD64,AD64,G$2:G64))</f>
        <v>185</v>
      </c>
      <c r="AG64" s="62" t="str">
        <f>IF(AK64&lt;&gt;"",COUNTIF($AK$1:AK63,AK64)+AK64,IF(AL64&lt;&gt;"",COUNTIF($AL$1:AL63,AL64)+AL64,""))</f>
        <v/>
      </c>
      <c r="AH64" s="62" t="str">
        <f t="shared" si="15"/>
        <v>East End Road Runners</v>
      </c>
      <c r="AI64" s="62" t="str">
        <f>IF(AND(J64="M", AH64&lt;&gt;"U/A",AE64=Prizewinners!$J$1),AF64,"")</f>
        <v/>
      </c>
      <c r="AJ64" s="58" t="str">
        <f>IF(AND(J64="F",  AH64&lt;&gt;"U/A",AE64=Prizewinners!$J$16),AF64,"")</f>
        <v/>
      </c>
      <c r="AK64" s="58" t="str">
        <f t="shared" si="16"/>
        <v/>
      </c>
      <c r="AL64" s="58" t="str">
        <f t="shared" si="17"/>
        <v/>
      </c>
      <c r="AM64" s="58" t="str">
        <f t="shared" si="18"/>
        <v>MEast End Road Runners5</v>
      </c>
      <c r="AN64" s="58" t="str">
        <f t="shared" si="19"/>
        <v/>
      </c>
      <c r="AO64" s="58" t="str">
        <f t="shared" si="20"/>
        <v/>
      </c>
      <c r="AP64" s="58" t="str">
        <f t="shared" si="21"/>
        <v/>
      </c>
      <c r="AQ64" s="58" t="str">
        <f t="shared" si="22"/>
        <v>Ian Pithouse</v>
      </c>
    </row>
    <row r="65" spans="1:43" x14ac:dyDescent="0.25">
      <c r="A65" s="12" t="str">
        <f t="shared" si="8"/>
        <v>SM,35</v>
      </c>
      <c r="B65" s="12" t="str">
        <f t="shared" si="9"/>
        <v>M,61</v>
      </c>
      <c r="C65" s="11">
        <f t="shared" si="23"/>
        <v>64</v>
      </c>
      <c r="D65" s="171">
        <v>427</v>
      </c>
      <c r="E65" s="12">
        <f t="shared" si="0"/>
        <v>1</v>
      </c>
      <c r="F65" s="12">
        <f>COUNTIF(H$2:H65,H65)</f>
        <v>35</v>
      </c>
      <c r="G65" s="12">
        <f>COUNTIF(J$2:J65,J65)</f>
        <v>61</v>
      </c>
      <c r="H65" s="12" t="str">
        <f t="shared" si="1"/>
        <v>SM</v>
      </c>
      <c r="I65" s="50" t="str">
        <f t="shared" si="2"/>
        <v>SM</v>
      </c>
      <c r="J65" s="50" t="str">
        <f t="shared" si="3"/>
        <v>M</v>
      </c>
      <c r="K65" s="64" t="str">
        <f t="shared" si="4"/>
        <v>Dylan Williams</v>
      </c>
      <c r="L65" s="64" t="str">
        <f t="shared" si="5"/>
        <v>Eton Manor AC</v>
      </c>
      <c r="M65" s="171">
        <v>0</v>
      </c>
      <c r="N65" s="178">
        <v>20</v>
      </c>
      <c r="O65" s="178">
        <v>19</v>
      </c>
      <c r="P65" s="138">
        <f t="shared" si="10"/>
        <v>0</v>
      </c>
      <c r="Q65" s="137">
        <f t="shared" si="11"/>
        <v>20</v>
      </c>
      <c r="R65" s="143"/>
      <c r="S65" s="143"/>
      <c r="T65" s="143"/>
      <c r="U65" s="144"/>
      <c r="V65" s="144"/>
      <c r="W65" s="144"/>
      <c r="X65" s="145"/>
      <c r="Y65" s="152" t="str">
        <f t="shared" si="12"/>
        <v xml:space="preserve">   20.19 </v>
      </c>
      <c r="Z65" s="136"/>
      <c r="AA65" s="50">
        <f t="shared" si="6"/>
        <v>19</v>
      </c>
      <c r="AB65" s="129">
        <f t="shared" si="7"/>
        <v>36358</v>
      </c>
      <c r="AC65" s="58" t="str">
        <f t="shared" si="13"/>
        <v/>
      </c>
      <c r="AD65" s="58" t="str">
        <f t="shared" si="14"/>
        <v>MEton Manor AC</v>
      </c>
      <c r="AE65" s="60">
        <f>IF(AD65="","",COUNTIF($AD$2:AD65,AD65))</f>
        <v>4</v>
      </c>
      <c r="AF65" s="62">
        <f>IF(AD65="","",SUMIF(AD$2:AD65,AD65,G$2:G65))</f>
        <v>163</v>
      </c>
      <c r="AG65" s="62" t="str">
        <f>IF(AK65&lt;&gt;"",COUNTIF($AK$1:AK64,AK65)+AK65,IF(AL65&lt;&gt;"",COUNTIF($AL$1:AL64,AL65)+AL65,""))</f>
        <v/>
      </c>
      <c r="AH65" s="62" t="str">
        <f t="shared" si="15"/>
        <v>Eton Manor AC</v>
      </c>
      <c r="AI65" s="62" t="str">
        <f>IF(AND(J65="M", AH65&lt;&gt;"U/A",AE65=Prizewinners!$J$1),AF65,"")</f>
        <v/>
      </c>
      <c r="AJ65" s="58" t="str">
        <f>IF(AND(J65="F",  AH65&lt;&gt;"U/A",AE65=Prizewinners!$J$16),AF65,"")</f>
        <v/>
      </c>
      <c r="AK65" s="58" t="str">
        <f t="shared" si="16"/>
        <v/>
      </c>
      <c r="AL65" s="58" t="str">
        <f t="shared" si="17"/>
        <v/>
      </c>
      <c r="AM65" s="58" t="str">
        <f t="shared" si="18"/>
        <v>MEton Manor AC4</v>
      </c>
      <c r="AN65" s="58" t="str">
        <f t="shared" si="19"/>
        <v/>
      </c>
      <c r="AO65" s="58" t="str">
        <f t="shared" si="20"/>
        <v/>
      </c>
      <c r="AP65" s="58" t="str">
        <f t="shared" si="21"/>
        <v/>
      </c>
      <c r="AQ65" s="58" t="str">
        <f t="shared" si="22"/>
        <v>Dylan Williams</v>
      </c>
    </row>
    <row r="66" spans="1:43" x14ac:dyDescent="0.25">
      <c r="A66" s="12" t="str">
        <f t="shared" si="8"/>
        <v>SM,36</v>
      </c>
      <c r="B66" s="12" t="str">
        <f t="shared" si="9"/>
        <v>M,62</v>
      </c>
      <c r="C66" s="11">
        <f t="shared" si="23"/>
        <v>65</v>
      </c>
      <c r="D66" s="171">
        <v>402</v>
      </c>
      <c r="E66" s="12">
        <f t="shared" ref="E66:E129" si="24">IF(D66="",0,COUNTIF(K:K,K66))</f>
        <v>1</v>
      </c>
      <c r="F66" s="12">
        <f>COUNTIF(H$2:H66,H66)</f>
        <v>36</v>
      </c>
      <c r="G66" s="12">
        <f>COUNTIF(J$2:J66,J66)</f>
        <v>62</v>
      </c>
      <c r="H66" s="12" t="str">
        <f t="shared" si="1"/>
        <v>SM</v>
      </c>
      <c r="I66" s="50" t="str">
        <f t="shared" si="2"/>
        <v>SM</v>
      </c>
      <c r="J66" s="50" t="str">
        <f t="shared" si="3"/>
        <v>M</v>
      </c>
      <c r="K66" s="64" t="str">
        <f t="shared" si="4"/>
        <v>TONY COLLINS</v>
      </c>
      <c r="L66" s="64" t="str">
        <f t="shared" si="5"/>
        <v>Havering 90 Joggers</v>
      </c>
      <c r="M66" s="171">
        <v>0</v>
      </c>
      <c r="N66" s="178">
        <v>20</v>
      </c>
      <c r="O66" s="178">
        <v>20</v>
      </c>
      <c r="P66" s="138">
        <f t="shared" si="10"/>
        <v>0</v>
      </c>
      <c r="Q66" s="137">
        <f t="shared" si="11"/>
        <v>20</v>
      </c>
      <c r="R66" s="143"/>
      <c r="S66" s="143"/>
      <c r="T66" s="143"/>
      <c r="U66" s="144"/>
      <c r="V66" s="144"/>
      <c r="W66" s="144"/>
      <c r="X66" s="145"/>
      <c r="Y66" s="152" t="str">
        <f t="shared" si="12"/>
        <v xml:space="preserve">   20.20 </v>
      </c>
      <c r="Z66" s="136"/>
      <c r="AA66" s="50">
        <f t="shared" si="6"/>
        <v>39</v>
      </c>
      <c r="AB66" s="129">
        <f t="shared" si="7"/>
        <v>28731</v>
      </c>
      <c r="AC66" s="58" t="str">
        <f t="shared" si="13"/>
        <v/>
      </c>
      <c r="AD66" s="58" t="str">
        <f t="shared" si="14"/>
        <v>MHavering 90 Joggers</v>
      </c>
      <c r="AE66" s="60">
        <f>IF(AD66="","",COUNTIF($AD$2:AD66,AD66))</f>
        <v>2</v>
      </c>
      <c r="AF66" s="62">
        <f>IF(AD66="","",SUMIF(AD$2:AD66,AD66,G$2:G66))</f>
        <v>118</v>
      </c>
      <c r="AG66" s="62" t="str">
        <f>IF(AK66&lt;&gt;"",COUNTIF($AK$1:AK65,AK66)+AK66,IF(AL66&lt;&gt;"",COUNTIF($AL$1:AL65,AL66)+AL66,""))</f>
        <v/>
      </c>
      <c r="AH66" s="62" t="str">
        <f t="shared" si="15"/>
        <v>Havering 90 Joggers</v>
      </c>
      <c r="AI66" s="62" t="str">
        <f>IF(AND(J66="M", AH66&lt;&gt;"U/A",AE66=Prizewinners!$J$1),AF66,"")</f>
        <v/>
      </c>
      <c r="AJ66" s="58" t="str">
        <f>IF(AND(J66="F",  AH66&lt;&gt;"U/A",AE66=Prizewinners!$J$16),AF66,"")</f>
        <v/>
      </c>
      <c r="AK66" s="58" t="str">
        <f t="shared" si="16"/>
        <v/>
      </c>
      <c r="AL66" s="58" t="str">
        <f t="shared" si="17"/>
        <v/>
      </c>
      <c r="AM66" s="58" t="str">
        <f t="shared" si="18"/>
        <v>MHavering 90 Joggers2</v>
      </c>
      <c r="AN66" s="58" t="str">
        <f t="shared" si="19"/>
        <v/>
      </c>
      <c r="AO66" s="58" t="str">
        <f t="shared" si="20"/>
        <v/>
      </c>
      <c r="AP66" s="58" t="str">
        <f t="shared" si="21"/>
        <v/>
      </c>
      <c r="AQ66" s="58" t="str">
        <f t="shared" si="22"/>
        <v>TONY COLLINS</v>
      </c>
    </row>
    <row r="67" spans="1:43" x14ac:dyDescent="0.25">
      <c r="A67" s="12" t="str">
        <f t="shared" ref="A67:A130" si="25">IF(Z67="RESM",Z67,IF(Z67="RESF",Z67,CONCATENATE(H67,",",F67)))</f>
        <v>VM50,5</v>
      </c>
      <c r="B67" s="12" t="str">
        <f t="shared" ref="B67:B130" si="26">CONCATENATE(J67,",",G67)</f>
        <v>M,63</v>
      </c>
      <c r="C67" s="11">
        <f t="shared" si="23"/>
        <v>66</v>
      </c>
      <c r="D67" s="171">
        <v>486</v>
      </c>
      <c r="E67" s="12">
        <f t="shared" si="24"/>
        <v>1</v>
      </c>
      <c r="F67" s="12">
        <f>COUNTIF(H$2:H67,H67)</f>
        <v>5</v>
      </c>
      <c r="G67" s="12">
        <f>COUNTIF(J$2:J67,J67)</f>
        <v>63</v>
      </c>
      <c r="H67" s="12" t="str">
        <f t="shared" si="1"/>
        <v>VM50</v>
      </c>
      <c r="I67" s="50" t="str">
        <f t="shared" si="2"/>
        <v>VM50</v>
      </c>
      <c r="J67" s="50" t="str">
        <f t="shared" si="3"/>
        <v>M</v>
      </c>
      <c r="K67" s="64" t="str">
        <f t="shared" si="4"/>
        <v>Paul Thompson</v>
      </c>
      <c r="L67" s="64" t="str">
        <f t="shared" si="5"/>
        <v>East London Runners</v>
      </c>
      <c r="M67" s="171">
        <v>0</v>
      </c>
      <c r="N67" s="178">
        <v>20</v>
      </c>
      <c r="O67" s="178">
        <v>21</v>
      </c>
      <c r="P67" s="138">
        <f t="shared" ref="P67:P130" si="27">IF(LEN(TRIM(M67))=0,P66,M67)</f>
        <v>0</v>
      </c>
      <c r="Q67" s="137">
        <f t="shared" ref="Q67:Q130" si="28">IF(N67="",Q66,N67)</f>
        <v>20</v>
      </c>
      <c r="R67" s="143"/>
      <c r="S67" s="143"/>
      <c r="T67" s="143"/>
      <c r="U67" s="144"/>
      <c r="V67" s="144"/>
      <c r="W67" s="144"/>
      <c r="X67" s="145"/>
      <c r="Y67" s="152" t="str">
        <f t="shared" ref="Y67:Y130" si="29">CONCATENATE(IF(P67=0,"  ",TEXT(P67,"#0")),IF(P67=0," ","."),IF(LEN(TRIM(Q67))=0,"  ",TEXT(Q67,"00")),IF(LEN(TRIM(Q67))=0,"","."),TEXT(O67,"00")," ")</f>
        <v xml:space="preserve">   20.21 </v>
      </c>
      <c r="Z67" s="136"/>
      <c r="AA67" s="50">
        <f t="shared" si="6"/>
        <v>50</v>
      </c>
      <c r="AB67" s="129">
        <f t="shared" si="7"/>
        <v>25069</v>
      </c>
      <c r="AC67" s="58" t="str">
        <f t="shared" ref="AC67:AC130" si="30">IF(AG67&lt;&gt;"",CONCATENATE(J67,AG67),"")</f>
        <v/>
      </c>
      <c r="AD67" s="58" t="str">
        <f t="shared" ref="AD67:AD130" si="31">CONCATENATE(J67,L67)</f>
        <v>MEast London Runners</v>
      </c>
      <c r="AE67" s="60">
        <f>IF(AD67="","",COUNTIF($AD$2:AD67,AD67))</f>
        <v>22</v>
      </c>
      <c r="AF67" s="62">
        <f>IF(AD67="","",SUMIF(AD$2:AD67,AD67,G$2:G67))</f>
        <v>706</v>
      </c>
      <c r="AG67" s="62" t="str">
        <f>IF(AK67&lt;&gt;"",COUNTIF($AK$1:AK66,AK67)+AK67,IF(AL67&lt;&gt;"",COUNTIF($AL$1:AL66,AL67)+AL67,""))</f>
        <v/>
      </c>
      <c r="AH67" s="62" t="str">
        <f t="shared" ref="AH67:AH130" si="32">L67</f>
        <v>East London Runners</v>
      </c>
      <c r="AI67" s="62" t="str">
        <f>IF(AND(J67="M", AH67&lt;&gt;"U/A",AE67=Prizewinners!$J$1),AF67,"")</f>
        <v/>
      </c>
      <c r="AJ67" s="58" t="str">
        <f>IF(AND(J67="F",  AH67&lt;&gt;"U/A",AE67=Prizewinners!$J$16),AF67,"")</f>
        <v/>
      </c>
      <c r="AK67" s="58" t="str">
        <f t="shared" ref="AK67:AK130" si="33">IF(AI67&lt;&gt;"",RANK(AI67,AI$2:AI$504,1),"")</f>
        <v/>
      </c>
      <c r="AL67" s="58" t="str">
        <f t="shared" ref="AL67:AL130" si="34">IF(AJ67&lt;&gt;"",RANK(AJ67,AJ$2:AJ$504,1),"")</f>
        <v/>
      </c>
      <c r="AM67" s="58" t="str">
        <f t="shared" ref="AM67:AM130" si="35">CONCATENATE(AD67,AE67)</f>
        <v>MEast London Runners22</v>
      </c>
      <c r="AN67" s="58" t="str">
        <f t="shared" ref="AN67:AN130" si="36">IF(AG67&lt;&gt;"",VLOOKUP(CONCATENATE(AD67,"1"),Scoring_Team,5,FALSE),"")</f>
        <v/>
      </c>
      <c r="AO67" s="58" t="str">
        <f t="shared" ref="AO67:AO130" si="37">IF(AG67&lt;&gt;"",VLOOKUP(CONCATENATE(AD67,"2"),Scoring_Team,5,FALSE),"")</f>
        <v/>
      </c>
      <c r="AP67" s="58" t="str">
        <f t="shared" ref="AP67:AP130" si="38">IF(AG67&lt;&gt;"",VLOOKUP(CONCATENATE(AD67,"3"),Scoring_Team,5,FALSE),"")</f>
        <v/>
      </c>
      <c r="AQ67" s="58" t="str">
        <f t="shared" ref="AQ67:AQ130" si="39">K67</f>
        <v>Paul Thompson</v>
      </c>
    </row>
    <row r="68" spans="1:43" x14ac:dyDescent="0.25">
      <c r="A68" s="12" t="str">
        <f t="shared" si="25"/>
        <v>VM60,2</v>
      </c>
      <c r="B68" s="12" t="str">
        <f t="shared" si="26"/>
        <v>M,64</v>
      </c>
      <c r="C68" s="11">
        <f t="shared" si="23"/>
        <v>67</v>
      </c>
      <c r="D68" s="171">
        <v>95</v>
      </c>
      <c r="E68" s="12">
        <f t="shared" si="24"/>
        <v>1</v>
      </c>
      <c r="F68" s="12">
        <f>COUNTIF(H$2:H68,H68)</f>
        <v>2</v>
      </c>
      <c r="G68" s="12">
        <f>COUNTIF(J$2:J68,J68)</f>
        <v>64</v>
      </c>
      <c r="H68" s="12" t="str">
        <f t="shared" ref="H68:H131" si="40">IF(G68&gt;3,I68,"")</f>
        <v>VM60</v>
      </c>
      <c r="I68" s="50" t="str">
        <f t="shared" ref="I68:I131" si="41">IF(ISNA(VLOOKUP($D68,Runner,3,FALSE)),IF(ISNA(VLOOKUP($D68,Code,3,FALSE)),"",VLOOKUP($D68,Code,3,FALSE)),VLOOKUP($D68,Runner,3,FALSE))</f>
        <v>VM60</v>
      </c>
      <c r="J68" s="50" t="str">
        <f t="shared" ref="J68:J131" si="42">IF(ISNA(VLOOKUP($D68,Runner,5,FALSE)),IF(ISNA(VLOOKUP($D68,Code,5,FALSE)),"",VLOOKUP($D68,Code,5,FALSE)),VLOOKUP($D68,Runner,5,FALSE))</f>
        <v>M</v>
      </c>
      <c r="K68" s="64" t="str">
        <f t="shared" ref="K68:K131" si="43">TRIM(IF(ISNA(VLOOKUP($D68,Runner,2,FALSE)),IF(ISNA(VLOOKUP($D68,Code,2,FALSE)),"",VLOOKUP($D68,Code,2,FALSE)),VLOOKUP($D68,Runner,2,FALSE)))</f>
        <v>Calvin Bobin</v>
      </c>
      <c r="L68" s="64" t="str">
        <f t="shared" ref="L68:L131" si="44">IF(ISNA(VLOOKUP($D68,Runner,4,FALSE)),IF(ISNA(VLOOKUP($D68,Code,4,FALSE)),"",VLOOKUP($D68,Code,4,FALSE)),VLOOKUP($D68,Runner,4,FALSE))</f>
        <v>East London Runners</v>
      </c>
      <c r="M68" s="171">
        <v>0</v>
      </c>
      <c r="N68" s="178">
        <v>20</v>
      </c>
      <c r="O68" s="178">
        <v>27</v>
      </c>
      <c r="P68" s="138">
        <f t="shared" si="27"/>
        <v>0</v>
      </c>
      <c r="Q68" s="137">
        <f t="shared" si="28"/>
        <v>20</v>
      </c>
      <c r="R68" s="143"/>
      <c r="S68" s="143"/>
      <c r="T68" s="143"/>
      <c r="U68" s="144"/>
      <c r="V68" s="144"/>
      <c r="W68" s="144"/>
      <c r="X68" s="145"/>
      <c r="Y68" s="152" t="str">
        <f t="shared" si="29"/>
        <v xml:space="preserve">   20.27 </v>
      </c>
      <c r="Z68" s="136"/>
      <c r="AA68" s="50">
        <f t="shared" ref="AA68:AA131" si="45">IF(ISNA(VLOOKUP($D68,Runner,6,FALSE)),"",VLOOKUP($D68,Runner,6,FALSE))</f>
        <v>63</v>
      </c>
      <c r="AB68" s="129">
        <f t="shared" ref="AB68:AB131" si="46">IF(ISNA(VLOOKUP($D68,Runner,8,FALSE)),"",IF(VLOOKUP($D68,Runner,8,FALSE)=0,"",VLOOKUP($D68,Runner,8,FALSE)))</f>
        <v>20228</v>
      </c>
      <c r="AC68" s="58" t="str">
        <f t="shared" si="30"/>
        <v/>
      </c>
      <c r="AD68" s="58" t="str">
        <f t="shared" si="31"/>
        <v>MEast London Runners</v>
      </c>
      <c r="AE68" s="60">
        <f>IF(AD68="","",COUNTIF($AD$2:AD68,AD68))</f>
        <v>23</v>
      </c>
      <c r="AF68" s="62">
        <f>IF(AD68="","",SUMIF(AD$2:AD68,AD68,G$2:G68))</f>
        <v>770</v>
      </c>
      <c r="AG68" s="62" t="str">
        <f>IF(AK68&lt;&gt;"",COUNTIF($AK$1:AK67,AK68)+AK68,IF(AL68&lt;&gt;"",COUNTIF($AL$1:AL67,AL68)+AL68,""))</f>
        <v/>
      </c>
      <c r="AH68" s="62" t="str">
        <f t="shared" si="32"/>
        <v>East London Runners</v>
      </c>
      <c r="AI68" s="62" t="str">
        <f>IF(AND(J68="M", AH68&lt;&gt;"U/A",AE68=Prizewinners!$J$1),AF68,"")</f>
        <v/>
      </c>
      <c r="AJ68" s="58" t="str">
        <f>IF(AND(J68="F",  AH68&lt;&gt;"U/A",AE68=Prizewinners!$J$16),AF68,"")</f>
        <v/>
      </c>
      <c r="AK68" s="58" t="str">
        <f t="shared" si="33"/>
        <v/>
      </c>
      <c r="AL68" s="58" t="str">
        <f t="shared" si="34"/>
        <v/>
      </c>
      <c r="AM68" s="58" t="str">
        <f t="shared" si="35"/>
        <v>MEast London Runners23</v>
      </c>
      <c r="AN68" s="58" t="str">
        <f t="shared" si="36"/>
        <v/>
      </c>
      <c r="AO68" s="58" t="str">
        <f t="shared" si="37"/>
        <v/>
      </c>
      <c r="AP68" s="58" t="str">
        <f t="shared" si="38"/>
        <v/>
      </c>
      <c r="AQ68" s="58" t="str">
        <f t="shared" si="39"/>
        <v>Calvin Bobin</v>
      </c>
    </row>
    <row r="69" spans="1:43" x14ac:dyDescent="0.25">
      <c r="A69" s="12" t="str">
        <f t="shared" si="25"/>
        <v>VM40,19</v>
      </c>
      <c r="B69" s="12" t="str">
        <f t="shared" si="26"/>
        <v>M,65</v>
      </c>
      <c r="C69" s="11">
        <f t="shared" ref="C69:C132" si="47">C68+1</f>
        <v>68</v>
      </c>
      <c r="D69" s="171">
        <v>368</v>
      </c>
      <c r="E69" s="12">
        <f t="shared" si="24"/>
        <v>1</v>
      </c>
      <c r="F69" s="12">
        <f>COUNTIF(H$2:H69,H69)</f>
        <v>19</v>
      </c>
      <c r="G69" s="12">
        <f>COUNTIF(J$2:J69,J69)</f>
        <v>65</v>
      </c>
      <c r="H69" s="12" t="str">
        <f t="shared" si="40"/>
        <v>VM40</v>
      </c>
      <c r="I69" s="50" t="str">
        <f t="shared" si="41"/>
        <v>VM40</v>
      </c>
      <c r="J69" s="50" t="str">
        <f t="shared" si="42"/>
        <v>M</v>
      </c>
      <c r="K69" s="64" t="str">
        <f t="shared" si="43"/>
        <v>Alain Fieulaine</v>
      </c>
      <c r="L69" s="64" t="str">
        <f t="shared" si="44"/>
        <v>East London Runners</v>
      </c>
      <c r="M69" s="171">
        <v>0</v>
      </c>
      <c r="N69" s="178">
        <v>20</v>
      </c>
      <c r="O69" s="178">
        <v>30</v>
      </c>
      <c r="P69" s="138">
        <f t="shared" si="27"/>
        <v>0</v>
      </c>
      <c r="Q69" s="137">
        <f t="shared" si="28"/>
        <v>20</v>
      </c>
      <c r="R69" s="143"/>
      <c r="S69" s="143"/>
      <c r="T69" s="143"/>
      <c r="U69" s="144"/>
      <c r="V69" s="144"/>
      <c r="W69" s="144"/>
      <c r="X69" s="145"/>
      <c r="Y69" s="152" t="str">
        <f t="shared" si="29"/>
        <v xml:space="preserve">   20.30 </v>
      </c>
      <c r="Z69" s="136"/>
      <c r="AA69" s="50">
        <f t="shared" si="45"/>
        <v>46</v>
      </c>
      <c r="AB69" s="129">
        <f t="shared" si="46"/>
        <v>26488</v>
      </c>
      <c r="AC69" s="58" t="str">
        <f t="shared" si="30"/>
        <v/>
      </c>
      <c r="AD69" s="58" t="str">
        <f t="shared" si="31"/>
        <v>MEast London Runners</v>
      </c>
      <c r="AE69" s="60">
        <f>IF(AD69="","",COUNTIF($AD$2:AD69,AD69))</f>
        <v>24</v>
      </c>
      <c r="AF69" s="62">
        <f>IF(AD69="","",SUMIF(AD$2:AD69,AD69,G$2:G69))</f>
        <v>835</v>
      </c>
      <c r="AG69" s="62" t="str">
        <f>IF(AK69&lt;&gt;"",COUNTIF($AK$1:AK68,AK69)+AK69,IF(AL69&lt;&gt;"",COUNTIF($AL$1:AL68,AL69)+AL69,""))</f>
        <v/>
      </c>
      <c r="AH69" s="62" t="str">
        <f t="shared" si="32"/>
        <v>East London Runners</v>
      </c>
      <c r="AI69" s="62" t="str">
        <f>IF(AND(J69="M", AH69&lt;&gt;"U/A",AE69=Prizewinners!$J$1),AF69,"")</f>
        <v/>
      </c>
      <c r="AJ69" s="58" t="str">
        <f>IF(AND(J69="F",  AH69&lt;&gt;"U/A",AE69=Prizewinners!$J$16),AF69,"")</f>
        <v/>
      </c>
      <c r="AK69" s="58" t="str">
        <f t="shared" si="33"/>
        <v/>
      </c>
      <c r="AL69" s="58" t="str">
        <f t="shared" si="34"/>
        <v/>
      </c>
      <c r="AM69" s="58" t="str">
        <f t="shared" si="35"/>
        <v>MEast London Runners24</v>
      </c>
      <c r="AN69" s="58" t="str">
        <f t="shared" si="36"/>
        <v/>
      </c>
      <c r="AO69" s="58" t="str">
        <f t="shared" si="37"/>
        <v/>
      </c>
      <c r="AP69" s="58" t="str">
        <f t="shared" si="38"/>
        <v/>
      </c>
      <c r="AQ69" s="58" t="str">
        <f t="shared" si="39"/>
        <v>Alain Fieulaine</v>
      </c>
    </row>
    <row r="70" spans="1:43" x14ac:dyDescent="0.25">
      <c r="A70" s="12" t="str">
        <f t="shared" si="25"/>
        <v>SM,37</v>
      </c>
      <c r="B70" s="12" t="str">
        <f t="shared" si="26"/>
        <v>M,66</v>
      </c>
      <c r="C70" s="11">
        <f t="shared" si="47"/>
        <v>69</v>
      </c>
      <c r="D70" s="171">
        <v>128</v>
      </c>
      <c r="E70" s="12">
        <f t="shared" si="24"/>
        <v>1</v>
      </c>
      <c r="F70" s="12">
        <f>COUNTIF(H$2:H70,H70)</f>
        <v>37</v>
      </c>
      <c r="G70" s="12">
        <f>COUNTIF(J$2:J70,J70)</f>
        <v>66</v>
      </c>
      <c r="H70" s="12" t="str">
        <f t="shared" si="40"/>
        <v>SM</v>
      </c>
      <c r="I70" s="50" t="str">
        <f t="shared" si="41"/>
        <v>SM</v>
      </c>
      <c r="J70" s="50" t="str">
        <f t="shared" si="42"/>
        <v>M</v>
      </c>
      <c r="K70" s="64" t="str">
        <f t="shared" si="43"/>
        <v>Buddy Green</v>
      </c>
      <c r="L70" s="64" t="str">
        <f t="shared" si="44"/>
        <v>Orion Harriers</v>
      </c>
      <c r="M70" s="171">
        <v>0</v>
      </c>
      <c r="N70" s="178">
        <v>20</v>
      </c>
      <c r="O70" s="178">
        <v>31</v>
      </c>
      <c r="P70" s="138">
        <f t="shared" si="27"/>
        <v>0</v>
      </c>
      <c r="Q70" s="137">
        <f t="shared" si="28"/>
        <v>20</v>
      </c>
      <c r="R70" s="143"/>
      <c r="S70" s="143"/>
      <c r="T70" s="143"/>
      <c r="U70" s="144"/>
      <c r="V70" s="144"/>
      <c r="W70" s="144"/>
      <c r="X70" s="145"/>
      <c r="Y70" s="152" t="str">
        <f t="shared" si="29"/>
        <v xml:space="preserve">   20.31 </v>
      </c>
      <c r="Z70" s="136"/>
      <c r="AA70" s="50">
        <f t="shared" si="45"/>
        <v>24</v>
      </c>
      <c r="AB70" s="129">
        <f t="shared" si="46"/>
        <v>34281</v>
      </c>
      <c r="AC70" s="58" t="str">
        <f t="shared" si="30"/>
        <v/>
      </c>
      <c r="AD70" s="58" t="str">
        <f t="shared" si="31"/>
        <v>MOrion Harriers</v>
      </c>
      <c r="AE70" s="60">
        <f>IF(AD70="","",COUNTIF($AD$2:AD70,AD70))</f>
        <v>4</v>
      </c>
      <c r="AF70" s="62">
        <f>IF(AD70="","",SUMIF(AD$2:AD70,AD70,G$2:G70))</f>
        <v>189</v>
      </c>
      <c r="AG70" s="62" t="str">
        <f>IF(AK70&lt;&gt;"",COUNTIF($AK$1:AK69,AK70)+AK70,IF(AL70&lt;&gt;"",COUNTIF($AL$1:AL69,AL70)+AL70,""))</f>
        <v/>
      </c>
      <c r="AH70" s="62" t="str">
        <f t="shared" si="32"/>
        <v>Orion Harriers</v>
      </c>
      <c r="AI70" s="62" t="str">
        <f>IF(AND(J70="M", AH70&lt;&gt;"U/A",AE70=Prizewinners!$J$1),AF70,"")</f>
        <v/>
      </c>
      <c r="AJ70" s="58" t="str">
        <f>IF(AND(J70="F",  AH70&lt;&gt;"U/A",AE70=Prizewinners!$J$16),AF70,"")</f>
        <v/>
      </c>
      <c r="AK70" s="58" t="str">
        <f t="shared" si="33"/>
        <v/>
      </c>
      <c r="AL70" s="58" t="str">
        <f t="shared" si="34"/>
        <v/>
      </c>
      <c r="AM70" s="58" t="str">
        <f t="shared" si="35"/>
        <v>MOrion Harriers4</v>
      </c>
      <c r="AN70" s="58" t="str">
        <f t="shared" si="36"/>
        <v/>
      </c>
      <c r="AO70" s="58" t="str">
        <f t="shared" si="37"/>
        <v/>
      </c>
      <c r="AP70" s="58" t="str">
        <f t="shared" si="38"/>
        <v/>
      </c>
      <c r="AQ70" s="58" t="str">
        <f t="shared" si="39"/>
        <v>Buddy Green</v>
      </c>
    </row>
    <row r="71" spans="1:43" x14ac:dyDescent="0.25">
      <c r="A71" s="12" t="str">
        <f t="shared" si="25"/>
        <v>VM40,20</v>
      </c>
      <c r="B71" s="12" t="str">
        <f t="shared" si="26"/>
        <v>M,67</v>
      </c>
      <c r="C71" s="11">
        <f t="shared" si="47"/>
        <v>70</v>
      </c>
      <c r="D71" s="171">
        <v>4</v>
      </c>
      <c r="E71" s="12">
        <f t="shared" si="24"/>
        <v>1</v>
      </c>
      <c r="F71" s="12">
        <f>COUNTIF(H$2:H71,H71)</f>
        <v>20</v>
      </c>
      <c r="G71" s="12">
        <f>COUNTIF(J$2:J71,J71)</f>
        <v>67</v>
      </c>
      <c r="H71" s="12" t="str">
        <f t="shared" si="40"/>
        <v>VM40</v>
      </c>
      <c r="I71" s="50" t="str">
        <f t="shared" si="41"/>
        <v>VM40</v>
      </c>
      <c r="J71" s="50" t="str">
        <f t="shared" si="42"/>
        <v>M</v>
      </c>
      <c r="K71" s="64" t="str">
        <f t="shared" si="43"/>
        <v>Paul Ward</v>
      </c>
      <c r="L71" s="64" t="str">
        <f t="shared" si="44"/>
        <v>Barking Road Runners</v>
      </c>
      <c r="M71" s="171">
        <v>0</v>
      </c>
      <c r="N71" s="178">
        <v>20</v>
      </c>
      <c r="O71" s="178">
        <v>33</v>
      </c>
      <c r="P71" s="138">
        <f t="shared" si="27"/>
        <v>0</v>
      </c>
      <c r="Q71" s="137">
        <f t="shared" si="28"/>
        <v>20</v>
      </c>
      <c r="R71" s="143"/>
      <c r="S71" s="143"/>
      <c r="T71" s="143"/>
      <c r="U71" s="144"/>
      <c r="V71" s="144"/>
      <c r="W71" s="144"/>
      <c r="X71" s="145"/>
      <c r="Y71" s="152" t="str">
        <f t="shared" si="29"/>
        <v xml:space="preserve">   20.33 </v>
      </c>
      <c r="Z71" s="136"/>
      <c r="AA71" s="50">
        <f t="shared" si="45"/>
        <v>46</v>
      </c>
      <c r="AB71" s="129">
        <f t="shared" si="46"/>
        <v>26204</v>
      </c>
      <c r="AC71" s="58" t="str">
        <f t="shared" si="30"/>
        <v/>
      </c>
      <c r="AD71" s="58" t="str">
        <f t="shared" si="31"/>
        <v>MBarking Road Runners</v>
      </c>
      <c r="AE71" s="60">
        <f>IF(AD71="","",COUNTIF($AD$2:AD71,AD71))</f>
        <v>7</v>
      </c>
      <c r="AF71" s="62">
        <f>IF(AD71="","",SUMIF(AD$2:AD71,AD71,G$2:G71))</f>
        <v>274</v>
      </c>
      <c r="AG71" s="62" t="str">
        <f>IF(AK71&lt;&gt;"",COUNTIF($AK$1:AK70,AK71)+AK71,IF(AL71&lt;&gt;"",COUNTIF($AL$1:AL70,AL71)+AL71,""))</f>
        <v/>
      </c>
      <c r="AH71" s="62" t="str">
        <f t="shared" si="32"/>
        <v>Barking Road Runners</v>
      </c>
      <c r="AI71" s="62" t="str">
        <f>IF(AND(J71="M", AH71&lt;&gt;"U/A",AE71=Prizewinners!$J$1),AF71,"")</f>
        <v/>
      </c>
      <c r="AJ71" s="58" t="str">
        <f>IF(AND(J71="F",  AH71&lt;&gt;"U/A",AE71=Prizewinners!$J$16),AF71,"")</f>
        <v/>
      </c>
      <c r="AK71" s="58" t="str">
        <f t="shared" si="33"/>
        <v/>
      </c>
      <c r="AL71" s="58" t="str">
        <f t="shared" si="34"/>
        <v/>
      </c>
      <c r="AM71" s="58" t="str">
        <f t="shared" si="35"/>
        <v>MBarking Road Runners7</v>
      </c>
      <c r="AN71" s="58" t="str">
        <f t="shared" si="36"/>
        <v/>
      </c>
      <c r="AO71" s="58" t="str">
        <f t="shared" si="37"/>
        <v/>
      </c>
      <c r="AP71" s="58" t="str">
        <f t="shared" si="38"/>
        <v/>
      </c>
      <c r="AQ71" s="58" t="str">
        <f t="shared" si="39"/>
        <v>Paul Ward</v>
      </c>
    </row>
    <row r="72" spans="1:43" x14ac:dyDescent="0.25">
      <c r="A72" s="12" t="str">
        <f t="shared" si="25"/>
        <v>VM40,21</v>
      </c>
      <c r="B72" s="12" t="str">
        <f t="shared" si="26"/>
        <v>M,68</v>
      </c>
      <c r="C72" s="11">
        <f t="shared" si="47"/>
        <v>71</v>
      </c>
      <c r="D72" s="171">
        <v>57</v>
      </c>
      <c r="E72" s="12">
        <f t="shared" si="24"/>
        <v>1</v>
      </c>
      <c r="F72" s="12">
        <f>COUNTIF(H$2:H72,H72)</f>
        <v>21</v>
      </c>
      <c r="G72" s="12">
        <f>COUNTIF(J$2:J72,J72)</f>
        <v>68</v>
      </c>
      <c r="H72" s="12" t="str">
        <f t="shared" si="40"/>
        <v>VM40</v>
      </c>
      <c r="I72" s="50" t="str">
        <f t="shared" si="41"/>
        <v>VM40</v>
      </c>
      <c r="J72" s="50" t="str">
        <f t="shared" si="42"/>
        <v>M</v>
      </c>
      <c r="K72" s="64" t="str">
        <f t="shared" si="43"/>
        <v>Terry Lewsey</v>
      </c>
      <c r="L72" s="64" t="str">
        <f t="shared" si="44"/>
        <v>East London Runners</v>
      </c>
      <c r="M72" s="171">
        <v>0</v>
      </c>
      <c r="N72" s="178">
        <v>20</v>
      </c>
      <c r="O72" s="178">
        <v>35</v>
      </c>
      <c r="P72" s="138">
        <f t="shared" si="27"/>
        <v>0</v>
      </c>
      <c r="Q72" s="137">
        <f t="shared" si="28"/>
        <v>20</v>
      </c>
      <c r="R72" s="143"/>
      <c r="S72" s="143"/>
      <c r="T72" s="143"/>
      <c r="U72" s="144"/>
      <c r="V72" s="144"/>
      <c r="W72" s="144"/>
      <c r="X72" s="145"/>
      <c r="Y72" s="152" t="str">
        <f t="shared" si="29"/>
        <v xml:space="preserve">   20.35 </v>
      </c>
      <c r="Z72" s="136"/>
      <c r="AA72" s="50">
        <f t="shared" si="45"/>
        <v>41</v>
      </c>
      <c r="AB72" s="129">
        <f t="shared" si="46"/>
        <v>28194</v>
      </c>
      <c r="AC72" s="58" t="str">
        <f t="shared" si="30"/>
        <v/>
      </c>
      <c r="AD72" s="58" t="str">
        <f t="shared" si="31"/>
        <v>MEast London Runners</v>
      </c>
      <c r="AE72" s="60">
        <f>IF(AD72="","",COUNTIF($AD$2:AD72,AD72))</f>
        <v>25</v>
      </c>
      <c r="AF72" s="62">
        <f>IF(AD72="","",SUMIF(AD$2:AD72,AD72,G$2:G72))</f>
        <v>903</v>
      </c>
      <c r="AG72" s="62" t="str">
        <f>IF(AK72&lt;&gt;"",COUNTIF($AK$1:AK71,AK72)+AK72,IF(AL72&lt;&gt;"",COUNTIF($AL$1:AL71,AL72)+AL72,""))</f>
        <v/>
      </c>
      <c r="AH72" s="62" t="str">
        <f t="shared" si="32"/>
        <v>East London Runners</v>
      </c>
      <c r="AI72" s="62" t="str">
        <f>IF(AND(J72="M", AH72&lt;&gt;"U/A",AE72=Prizewinners!$J$1),AF72,"")</f>
        <v/>
      </c>
      <c r="AJ72" s="58" t="str">
        <f>IF(AND(J72="F",  AH72&lt;&gt;"U/A",AE72=Prizewinners!$J$16),AF72,"")</f>
        <v/>
      </c>
      <c r="AK72" s="58" t="str">
        <f t="shared" si="33"/>
        <v/>
      </c>
      <c r="AL72" s="58" t="str">
        <f t="shared" si="34"/>
        <v/>
      </c>
      <c r="AM72" s="58" t="str">
        <f t="shared" si="35"/>
        <v>MEast London Runners25</v>
      </c>
      <c r="AN72" s="58" t="str">
        <f t="shared" si="36"/>
        <v/>
      </c>
      <c r="AO72" s="58" t="str">
        <f t="shared" si="37"/>
        <v/>
      </c>
      <c r="AP72" s="58" t="str">
        <f t="shared" si="38"/>
        <v/>
      </c>
      <c r="AQ72" s="58" t="str">
        <f t="shared" si="39"/>
        <v>Terry Lewsey</v>
      </c>
    </row>
    <row r="73" spans="1:43" x14ac:dyDescent="0.25">
      <c r="A73" s="12" t="str">
        <f t="shared" si="25"/>
        <v>VM50,6</v>
      </c>
      <c r="B73" s="12" t="str">
        <f t="shared" si="26"/>
        <v>M,69</v>
      </c>
      <c r="C73" s="11">
        <f t="shared" si="47"/>
        <v>72</v>
      </c>
      <c r="D73" s="171">
        <v>328</v>
      </c>
      <c r="E73" s="12">
        <f t="shared" si="24"/>
        <v>1</v>
      </c>
      <c r="F73" s="12">
        <f>COUNTIF(H$2:H73,H73)</f>
        <v>6</v>
      </c>
      <c r="G73" s="12">
        <f>COUNTIF(J$2:J73,J73)</f>
        <v>69</v>
      </c>
      <c r="H73" s="12" t="str">
        <f t="shared" si="40"/>
        <v>VM50</v>
      </c>
      <c r="I73" s="50" t="str">
        <f t="shared" si="41"/>
        <v>VM50</v>
      </c>
      <c r="J73" s="50" t="str">
        <f t="shared" si="42"/>
        <v>M</v>
      </c>
      <c r="K73" s="64" t="str">
        <f t="shared" si="43"/>
        <v>Shailesh Patel</v>
      </c>
      <c r="L73" s="64" t="str">
        <f t="shared" si="44"/>
        <v>East London Runners</v>
      </c>
      <c r="M73" s="171">
        <v>0</v>
      </c>
      <c r="N73" s="178">
        <v>20</v>
      </c>
      <c r="O73" s="178">
        <v>37</v>
      </c>
      <c r="P73" s="138">
        <f t="shared" si="27"/>
        <v>0</v>
      </c>
      <c r="Q73" s="137">
        <f t="shared" si="28"/>
        <v>20</v>
      </c>
      <c r="R73" s="143"/>
      <c r="S73" s="143"/>
      <c r="T73" s="143"/>
      <c r="U73" s="144"/>
      <c r="V73" s="144"/>
      <c r="W73" s="144"/>
      <c r="X73" s="145"/>
      <c r="Y73" s="152" t="str">
        <f t="shared" si="29"/>
        <v xml:space="preserve">   20.37 </v>
      </c>
      <c r="Z73" s="136"/>
      <c r="AA73" s="50">
        <f t="shared" si="45"/>
        <v>52</v>
      </c>
      <c r="AB73" s="129">
        <f t="shared" si="46"/>
        <v>24159</v>
      </c>
      <c r="AC73" s="58" t="str">
        <f t="shared" si="30"/>
        <v/>
      </c>
      <c r="AD73" s="58" t="str">
        <f t="shared" si="31"/>
        <v>MEast London Runners</v>
      </c>
      <c r="AE73" s="60">
        <f>IF(AD73="","",COUNTIF($AD$2:AD73,AD73))</f>
        <v>26</v>
      </c>
      <c r="AF73" s="62">
        <f>IF(AD73="","",SUMIF(AD$2:AD73,AD73,G$2:G73))</f>
        <v>972</v>
      </c>
      <c r="AG73" s="62" t="str">
        <f>IF(AK73&lt;&gt;"",COUNTIF($AK$1:AK72,AK73)+AK73,IF(AL73&lt;&gt;"",COUNTIF($AL$1:AL72,AL73)+AL73,""))</f>
        <v/>
      </c>
      <c r="AH73" s="62" t="str">
        <f t="shared" si="32"/>
        <v>East London Runners</v>
      </c>
      <c r="AI73" s="62" t="str">
        <f>IF(AND(J73="M", AH73&lt;&gt;"U/A",AE73=Prizewinners!$J$1),AF73,"")</f>
        <v/>
      </c>
      <c r="AJ73" s="58" t="str">
        <f>IF(AND(J73="F",  AH73&lt;&gt;"U/A",AE73=Prizewinners!$J$16),AF73,"")</f>
        <v/>
      </c>
      <c r="AK73" s="58" t="str">
        <f t="shared" si="33"/>
        <v/>
      </c>
      <c r="AL73" s="58" t="str">
        <f t="shared" si="34"/>
        <v/>
      </c>
      <c r="AM73" s="58" t="str">
        <f t="shared" si="35"/>
        <v>MEast London Runners26</v>
      </c>
      <c r="AN73" s="58" t="str">
        <f t="shared" si="36"/>
        <v/>
      </c>
      <c r="AO73" s="58" t="str">
        <f t="shared" si="37"/>
        <v/>
      </c>
      <c r="AP73" s="58" t="str">
        <f t="shared" si="38"/>
        <v/>
      </c>
      <c r="AQ73" s="58" t="str">
        <f t="shared" si="39"/>
        <v>Shailesh Patel</v>
      </c>
    </row>
    <row r="74" spans="1:43" x14ac:dyDescent="0.25">
      <c r="A74" s="12" t="str">
        <f t="shared" si="25"/>
        <v>VF35,1</v>
      </c>
      <c r="B74" s="12" t="str">
        <f t="shared" si="26"/>
        <v>F,4</v>
      </c>
      <c r="C74" s="11">
        <f t="shared" si="47"/>
        <v>73</v>
      </c>
      <c r="D74" s="171">
        <v>365</v>
      </c>
      <c r="E74" s="12">
        <f t="shared" si="24"/>
        <v>1</v>
      </c>
      <c r="F74" s="12">
        <f>COUNTIF(H$2:H74,H74)</f>
        <v>1</v>
      </c>
      <c r="G74" s="12">
        <f>COUNTIF(J$2:J74,J74)</f>
        <v>4</v>
      </c>
      <c r="H74" s="12" t="str">
        <f t="shared" si="40"/>
        <v>VF35</v>
      </c>
      <c r="I74" s="50" t="str">
        <f t="shared" si="41"/>
        <v>VF35</v>
      </c>
      <c r="J74" s="50" t="str">
        <f t="shared" si="42"/>
        <v>F</v>
      </c>
      <c r="K74" s="64" t="str">
        <f t="shared" si="43"/>
        <v>Jennifer Heymann</v>
      </c>
      <c r="L74" s="64" t="str">
        <f t="shared" si="44"/>
        <v>Eton Manor AC</v>
      </c>
      <c r="M74" s="171">
        <v>0</v>
      </c>
      <c r="N74" s="178">
        <v>20</v>
      </c>
      <c r="O74" s="178">
        <v>38</v>
      </c>
      <c r="P74" s="138">
        <f t="shared" si="27"/>
        <v>0</v>
      </c>
      <c r="Q74" s="137">
        <f t="shared" si="28"/>
        <v>20</v>
      </c>
      <c r="R74" s="143"/>
      <c r="S74" s="143"/>
      <c r="T74" s="143"/>
      <c r="U74" s="144"/>
      <c r="V74" s="144"/>
      <c r="W74" s="144"/>
      <c r="X74" s="145"/>
      <c r="Y74" s="152" t="str">
        <f t="shared" si="29"/>
        <v xml:space="preserve">   20.38 </v>
      </c>
      <c r="Z74" s="136"/>
      <c r="AA74" s="50">
        <f t="shared" si="45"/>
        <v>39</v>
      </c>
      <c r="AB74" s="129">
        <f t="shared" si="46"/>
        <v>28926</v>
      </c>
      <c r="AC74" s="58" t="str">
        <f t="shared" si="30"/>
        <v/>
      </c>
      <c r="AD74" s="58" t="str">
        <f t="shared" si="31"/>
        <v>FEton Manor AC</v>
      </c>
      <c r="AE74" s="60">
        <f>IF(AD74="","",COUNTIF($AD$2:AD74,AD74))</f>
        <v>1</v>
      </c>
      <c r="AF74" s="62">
        <f>IF(AD74="","",SUMIF(AD$2:AD74,AD74,G$2:G74))</f>
        <v>4</v>
      </c>
      <c r="AG74" s="62" t="str">
        <f>IF(AK74&lt;&gt;"",COUNTIF($AK$1:AK73,AK74)+AK74,IF(AL74&lt;&gt;"",COUNTIF($AL$1:AL73,AL74)+AL74,""))</f>
        <v/>
      </c>
      <c r="AH74" s="62" t="str">
        <f t="shared" si="32"/>
        <v>Eton Manor AC</v>
      </c>
      <c r="AI74" s="62" t="str">
        <f>IF(AND(J74="M", AH74&lt;&gt;"U/A",AE74=Prizewinners!$J$1),AF74,"")</f>
        <v/>
      </c>
      <c r="AJ74" s="58" t="str">
        <f>IF(AND(J74="F",  AH74&lt;&gt;"U/A",AE74=Prizewinners!$J$16),AF74,"")</f>
        <v/>
      </c>
      <c r="AK74" s="58" t="str">
        <f t="shared" si="33"/>
        <v/>
      </c>
      <c r="AL74" s="58" t="str">
        <f t="shared" si="34"/>
        <v/>
      </c>
      <c r="AM74" s="58" t="str">
        <f t="shared" si="35"/>
        <v>FEton Manor AC1</v>
      </c>
      <c r="AN74" s="58" t="str">
        <f t="shared" si="36"/>
        <v/>
      </c>
      <c r="AO74" s="58" t="str">
        <f t="shared" si="37"/>
        <v/>
      </c>
      <c r="AP74" s="58" t="str">
        <f t="shared" si="38"/>
        <v/>
      </c>
      <c r="AQ74" s="58" t="str">
        <f t="shared" si="39"/>
        <v>Jennifer Heymann</v>
      </c>
    </row>
    <row r="75" spans="1:43" x14ac:dyDescent="0.25">
      <c r="A75" s="12" t="str">
        <f t="shared" si="25"/>
        <v>VM50,7</v>
      </c>
      <c r="B75" s="12" t="str">
        <f t="shared" si="26"/>
        <v>M,70</v>
      </c>
      <c r="C75" s="11">
        <f t="shared" si="47"/>
        <v>74</v>
      </c>
      <c r="D75" s="171">
        <v>114</v>
      </c>
      <c r="E75" s="12">
        <f t="shared" si="24"/>
        <v>1</v>
      </c>
      <c r="F75" s="12">
        <f>COUNTIF(H$2:H75,H75)</f>
        <v>7</v>
      </c>
      <c r="G75" s="12">
        <f>COUNTIF(J$2:J75,J75)</f>
        <v>70</v>
      </c>
      <c r="H75" s="12" t="str">
        <f t="shared" si="40"/>
        <v>VM50</v>
      </c>
      <c r="I75" s="50" t="str">
        <f t="shared" si="41"/>
        <v>VM50</v>
      </c>
      <c r="J75" s="50" t="str">
        <f t="shared" si="42"/>
        <v>M</v>
      </c>
      <c r="K75" s="64" t="str">
        <f t="shared" si="43"/>
        <v>Colin Jones</v>
      </c>
      <c r="L75" s="64" t="str">
        <f t="shared" si="44"/>
        <v>Barking Road Runners</v>
      </c>
      <c r="M75" s="171">
        <v>0</v>
      </c>
      <c r="N75" s="178">
        <v>20</v>
      </c>
      <c r="O75" s="178">
        <v>38</v>
      </c>
      <c r="P75" s="138">
        <f t="shared" si="27"/>
        <v>0</v>
      </c>
      <c r="Q75" s="137">
        <f t="shared" si="28"/>
        <v>20</v>
      </c>
      <c r="R75" s="143"/>
      <c r="S75" s="143"/>
      <c r="T75" s="143"/>
      <c r="U75" s="144"/>
      <c r="V75" s="144"/>
      <c r="W75" s="144"/>
      <c r="X75" s="145"/>
      <c r="Y75" s="152" t="str">
        <f t="shared" si="29"/>
        <v xml:space="preserve">   20.38 </v>
      </c>
      <c r="Z75" s="136"/>
      <c r="AA75" s="50">
        <f t="shared" si="45"/>
        <v>52</v>
      </c>
      <c r="AB75" s="129">
        <f t="shared" si="46"/>
        <v>23992</v>
      </c>
      <c r="AC75" s="58" t="str">
        <f t="shared" si="30"/>
        <v/>
      </c>
      <c r="AD75" s="58" t="str">
        <f t="shared" si="31"/>
        <v>MBarking Road Runners</v>
      </c>
      <c r="AE75" s="60">
        <f>IF(AD75="","",COUNTIF($AD$2:AD75,AD75))</f>
        <v>8</v>
      </c>
      <c r="AF75" s="62">
        <f>IF(AD75="","",SUMIF(AD$2:AD75,AD75,G$2:G75))</f>
        <v>344</v>
      </c>
      <c r="AG75" s="62" t="str">
        <f>IF(AK75&lt;&gt;"",COUNTIF($AK$1:AK74,AK75)+AK75,IF(AL75&lt;&gt;"",COUNTIF($AL$1:AL74,AL75)+AL75,""))</f>
        <v/>
      </c>
      <c r="AH75" s="62" t="str">
        <f t="shared" si="32"/>
        <v>Barking Road Runners</v>
      </c>
      <c r="AI75" s="62" t="str">
        <f>IF(AND(J75="M", AH75&lt;&gt;"U/A",AE75=Prizewinners!$J$1),AF75,"")</f>
        <v/>
      </c>
      <c r="AJ75" s="58" t="str">
        <f>IF(AND(J75="F",  AH75&lt;&gt;"U/A",AE75=Prizewinners!$J$16),AF75,"")</f>
        <v/>
      </c>
      <c r="AK75" s="58" t="str">
        <f t="shared" si="33"/>
        <v/>
      </c>
      <c r="AL75" s="58" t="str">
        <f t="shared" si="34"/>
        <v/>
      </c>
      <c r="AM75" s="58" t="str">
        <f t="shared" si="35"/>
        <v>MBarking Road Runners8</v>
      </c>
      <c r="AN75" s="58" t="str">
        <f t="shared" si="36"/>
        <v/>
      </c>
      <c r="AO75" s="58" t="str">
        <f t="shared" si="37"/>
        <v/>
      </c>
      <c r="AP75" s="58" t="str">
        <f t="shared" si="38"/>
        <v/>
      </c>
      <c r="AQ75" s="58" t="str">
        <f t="shared" si="39"/>
        <v>Colin Jones</v>
      </c>
    </row>
    <row r="76" spans="1:43" x14ac:dyDescent="0.25">
      <c r="A76" s="12" t="str">
        <f t="shared" si="25"/>
        <v>SM,38</v>
      </c>
      <c r="B76" s="12" t="str">
        <f t="shared" si="26"/>
        <v>M,71</v>
      </c>
      <c r="C76" s="11">
        <f t="shared" si="47"/>
        <v>75</v>
      </c>
      <c r="D76" s="171">
        <v>123</v>
      </c>
      <c r="E76" s="12">
        <f t="shared" si="24"/>
        <v>1</v>
      </c>
      <c r="F76" s="12">
        <f>COUNTIF(H$2:H76,H76)</f>
        <v>38</v>
      </c>
      <c r="G76" s="12">
        <f>COUNTIF(J$2:J76,J76)</f>
        <v>71</v>
      </c>
      <c r="H76" s="12" t="str">
        <f t="shared" si="40"/>
        <v>SM</v>
      </c>
      <c r="I76" s="50" t="str">
        <f t="shared" si="41"/>
        <v>SM</v>
      </c>
      <c r="J76" s="50" t="str">
        <f t="shared" si="42"/>
        <v>M</v>
      </c>
      <c r="K76" s="64" t="str">
        <f t="shared" si="43"/>
        <v>Neill Collins</v>
      </c>
      <c r="L76" s="64" t="str">
        <f t="shared" si="44"/>
        <v>Havering 90 Joggers</v>
      </c>
      <c r="M76" s="171">
        <v>0</v>
      </c>
      <c r="N76" s="178">
        <v>20</v>
      </c>
      <c r="O76" s="178">
        <v>39</v>
      </c>
      <c r="P76" s="138">
        <f t="shared" si="27"/>
        <v>0</v>
      </c>
      <c r="Q76" s="137">
        <f t="shared" si="28"/>
        <v>20</v>
      </c>
      <c r="R76" s="143"/>
      <c r="S76" s="143"/>
      <c r="T76" s="143"/>
      <c r="U76" s="144"/>
      <c r="V76" s="144"/>
      <c r="W76" s="144"/>
      <c r="X76" s="145"/>
      <c r="Y76" s="152" t="str">
        <f t="shared" si="29"/>
        <v xml:space="preserve">   20.39 </v>
      </c>
      <c r="Z76" s="136"/>
      <c r="AA76" s="50">
        <f t="shared" si="45"/>
        <v>26</v>
      </c>
      <c r="AB76" s="129">
        <f t="shared" si="46"/>
        <v>33575</v>
      </c>
      <c r="AC76" s="58" t="str">
        <f t="shared" si="30"/>
        <v>M8</v>
      </c>
      <c r="AD76" s="58" t="str">
        <f t="shared" si="31"/>
        <v>MHavering 90 Joggers</v>
      </c>
      <c r="AE76" s="60">
        <f>IF(AD76="","",COUNTIF($AD$2:AD76,AD76))</f>
        <v>3</v>
      </c>
      <c r="AF76" s="62">
        <f>IF(AD76="","",SUMIF(AD$2:AD76,AD76,G$2:G76))</f>
        <v>189</v>
      </c>
      <c r="AG76" s="62">
        <f>IF(AK76&lt;&gt;"",COUNTIF($AK$1:AK75,AK76)+AK76,IF(AL76&lt;&gt;"",COUNTIF($AL$1:AL75,AL76)+AL76,""))</f>
        <v>8</v>
      </c>
      <c r="AH76" s="62" t="str">
        <f t="shared" si="32"/>
        <v>Havering 90 Joggers</v>
      </c>
      <c r="AI76" s="62">
        <f>IF(AND(J76="M", AH76&lt;&gt;"U/A",AE76=Prizewinners!$J$1),AF76,"")</f>
        <v>189</v>
      </c>
      <c r="AJ76" s="58" t="str">
        <f>IF(AND(J76="F",  AH76&lt;&gt;"U/A",AE76=Prizewinners!$J$16),AF76,"")</f>
        <v/>
      </c>
      <c r="AK76" s="58">
        <f t="shared" si="33"/>
        <v>8</v>
      </c>
      <c r="AL76" s="58" t="str">
        <f t="shared" si="34"/>
        <v/>
      </c>
      <c r="AM76" s="58" t="str">
        <f t="shared" si="35"/>
        <v>MHavering 90 Joggers3</v>
      </c>
      <c r="AN76" s="58" t="str">
        <f t="shared" si="36"/>
        <v>Gary Flint</v>
      </c>
      <c r="AO76" s="58" t="str">
        <f t="shared" si="37"/>
        <v>TONY COLLINS</v>
      </c>
      <c r="AP76" s="58" t="str">
        <f t="shared" si="38"/>
        <v>Neill Collins</v>
      </c>
      <c r="AQ76" s="58" t="str">
        <f t="shared" si="39"/>
        <v>Neill Collins</v>
      </c>
    </row>
    <row r="77" spans="1:43" x14ac:dyDescent="0.25">
      <c r="A77" s="12" t="str">
        <f t="shared" si="25"/>
        <v>SM,39</v>
      </c>
      <c r="B77" s="12" t="str">
        <f t="shared" si="26"/>
        <v>M,72</v>
      </c>
      <c r="C77" s="11">
        <f t="shared" si="47"/>
        <v>76</v>
      </c>
      <c r="D77" s="171">
        <v>147</v>
      </c>
      <c r="E77" s="12">
        <f t="shared" si="24"/>
        <v>1</v>
      </c>
      <c r="F77" s="12">
        <f>COUNTIF(H$2:H77,H77)</f>
        <v>39</v>
      </c>
      <c r="G77" s="12">
        <f>COUNTIF(J$2:J77,J77)</f>
        <v>72</v>
      </c>
      <c r="H77" s="12" t="str">
        <f t="shared" si="40"/>
        <v>SM</v>
      </c>
      <c r="I77" s="50" t="str">
        <f t="shared" si="41"/>
        <v>SM</v>
      </c>
      <c r="J77" s="50" t="str">
        <f t="shared" si="42"/>
        <v>M</v>
      </c>
      <c r="K77" s="64" t="str">
        <f t="shared" si="43"/>
        <v>Mark Moir</v>
      </c>
      <c r="L77" s="64" t="str">
        <f t="shared" si="44"/>
        <v>East London Runners</v>
      </c>
      <c r="M77" s="171">
        <v>0</v>
      </c>
      <c r="N77" s="178">
        <v>20</v>
      </c>
      <c r="O77" s="178">
        <v>40</v>
      </c>
      <c r="P77" s="138">
        <f t="shared" si="27"/>
        <v>0</v>
      </c>
      <c r="Q77" s="137">
        <f t="shared" si="28"/>
        <v>20</v>
      </c>
      <c r="R77" s="143"/>
      <c r="S77" s="143"/>
      <c r="T77" s="143"/>
      <c r="U77" s="144"/>
      <c r="V77" s="144"/>
      <c r="W77" s="144"/>
      <c r="X77" s="145"/>
      <c r="Y77" s="152" t="str">
        <f t="shared" si="29"/>
        <v xml:space="preserve">   20.40 </v>
      </c>
      <c r="Z77" s="136"/>
      <c r="AA77" s="50">
        <f t="shared" si="45"/>
        <v>27</v>
      </c>
      <c r="AB77" s="129">
        <f t="shared" si="46"/>
        <v>33306</v>
      </c>
      <c r="AC77" s="58" t="str">
        <f t="shared" si="30"/>
        <v/>
      </c>
      <c r="AD77" s="58" t="str">
        <f t="shared" si="31"/>
        <v>MEast London Runners</v>
      </c>
      <c r="AE77" s="60">
        <f>IF(AD77="","",COUNTIF($AD$2:AD77,AD77))</f>
        <v>27</v>
      </c>
      <c r="AF77" s="62">
        <f>IF(AD77="","",SUMIF(AD$2:AD77,AD77,G$2:G77))</f>
        <v>1044</v>
      </c>
      <c r="AG77" s="62" t="str">
        <f>IF(AK77&lt;&gt;"",COUNTIF($AK$1:AK76,AK77)+AK77,IF(AL77&lt;&gt;"",COUNTIF($AL$1:AL76,AL77)+AL77,""))</f>
        <v/>
      </c>
      <c r="AH77" s="62" t="str">
        <f t="shared" si="32"/>
        <v>East London Runners</v>
      </c>
      <c r="AI77" s="62" t="str">
        <f>IF(AND(J77="M", AH77&lt;&gt;"U/A",AE77=Prizewinners!$J$1),AF77,"")</f>
        <v/>
      </c>
      <c r="AJ77" s="58" t="str">
        <f>IF(AND(J77="F",  AH77&lt;&gt;"U/A",AE77=Prizewinners!$J$16),AF77,"")</f>
        <v/>
      </c>
      <c r="AK77" s="58" t="str">
        <f t="shared" si="33"/>
        <v/>
      </c>
      <c r="AL77" s="58" t="str">
        <f t="shared" si="34"/>
        <v/>
      </c>
      <c r="AM77" s="58" t="str">
        <f t="shared" si="35"/>
        <v>MEast London Runners27</v>
      </c>
      <c r="AN77" s="58" t="str">
        <f t="shared" si="36"/>
        <v/>
      </c>
      <c r="AO77" s="58" t="str">
        <f t="shared" si="37"/>
        <v/>
      </c>
      <c r="AP77" s="58" t="str">
        <f t="shared" si="38"/>
        <v/>
      </c>
      <c r="AQ77" s="58" t="str">
        <f t="shared" si="39"/>
        <v>Mark Moir</v>
      </c>
    </row>
    <row r="78" spans="1:43" x14ac:dyDescent="0.25">
      <c r="A78" s="12" t="str">
        <f t="shared" si="25"/>
        <v>VM50,8</v>
      </c>
      <c r="B78" s="12" t="str">
        <f t="shared" si="26"/>
        <v>M,73</v>
      </c>
      <c r="C78" s="11">
        <f t="shared" si="47"/>
        <v>77</v>
      </c>
      <c r="D78" s="171">
        <v>355</v>
      </c>
      <c r="E78" s="12">
        <f t="shared" si="24"/>
        <v>1</v>
      </c>
      <c r="F78" s="12">
        <f>COUNTIF(H$2:H78,H78)</f>
        <v>8</v>
      </c>
      <c r="G78" s="12">
        <f>COUNTIF(J$2:J78,J78)</f>
        <v>73</v>
      </c>
      <c r="H78" s="12" t="str">
        <f t="shared" si="40"/>
        <v>VM50</v>
      </c>
      <c r="I78" s="50" t="str">
        <f t="shared" si="41"/>
        <v>VM50</v>
      </c>
      <c r="J78" s="50" t="str">
        <f t="shared" si="42"/>
        <v>M</v>
      </c>
      <c r="K78" s="64" t="str">
        <f t="shared" si="43"/>
        <v>Alan Pearl</v>
      </c>
      <c r="L78" s="64" t="str">
        <f t="shared" si="44"/>
        <v>Ilford AC</v>
      </c>
      <c r="M78" s="171">
        <v>0</v>
      </c>
      <c r="N78" s="178">
        <v>20</v>
      </c>
      <c r="O78" s="178">
        <v>42</v>
      </c>
      <c r="P78" s="138">
        <f t="shared" si="27"/>
        <v>0</v>
      </c>
      <c r="Q78" s="137">
        <f t="shared" si="28"/>
        <v>20</v>
      </c>
      <c r="R78" s="143"/>
      <c r="S78" s="143"/>
      <c r="T78" s="143"/>
      <c r="U78" s="144"/>
      <c r="V78" s="144"/>
      <c r="W78" s="144"/>
      <c r="X78" s="145"/>
      <c r="Y78" s="152" t="str">
        <f t="shared" si="29"/>
        <v xml:space="preserve">   20.42 </v>
      </c>
      <c r="Z78" s="136"/>
      <c r="AA78" s="50">
        <f t="shared" si="45"/>
        <v>59</v>
      </c>
      <c r="AB78" s="129">
        <f t="shared" si="46"/>
        <v>21688</v>
      </c>
      <c r="AC78" s="58" t="str">
        <f t="shared" si="30"/>
        <v/>
      </c>
      <c r="AD78" s="58" t="str">
        <f t="shared" si="31"/>
        <v>MIlford AC</v>
      </c>
      <c r="AE78" s="60">
        <f>IF(AD78="","",COUNTIF($AD$2:AD78,AD78))</f>
        <v>11</v>
      </c>
      <c r="AF78" s="62">
        <f>IF(AD78="","",SUMIF(AD$2:AD78,AD78,G$2:G78))</f>
        <v>271</v>
      </c>
      <c r="AG78" s="62" t="str">
        <f>IF(AK78&lt;&gt;"",COUNTIF($AK$1:AK77,AK78)+AK78,IF(AL78&lt;&gt;"",COUNTIF($AL$1:AL77,AL78)+AL78,""))</f>
        <v/>
      </c>
      <c r="AH78" s="62" t="str">
        <f t="shared" si="32"/>
        <v>Ilford AC</v>
      </c>
      <c r="AI78" s="62" t="str">
        <f>IF(AND(J78="M", AH78&lt;&gt;"U/A",AE78=Prizewinners!$J$1),AF78,"")</f>
        <v/>
      </c>
      <c r="AJ78" s="58" t="str">
        <f>IF(AND(J78="F",  AH78&lt;&gt;"U/A",AE78=Prizewinners!$J$16),AF78,"")</f>
        <v/>
      </c>
      <c r="AK78" s="58" t="str">
        <f t="shared" si="33"/>
        <v/>
      </c>
      <c r="AL78" s="58" t="str">
        <f t="shared" si="34"/>
        <v/>
      </c>
      <c r="AM78" s="58" t="str">
        <f t="shared" si="35"/>
        <v>MIlford AC11</v>
      </c>
      <c r="AN78" s="58" t="str">
        <f t="shared" si="36"/>
        <v/>
      </c>
      <c r="AO78" s="58" t="str">
        <f t="shared" si="37"/>
        <v/>
      </c>
      <c r="AP78" s="58" t="str">
        <f t="shared" si="38"/>
        <v/>
      </c>
      <c r="AQ78" s="58" t="str">
        <f t="shared" si="39"/>
        <v>Alan Pearl</v>
      </c>
    </row>
    <row r="79" spans="1:43" x14ac:dyDescent="0.25">
      <c r="A79" s="12" t="str">
        <f t="shared" si="25"/>
        <v>VM60,3</v>
      </c>
      <c r="B79" s="12" t="str">
        <f t="shared" si="26"/>
        <v>M,74</v>
      </c>
      <c r="C79" s="11">
        <f t="shared" si="47"/>
        <v>78</v>
      </c>
      <c r="D79" s="171">
        <v>32</v>
      </c>
      <c r="E79" s="12">
        <f t="shared" si="24"/>
        <v>1</v>
      </c>
      <c r="F79" s="12">
        <f>COUNTIF(H$2:H79,H79)</f>
        <v>3</v>
      </c>
      <c r="G79" s="12">
        <f>COUNTIF(J$2:J79,J79)</f>
        <v>74</v>
      </c>
      <c r="H79" s="12" t="str">
        <f t="shared" si="40"/>
        <v>VM60</v>
      </c>
      <c r="I79" s="50" t="str">
        <f t="shared" si="41"/>
        <v>VM60</v>
      </c>
      <c r="J79" s="50" t="str">
        <f t="shared" si="42"/>
        <v>M</v>
      </c>
      <c r="K79" s="64" t="str">
        <f t="shared" si="43"/>
        <v>John Smith</v>
      </c>
      <c r="L79" s="64" t="str">
        <f t="shared" si="44"/>
        <v>Orion Harriers</v>
      </c>
      <c r="M79" s="171">
        <v>0</v>
      </c>
      <c r="N79" s="178">
        <v>20</v>
      </c>
      <c r="O79" s="178">
        <v>45</v>
      </c>
      <c r="P79" s="138">
        <f t="shared" si="27"/>
        <v>0</v>
      </c>
      <c r="Q79" s="137">
        <f t="shared" si="28"/>
        <v>20</v>
      </c>
      <c r="R79" s="143"/>
      <c r="S79" s="143"/>
      <c r="T79" s="143"/>
      <c r="U79" s="144"/>
      <c r="V79" s="144"/>
      <c r="W79" s="144"/>
      <c r="X79" s="145"/>
      <c r="Y79" s="152" t="str">
        <f t="shared" si="29"/>
        <v xml:space="preserve">   20.45 </v>
      </c>
      <c r="Z79" s="136"/>
      <c r="AA79" s="50">
        <f t="shared" si="45"/>
        <v>60</v>
      </c>
      <c r="AB79" s="129">
        <f t="shared" si="46"/>
        <v>21251</v>
      </c>
      <c r="AC79" s="58" t="str">
        <f t="shared" si="30"/>
        <v/>
      </c>
      <c r="AD79" s="58" t="str">
        <f t="shared" si="31"/>
        <v>MOrion Harriers</v>
      </c>
      <c r="AE79" s="60">
        <f>IF(AD79="","",COUNTIF($AD$2:AD79,AD79))</f>
        <v>5</v>
      </c>
      <c r="AF79" s="62">
        <f>IF(AD79="","",SUMIF(AD$2:AD79,AD79,G$2:G79))</f>
        <v>263</v>
      </c>
      <c r="AG79" s="62" t="str">
        <f>IF(AK79&lt;&gt;"",COUNTIF($AK$1:AK78,AK79)+AK79,IF(AL79&lt;&gt;"",COUNTIF($AL$1:AL78,AL79)+AL79,""))</f>
        <v/>
      </c>
      <c r="AH79" s="62" t="str">
        <f t="shared" si="32"/>
        <v>Orion Harriers</v>
      </c>
      <c r="AI79" s="62" t="str">
        <f>IF(AND(J79="M", AH79&lt;&gt;"U/A",AE79=Prizewinners!$J$1),AF79,"")</f>
        <v/>
      </c>
      <c r="AJ79" s="58" t="str">
        <f>IF(AND(J79="F",  AH79&lt;&gt;"U/A",AE79=Prizewinners!$J$16),AF79,"")</f>
        <v/>
      </c>
      <c r="AK79" s="58" t="str">
        <f t="shared" si="33"/>
        <v/>
      </c>
      <c r="AL79" s="58" t="str">
        <f t="shared" si="34"/>
        <v/>
      </c>
      <c r="AM79" s="58" t="str">
        <f t="shared" si="35"/>
        <v>MOrion Harriers5</v>
      </c>
      <c r="AN79" s="58" t="str">
        <f t="shared" si="36"/>
        <v/>
      </c>
      <c r="AO79" s="58" t="str">
        <f t="shared" si="37"/>
        <v/>
      </c>
      <c r="AP79" s="58" t="str">
        <f t="shared" si="38"/>
        <v/>
      </c>
      <c r="AQ79" s="58" t="str">
        <f t="shared" si="39"/>
        <v>John Smith</v>
      </c>
    </row>
    <row r="80" spans="1:43" x14ac:dyDescent="0.25">
      <c r="A80" s="12" t="str">
        <f t="shared" si="25"/>
        <v>VM60,4</v>
      </c>
      <c r="B80" s="12" t="str">
        <f t="shared" si="26"/>
        <v>M,75</v>
      </c>
      <c r="C80" s="11">
        <f t="shared" si="47"/>
        <v>79</v>
      </c>
      <c r="D80" s="171">
        <v>118</v>
      </c>
      <c r="E80" s="12">
        <f t="shared" si="24"/>
        <v>1</v>
      </c>
      <c r="F80" s="12">
        <f>COUNTIF(H$2:H80,H80)</f>
        <v>4</v>
      </c>
      <c r="G80" s="12">
        <f>COUNTIF(J$2:J80,J80)</f>
        <v>75</v>
      </c>
      <c r="H80" s="12" t="str">
        <f t="shared" si="40"/>
        <v>VM60</v>
      </c>
      <c r="I80" s="50" t="str">
        <f t="shared" si="41"/>
        <v>VM60</v>
      </c>
      <c r="J80" s="50" t="str">
        <f t="shared" si="42"/>
        <v>M</v>
      </c>
      <c r="K80" s="64" t="str">
        <f t="shared" si="43"/>
        <v>Adrain frost</v>
      </c>
      <c r="L80" s="64" t="str">
        <f t="shared" si="44"/>
        <v>U/A</v>
      </c>
      <c r="M80" s="171">
        <v>0</v>
      </c>
      <c r="N80" s="178">
        <v>20</v>
      </c>
      <c r="O80" s="178">
        <v>46</v>
      </c>
      <c r="P80" s="138">
        <f t="shared" si="27"/>
        <v>0</v>
      </c>
      <c r="Q80" s="137">
        <f t="shared" si="28"/>
        <v>20</v>
      </c>
      <c r="R80" s="143"/>
      <c r="S80" s="143"/>
      <c r="T80" s="143"/>
      <c r="U80" s="144"/>
      <c r="V80" s="144"/>
      <c r="W80" s="144"/>
      <c r="X80" s="145"/>
      <c r="Y80" s="152" t="str">
        <f t="shared" si="29"/>
        <v xml:space="preserve">   20.46 </v>
      </c>
      <c r="Z80" s="136"/>
      <c r="AA80" s="50">
        <f t="shared" si="45"/>
        <v>60</v>
      </c>
      <c r="AB80" s="129">
        <f t="shared" si="46"/>
        <v>21375</v>
      </c>
      <c r="AC80" s="58" t="str">
        <f t="shared" si="30"/>
        <v/>
      </c>
      <c r="AD80" s="58" t="str">
        <f t="shared" si="31"/>
        <v>MU/A</v>
      </c>
      <c r="AE80" s="60">
        <f>IF(AD80="","",COUNTIF($AD$2:AD80,AD80))</f>
        <v>1</v>
      </c>
      <c r="AF80" s="62">
        <f>IF(AD80="","",SUMIF(AD$2:AD80,AD80,G$2:G80))</f>
        <v>75</v>
      </c>
      <c r="AG80" s="62" t="str">
        <f>IF(AK80&lt;&gt;"",COUNTIF($AK$1:AK79,AK80)+AK80,IF(AL80&lt;&gt;"",COUNTIF($AL$1:AL79,AL80)+AL80,""))</f>
        <v/>
      </c>
      <c r="AH80" s="62" t="str">
        <f t="shared" si="32"/>
        <v>U/A</v>
      </c>
      <c r="AI80" s="62" t="str">
        <f>IF(AND(J80="M", AH80&lt;&gt;"U/A",AE80=Prizewinners!$J$1),AF80,"")</f>
        <v/>
      </c>
      <c r="AJ80" s="58" t="str">
        <f>IF(AND(J80="F",  AH80&lt;&gt;"U/A",AE80=Prizewinners!$J$16),AF80,"")</f>
        <v/>
      </c>
      <c r="AK80" s="58" t="str">
        <f t="shared" si="33"/>
        <v/>
      </c>
      <c r="AL80" s="58" t="str">
        <f t="shared" si="34"/>
        <v/>
      </c>
      <c r="AM80" s="58" t="str">
        <f t="shared" si="35"/>
        <v>MU/A1</v>
      </c>
      <c r="AN80" s="58" t="str">
        <f t="shared" si="36"/>
        <v/>
      </c>
      <c r="AO80" s="58" t="str">
        <f t="shared" si="37"/>
        <v/>
      </c>
      <c r="AP80" s="58" t="str">
        <f t="shared" si="38"/>
        <v/>
      </c>
      <c r="AQ80" s="58" t="str">
        <f t="shared" si="39"/>
        <v>Adrain frost</v>
      </c>
    </row>
    <row r="81" spans="1:43" x14ac:dyDescent="0.25">
      <c r="A81" s="12" t="str">
        <f t="shared" si="25"/>
        <v>VM40,22</v>
      </c>
      <c r="B81" s="12" t="str">
        <f t="shared" si="26"/>
        <v>M,76</v>
      </c>
      <c r="C81" s="11">
        <f t="shared" si="47"/>
        <v>80</v>
      </c>
      <c r="D81" s="171">
        <v>103</v>
      </c>
      <c r="E81" s="12">
        <f t="shared" si="24"/>
        <v>1</v>
      </c>
      <c r="F81" s="12">
        <f>COUNTIF(H$2:H81,H81)</f>
        <v>22</v>
      </c>
      <c r="G81" s="12">
        <f>COUNTIF(J$2:J81,J81)</f>
        <v>76</v>
      </c>
      <c r="H81" s="12" t="str">
        <f t="shared" si="40"/>
        <v>VM40</v>
      </c>
      <c r="I81" s="50" t="str">
        <f t="shared" si="41"/>
        <v>VM40</v>
      </c>
      <c r="J81" s="50" t="str">
        <f t="shared" si="42"/>
        <v>M</v>
      </c>
      <c r="K81" s="64" t="str">
        <f t="shared" si="43"/>
        <v>Amit Marks</v>
      </c>
      <c r="L81" s="64" t="str">
        <f t="shared" si="44"/>
        <v>East London Runners</v>
      </c>
      <c r="M81" s="171">
        <v>0</v>
      </c>
      <c r="N81" s="178">
        <v>20</v>
      </c>
      <c r="O81" s="178">
        <v>46</v>
      </c>
      <c r="P81" s="138">
        <f t="shared" si="27"/>
        <v>0</v>
      </c>
      <c r="Q81" s="137">
        <f t="shared" si="28"/>
        <v>20</v>
      </c>
      <c r="R81" s="143"/>
      <c r="S81" s="143"/>
      <c r="T81" s="143"/>
      <c r="U81" s="144"/>
      <c r="V81" s="144"/>
      <c r="W81" s="144"/>
      <c r="X81" s="145"/>
      <c r="Y81" s="152" t="str">
        <f t="shared" si="29"/>
        <v xml:space="preserve">   20.46 </v>
      </c>
      <c r="Z81" s="136"/>
      <c r="AA81" s="50">
        <f t="shared" si="45"/>
        <v>41</v>
      </c>
      <c r="AB81" s="129">
        <f t="shared" si="46"/>
        <v>28054</v>
      </c>
      <c r="AC81" s="58" t="str">
        <f t="shared" si="30"/>
        <v/>
      </c>
      <c r="AD81" s="58" t="str">
        <f t="shared" si="31"/>
        <v>MEast London Runners</v>
      </c>
      <c r="AE81" s="60">
        <f>IF(AD81="","",COUNTIF($AD$2:AD81,AD81))</f>
        <v>28</v>
      </c>
      <c r="AF81" s="62">
        <f>IF(AD81="","",SUMIF(AD$2:AD81,AD81,G$2:G81))</f>
        <v>1120</v>
      </c>
      <c r="AG81" s="62" t="str">
        <f>IF(AK81&lt;&gt;"",COUNTIF($AK$1:AK80,AK81)+AK81,IF(AL81&lt;&gt;"",COUNTIF($AL$1:AL80,AL81)+AL81,""))</f>
        <v/>
      </c>
      <c r="AH81" s="62" t="str">
        <f t="shared" si="32"/>
        <v>East London Runners</v>
      </c>
      <c r="AI81" s="62" t="str">
        <f>IF(AND(J81="M", AH81&lt;&gt;"U/A",AE81=Prizewinners!$J$1),AF81,"")</f>
        <v/>
      </c>
      <c r="AJ81" s="58" t="str">
        <f>IF(AND(J81="F",  AH81&lt;&gt;"U/A",AE81=Prizewinners!$J$16),AF81,"")</f>
        <v/>
      </c>
      <c r="AK81" s="58" t="str">
        <f t="shared" si="33"/>
        <v/>
      </c>
      <c r="AL81" s="58" t="str">
        <f t="shared" si="34"/>
        <v/>
      </c>
      <c r="AM81" s="58" t="str">
        <f t="shared" si="35"/>
        <v>MEast London Runners28</v>
      </c>
      <c r="AN81" s="58" t="str">
        <f t="shared" si="36"/>
        <v/>
      </c>
      <c r="AO81" s="58" t="str">
        <f t="shared" si="37"/>
        <v/>
      </c>
      <c r="AP81" s="58" t="str">
        <f t="shared" si="38"/>
        <v/>
      </c>
      <c r="AQ81" s="58" t="str">
        <f t="shared" si="39"/>
        <v>Amit Marks</v>
      </c>
    </row>
    <row r="82" spans="1:43" x14ac:dyDescent="0.25">
      <c r="A82" s="12" t="str">
        <f t="shared" si="25"/>
        <v>VM40,23</v>
      </c>
      <c r="B82" s="12" t="str">
        <f t="shared" si="26"/>
        <v>M,77</v>
      </c>
      <c r="C82" s="11">
        <f t="shared" si="47"/>
        <v>81</v>
      </c>
      <c r="D82" s="171">
        <v>148</v>
      </c>
      <c r="E82" s="12">
        <f t="shared" si="24"/>
        <v>1</v>
      </c>
      <c r="F82" s="12">
        <f>COUNTIF(H$2:H82,H82)</f>
        <v>23</v>
      </c>
      <c r="G82" s="12">
        <f>COUNTIF(J$2:J82,J82)</f>
        <v>77</v>
      </c>
      <c r="H82" s="12" t="str">
        <f t="shared" si="40"/>
        <v>VM40</v>
      </c>
      <c r="I82" s="50" t="str">
        <f t="shared" si="41"/>
        <v>VM40</v>
      </c>
      <c r="J82" s="50" t="str">
        <f t="shared" si="42"/>
        <v>M</v>
      </c>
      <c r="K82" s="64" t="str">
        <f t="shared" si="43"/>
        <v>Barney Duly</v>
      </c>
      <c r="L82" s="64" t="str">
        <f t="shared" si="44"/>
        <v>U/A</v>
      </c>
      <c r="M82" s="171">
        <v>0</v>
      </c>
      <c r="N82" s="178">
        <v>20</v>
      </c>
      <c r="O82" s="178">
        <v>49</v>
      </c>
      <c r="P82" s="138">
        <f t="shared" si="27"/>
        <v>0</v>
      </c>
      <c r="Q82" s="137">
        <f t="shared" si="28"/>
        <v>20</v>
      </c>
      <c r="R82" s="143"/>
      <c r="S82" s="143"/>
      <c r="T82" s="143"/>
      <c r="U82" s="144"/>
      <c r="V82" s="144"/>
      <c r="W82" s="144"/>
      <c r="X82" s="145"/>
      <c r="Y82" s="152" t="str">
        <f t="shared" si="29"/>
        <v xml:space="preserve">   20.49 </v>
      </c>
      <c r="Z82" s="136"/>
      <c r="AA82" s="50">
        <f t="shared" si="45"/>
        <v>42</v>
      </c>
      <c r="AB82" s="129">
        <f t="shared" si="46"/>
        <v>27745</v>
      </c>
      <c r="AC82" s="58" t="str">
        <f t="shared" si="30"/>
        <v/>
      </c>
      <c r="AD82" s="58" t="str">
        <f t="shared" si="31"/>
        <v>MU/A</v>
      </c>
      <c r="AE82" s="60">
        <f>IF(AD82="","",COUNTIF($AD$2:AD82,AD82))</f>
        <v>2</v>
      </c>
      <c r="AF82" s="62">
        <f>IF(AD82="","",SUMIF(AD$2:AD82,AD82,G$2:G82))</f>
        <v>152</v>
      </c>
      <c r="AG82" s="62" t="str">
        <f>IF(AK82&lt;&gt;"",COUNTIF($AK$1:AK81,AK82)+AK82,IF(AL82&lt;&gt;"",COUNTIF($AL$1:AL81,AL82)+AL82,""))</f>
        <v/>
      </c>
      <c r="AH82" s="62" t="str">
        <f t="shared" si="32"/>
        <v>U/A</v>
      </c>
      <c r="AI82" s="62" t="str">
        <f>IF(AND(J82="M", AH82&lt;&gt;"U/A",AE82=Prizewinners!$J$1),AF82,"")</f>
        <v/>
      </c>
      <c r="AJ82" s="58" t="str">
        <f>IF(AND(J82="F",  AH82&lt;&gt;"U/A",AE82=Prizewinners!$J$16),AF82,"")</f>
        <v/>
      </c>
      <c r="AK82" s="58" t="str">
        <f t="shared" si="33"/>
        <v/>
      </c>
      <c r="AL82" s="58" t="str">
        <f t="shared" si="34"/>
        <v/>
      </c>
      <c r="AM82" s="58" t="str">
        <f t="shared" si="35"/>
        <v>MU/A2</v>
      </c>
      <c r="AN82" s="58" t="str">
        <f t="shared" si="36"/>
        <v/>
      </c>
      <c r="AO82" s="58" t="str">
        <f t="shared" si="37"/>
        <v/>
      </c>
      <c r="AP82" s="58" t="str">
        <f t="shared" si="38"/>
        <v/>
      </c>
      <c r="AQ82" s="58" t="str">
        <f t="shared" si="39"/>
        <v>Barney Duly</v>
      </c>
    </row>
    <row r="83" spans="1:43" x14ac:dyDescent="0.25">
      <c r="A83" s="12" t="str">
        <f t="shared" si="25"/>
        <v>VM40,24</v>
      </c>
      <c r="B83" s="12" t="str">
        <f t="shared" si="26"/>
        <v>M,78</v>
      </c>
      <c r="C83" s="11">
        <f t="shared" si="47"/>
        <v>82</v>
      </c>
      <c r="D83" s="171">
        <v>461</v>
      </c>
      <c r="E83" s="12">
        <f t="shared" si="24"/>
        <v>1</v>
      </c>
      <c r="F83" s="12">
        <f>COUNTIF(H$2:H83,H83)</f>
        <v>24</v>
      </c>
      <c r="G83" s="12">
        <f>COUNTIF(J$2:J83,J83)</f>
        <v>78</v>
      </c>
      <c r="H83" s="12" t="str">
        <f t="shared" si="40"/>
        <v>VM40</v>
      </c>
      <c r="I83" s="50" t="str">
        <f t="shared" si="41"/>
        <v>VM40</v>
      </c>
      <c r="J83" s="50" t="str">
        <f t="shared" si="42"/>
        <v>M</v>
      </c>
      <c r="K83" s="64" t="str">
        <f t="shared" si="43"/>
        <v>peter hatley</v>
      </c>
      <c r="L83" s="64" t="str">
        <f t="shared" si="44"/>
        <v>East London Runners</v>
      </c>
      <c r="M83" s="171">
        <v>0</v>
      </c>
      <c r="N83" s="178">
        <v>20</v>
      </c>
      <c r="O83" s="178">
        <v>50</v>
      </c>
      <c r="P83" s="138">
        <f t="shared" si="27"/>
        <v>0</v>
      </c>
      <c r="Q83" s="137">
        <f t="shared" si="28"/>
        <v>20</v>
      </c>
      <c r="R83" s="143"/>
      <c r="S83" s="143"/>
      <c r="T83" s="143"/>
      <c r="U83" s="144"/>
      <c r="V83" s="144"/>
      <c r="W83" s="144"/>
      <c r="X83" s="145"/>
      <c r="Y83" s="152" t="str">
        <f t="shared" si="29"/>
        <v xml:space="preserve">   20.50 </v>
      </c>
      <c r="Z83" s="136"/>
      <c r="AA83" s="50">
        <f t="shared" si="45"/>
        <v>44</v>
      </c>
      <c r="AB83" s="129">
        <f t="shared" si="46"/>
        <v>27164</v>
      </c>
      <c r="AC83" s="58" t="str">
        <f t="shared" si="30"/>
        <v/>
      </c>
      <c r="AD83" s="58" t="str">
        <f t="shared" si="31"/>
        <v>MEast London Runners</v>
      </c>
      <c r="AE83" s="60">
        <f>IF(AD83="","",COUNTIF($AD$2:AD83,AD83))</f>
        <v>29</v>
      </c>
      <c r="AF83" s="62">
        <f>IF(AD83="","",SUMIF(AD$2:AD83,AD83,G$2:G83))</f>
        <v>1198</v>
      </c>
      <c r="AG83" s="62" t="str">
        <f>IF(AK83&lt;&gt;"",COUNTIF($AK$1:AK82,AK83)+AK83,IF(AL83&lt;&gt;"",COUNTIF($AL$1:AL82,AL83)+AL83,""))</f>
        <v/>
      </c>
      <c r="AH83" s="62" t="str">
        <f t="shared" si="32"/>
        <v>East London Runners</v>
      </c>
      <c r="AI83" s="62" t="str">
        <f>IF(AND(J83="M", AH83&lt;&gt;"U/A",AE83=Prizewinners!$J$1),AF83,"")</f>
        <v/>
      </c>
      <c r="AJ83" s="58" t="str">
        <f>IF(AND(J83="F",  AH83&lt;&gt;"U/A",AE83=Prizewinners!$J$16),AF83,"")</f>
        <v/>
      </c>
      <c r="AK83" s="58" t="str">
        <f t="shared" si="33"/>
        <v/>
      </c>
      <c r="AL83" s="58" t="str">
        <f t="shared" si="34"/>
        <v/>
      </c>
      <c r="AM83" s="58" t="str">
        <f t="shared" si="35"/>
        <v>MEast London Runners29</v>
      </c>
      <c r="AN83" s="58" t="str">
        <f t="shared" si="36"/>
        <v/>
      </c>
      <c r="AO83" s="58" t="str">
        <f t="shared" si="37"/>
        <v/>
      </c>
      <c r="AP83" s="58" t="str">
        <f t="shared" si="38"/>
        <v/>
      </c>
      <c r="AQ83" s="58" t="str">
        <f t="shared" si="39"/>
        <v>peter hatley</v>
      </c>
    </row>
    <row r="84" spans="1:43" x14ac:dyDescent="0.25">
      <c r="A84" s="12" t="str">
        <f t="shared" si="25"/>
        <v>VF35,2</v>
      </c>
      <c r="B84" s="12" t="str">
        <f t="shared" si="26"/>
        <v>F,5</v>
      </c>
      <c r="C84" s="11">
        <f t="shared" si="47"/>
        <v>83</v>
      </c>
      <c r="D84" s="171">
        <v>420</v>
      </c>
      <c r="E84" s="12">
        <f t="shared" si="24"/>
        <v>1</v>
      </c>
      <c r="F84" s="12">
        <f>COUNTIF(H$2:H84,H84)</f>
        <v>2</v>
      </c>
      <c r="G84" s="12">
        <f>COUNTIF(J$2:J84,J84)</f>
        <v>5</v>
      </c>
      <c r="H84" s="12" t="str">
        <f t="shared" si="40"/>
        <v>VF35</v>
      </c>
      <c r="I84" s="50" t="str">
        <f t="shared" si="41"/>
        <v>VF35</v>
      </c>
      <c r="J84" s="50" t="str">
        <f t="shared" si="42"/>
        <v>F</v>
      </c>
      <c r="K84" s="64" t="str">
        <f t="shared" si="43"/>
        <v>Caroline Frith</v>
      </c>
      <c r="L84" s="64" t="str">
        <f t="shared" si="44"/>
        <v>East London Runners</v>
      </c>
      <c r="M84" s="171">
        <v>0</v>
      </c>
      <c r="N84" s="178">
        <v>20</v>
      </c>
      <c r="O84" s="178">
        <v>51</v>
      </c>
      <c r="P84" s="138">
        <f t="shared" si="27"/>
        <v>0</v>
      </c>
      <c r="Q84" s="137">
        <f t="shared" si="28"/>
        <v>20</v>
      </c>
      <c r="R84" s="143"/>
      <c r="S84" s="143"/>
      <c r="T84" s="143"/>
      <c r="U84" s="144"/>
      <c r="V84" s="144"/>
      <c r="W84" s="144"/>
      <c r="X84" s="145"/>
      <c r="Y84" s="152" t="str">
        <f t="shared" si="29"/>
        <v xml:space="preserve">   20.51 </v>
      </c>
      <c r="Z84" s="136"/>
      <c r="AA84" s="50">
        <f t="shared" si="45"/>
        <v>40</v>
      </c>
      <c r="AB84" s="129">
        <f t="shared" si="46"/>
        <v>28378</v>
      </c>
      <c r="AC84" s="58" t="str">
        <f t="shared" si="30"/>
        <v/>
      </c>
      <c r="AD84" s="58" t="str">
        <f t="shared" si="31"/>
        <v>FEast London Runners</v>
      </c>
      <c r="AE84" s="60">
        <f>IF(AD84="","",COUNTIF($AD$2:AD84,AD84))</f>
        <v>2</v>
      </c>
      <c r="AF84" s="62">
        <f>IF(AD84="","",SUMIF(AD$2:AD84,AD84,G$2:G84))</f>
        <v>8</v>
      </c>
      <c r="AG84" s="62" t="str">
        <f>IF(AK84&lt;&gt;"",COUNTIF($AK$1:AK83,AK84)+AK84,IF(AL84&lt;&gt;"",COUNTIF($AL$1:AL83,AL84)+AL84,""))</f>
        <v/>
      </c>
      <c r="AH84" s="62" t="str">
        <f t="shared" si="32"/>
        <v>East London Runners</v>
      </c>
      <c r="AI84" s="62" t="str">
        <f>IF(AND(J84="M", AH84&lt;&gt;"U/A",AE84=Prizewinners!$J$1),AF84,"")</f>
        <v/>
      </c>
      <c r="AJ84" s="58" t="str">
        <f>IF(AND(J84="F",  AH84&lt;&gt;"U/A",AE84=Prizewinners!$J$16),AF84,"")</f>
        <v/>
      </c>
      <c r="AK84" s="58" t="str">
        <f t="shared" si="33"/>
        <v/>
      </c>
      <c r="AL84" s="58" t="str">
        <f t="shared" si="34"/>
        <v/>
      </c>
      <c r="AM84" s="58" t="str">
        <f t="shared" si="35"/>
        <v>FEast London Runners2</v>
      </c>
      <c r="AN84" s="58" t="str">
        <f t="shared" si="36"/>
        <v/>
      </c>
      <c r="AO84" s="58" t="str">
        <f t="shared" si="37"/>
        <v/>
      </c>
      <c r="AP84" s="58" t="str">
        <f t="shared" si="38"/>
        <v/>
      </c>
      <c r="AQ84" s="58" t="str">
        <f t="shared" si="39"/>
        <v>Caroline Frith</v>
      </c>
    </row>
    <row r="85" spans="1:43" x14ac:dyDescent="0.25">
      <c r="A85" s="12" t="str">
        <f t="shared" si="25"/>
        <v>VM50,9</v>
      </c>
      <c r="B85" s="12" t="str">
        <f t="shared" si="26"/>
        <v>M,79</v>
      </c>
      <c r="C85" s="11">
        <f t="shared" si="47"/>
        <v>84</v>
      </c>
      <c r="D85" s="171">
        <v>38</v>
      </c>
      <c r="E85" s="12">
        <f t="shared" si="24"/>
        <v>1</v>
      </c>
      <c r="F85" s="12">
        <f>COUNTIF(H$2:H85,H85)</f>
        <v>9</v>
      </c>
      <c r="G85" s="12">
        <f>COUNTIF(J$2:J85,J85)</f>
        <v>79</v>
      </c>
      <c r="H85" s="12" t="str">
        <f t="shared" si="40"/>
        <v>VM50</v>
      </c>
      <c r="I85" s="50" t="str">
        <f t="shared" si="41"/>
        <v>VM50</v>
      </c>
      <c r="J85" s="50" t="str">
        <f t="shared" si="42"/>
        <v>M</v>
      </c>
      <c r="K85" s="64" t="str">
        <f t="shared" si="43"/>
        <v>Roger Stubbs</v>
      </c>
      <c r="L85" s="64" t="str">
        <f t="shared" si="44"/>
        <v>East London Runners</v>
      </c>
      <c r="M85" s="171">
        <v>0</v>
      </c>
      <c r="N85" s="178">
        <v>20</v>
      </c>
      <c r="O85" s="178">
        <v>52</v>
      </c>
      <c r="P85" s="138">
        <f t="shared" si="27"/>
        <v>0</v>
      </c>
      <c r="Q85" s="137">
        <f t="shared" si="28"/>
        <v>20</v>
      </c>
      <c r="R85" s="143"/>
      <c r="S85" s="143"/>
      <c r="T85" s="143"/>
      <c r="U85" s="144"/>
      <c r="V85" s="144"/>
      <c r="W85" s="144"/>
      <c r="X85" s="145"/>
      <c r="Y85" s="152" t="str">
        <f t="shared" si="29"/>
        <v xml:space="preserve">   20.52 </v>
      </c>
      <c r="Z85" s="136"/>
      <c r="AA85" s="50">
        <f t="shared" si="45"/>
        <v>56</v>
      </c>
      <c r="AB85" s="129">
        <f t="shared" si="46"/>
        <v>22767</v>
      </c>
      <c r="AC85" s="58" t="str">
        <f t="shared" si="30"/>
        <v/>
      </c>
      <c r="AD85" s="58" t="str">
        <f t="shared" si="31"/>
        <v>MEast London Runners</v>
      </c>
      <c r="AE85" s="60">
        <f>IF(AD85="","",COUNTIF($AD$2:AD85,AD85))</f>
        <v>30</v>
      </c>
      <c r="AF85" s="62">
        <f>IF(AD85="","",SUMIF(AD$2:AD85,AD85,G$2:G85))</f>
        <v>1277</v>
      </c>
      <c r="AG85" s="62" t="str">
        <f>IF(AK85&lt;&gt;"",COUNTIF($AK$1:AK84,AK85)+AK85,IF(AL85&lt;&gt;"",COUNTIF($AL$1:AL84,AL85)+AL85,""))</f>
        <v/>
      </c>
      <c r="AH85" s="62" t="str">
        <f t="shared" si="32"/>
        <v>East London Runners</v>
      </c>
      <c r="AI85" s="62" t="str">
        <f>IF(AND(J85="M", AH85&lt;&gt;"U/A",AE85=Prizewinners!$J$1),AF85,"")</f>
        <v/>
      </c>
      <c r="AJ85" s="58" t="str">
        <f>IF(AND(J85="F",  AH85&lt;&gt;"U/A",AE85=Prizewinners!$J$16),AF85,"")</f>
        <v/>
      </c>
      <c r="AK85" s="58" t="str">
        <f t="shared" si="33"/>
        <v/>
      </c>
      <c r="AL85" s="58" t="str">
        <f t="shared" si="34"/>
        <v/>
      </c>
      <c r="AM85" s="58" t="str">
        <f t="shared" si="35"/>
        <v>MEast London Runners30</v>
      </c>
      <c r="AN85" s="58" t="str">
        <f t="shared" si="36"/>
        <v/>
      </c>
      <c r="AO85" s="58" t="str">
        <f t="shared" si="37"/>
        <v/>
      </c>
      <c r="AP85" s="58" t="str">
        <f t="shared" si="38"/>
        <v/>
      </c>
      <c r="AQ85" s="58" t="str">
        <f t="shared" si="39"/>
        <v>Roger Stubbs</v>
      </c>
    </row>
    <row r="86" spans="1:43" x14ac:dyDescent="0.25">
      <c r="A86" s="12" t="str">
        <f t="shared" si="25"/>
        <v>SF,1</v>
      </c>
      <c r="B86" s="12" t="str">
        <f t="shared" si="26"/>
        <v>F,6</v>
      </c>
      <c r="C86" s="11">
        <f t="shared" si="47"/>
        <v>85</v>
      </c>
      <c r="D86" s="171">
        <v>50</v>
      </c>
      <c r="E86" s="12">
        <f t="shared" si="24"/>
        <v>1</v>
      </c>
      <c r="F86" s="12">
        <f>COUNTIF(H$2:H86,H86)</f>
        <v>1</v>
      </c>
      <c r="G86" s="12">
        <f>COUNTIF(J$2:J86,J86)</f>
        <v>6</v>
      </c>
      <c r="H86" s="12" t="str">
        <f t="shared" si="40"/>
        <v>SF</v>
      </c>
      <c r="I86" s="50" t="str">
        <f t="shared" si="41"/>
        <v>SF</v>
      </c>
      <c r="J86" s="50" t="str">
        <f t="shared" si="42"/>
        <v>F</v>
      </c>
      <c r="K86" s="64" t="str">
        <f t="shared" si="43"/>
        <v>emily clarke</v>
      </c>
      <c r="L86" s="64" t="str">
        <f t="shared" si="44"/>
        <v>east london runners</v>
      </c>
      <c r="M86" s="171">
        <v>0</v>
      </c>
      <c r="N86" s="178">
        <v>20</v>
      </c>
      <c r="O86" s="178">
        <v>52</v>
      </c>
      <c r="P86" s="138">
        <f t="shared" si="27"/>
        <v>0</v>
      </c>
      <c r="Q86" s="137">
        <f t="shared" si="28"/>
        <v>20</v>
      </c>
      <c r="R86" s="143"/>
      <c r="S86" s="143"/>
      <c r="T86" s="143"/>
      <c r="U86" s="144"/>
      <c r="V86" s="144"/>
      <c r="W86" s="144"/>
      <c r="X86" s="145"/>
      <c r="Y86" s="152" t="str">
        <f t="shared" si="29"/>
        <v xml:space="preserve">   20.52 </v>
      </c>
      <c r="Z86" s="136"/>
      <c r="AA86" s="50">
        <f t="shared" si="45"/>
        <v>34</v>
      </c>
      <c r="AB86" s="129">
        <f t="shared" si="46"/>
        <v>30885</v>
      </c>
      <c r="AC86" s="58" t="str">
        <f t="shared" si="30"/>
        <v>F1</v>
      </c>
      <c r="AD86" s="58" t="str">
        <f t="shared" si="31"/>
        <v>Feast london runners</v>
      </c>
      <c r="AE86" s="60">
        <f>IF(AD86="","",COUNTIF($AD$2:AD86,AD86))</f>
        <v>3</v>
      </c>
      <c r="AF86" s="62">
        <f>IF(AD86="","",SUMIF(AD$2:AD86,AD86,G$2:G86))</f>
        <v>14</v>
      </c>
      <c r="AG86" s="62">
        <f>IF(AK86&lt;&gt;"",COUNTIF($AK$1:AK85,AK86)+AK86,IF(AL86&lt;&gt;"",COUNTIF($AL$1:AL85,AL86)+AL86,""))</f>
        <v>1</v>
      </c>
      <c r="AH86" s="62" t="str">
        <f t="shared" si="32"/>
        <v>east london runners</v>
      </c>
      <c r="AI86" s="62" t="str">
        <f>IF(AND(J86="M", AH86&lt;&gt;"U/A",AE86=Prizewinners!$J$1),AF86,"")</f>
        <v/>
      </c>
      <c r="AJ86" s="58">
        <f>IF(AND(J86="F",  AH86&lt;&gt;"U/A",AE86=Prizewinners!$J$16),AF86,"")</f>
        <v>14</v>
      </c>
      <c r="AK86" s="58" t="str">
        <f t="shared" si="33"/>
        <v/>
      </c>
      <c r="AL86" s="58">
        <f t="shared" si="34"/>
        <v>1</v>
      </c>
      <c r="AM86" s="58" t="str">
        <f t="shared" si="35"/>
        <v>Feast london runners3</v>
      </c>
      <c r="AN86" s="58" t="str">
        <f t="shared" si="36"/>
        <v>Zoila Gilham-Fernandez</v>
      </c>
      <c r="AO86" s="58" t="str">
        <f t="shared" si="37"/>
        <v>Caroline Frith</v>
      </c>
      <c r="AP86" s="58" t="str">
        <f t="shared" si="38"/>
        <v>emily clarke</v>
      </c>
      <c r="AQ86" s="58" t="str">
        <f t="shared" si="39"/>
        <v>emily clarke</v>
      </c>
    </row>
    <row r="87" spans="1:43" x14ac:dyDescent="0.25">
      <c r="A87" s="12" t="str">
        <f t="shared" si="25"/>
        <v>VM40,25</v>
      </c>
      <c r="B87" s="12" t="str">
        <f t="shared" si="26"/>
        <v>M,80</v>
      </c>
      <c r="C87" s="11">
        <f t="shared" si="47"/>
        <v>86</v>
      </c>
      <c r="D87" s="171">
        <v>117</v>
      </c>
      <c r="E87" s="12">
        <f t="shared" si="24"/>
        <v>1</v>
      </c>
      <c r="F87" s="12">
        <f>COUNTIF(H$2:H87,H87)</f>
        <v>25</v>
      </c>
      <c r="G87" s="12">
        <f>COUNTIF(J$2:J87,J87)</f>
        <v>80</v>
      </c>
      <c r="H87" s="12" t="str">
        <f t="shared" si="40"/>
        <v>VM40</v>
      </c>
      <c r="I87" s="50" t="str">
        <f t="shared" si="41"/>
        <v>VM40</v>
      </c>
      <c r="J87" s="50" t="str">
        <f t="shared" si="42"/>
        <v>M</v>
      </c>
      <c r="K87" s="64" t="str">
        <f t="shared" si="43"/>
        <v>Bradley Brown</v>
      </c>
      <c r="L87" s="64" t="str">
        <f t="shared" si="44"/>
        <v>Ilford AC</v>
      </c>
      <c r="M87" s="171">
        <v>0</v>
      </c>
      <c r="N87" s="178">
        <v>20</v>
      </c>
      <c r="O87" s="178">
        <v>56</v>
      </c>
      <c r="P87" s="138">
        <f t="shared" si="27"/>
        <v>0</v>
      </c>
      <c r="Q87" s="137">
        <f t="shared" si="28"/>
        <v>20</v>
      </c>
      <c r="R87" s="143"/>
      <c r="S87" s="143"/>
      <c r="T87" s="143"/>
      <c r="U87" s="144"/>
      <c r="V87" s="144"/>
      <c r="W87" s="144"/>
      <c r="X87" s="145"/>
      <c r="Y87" s="152" t="str">
        <f t="shared" si="29"/>
        <v xml:space="preserve">   20.56 </v>
      </c>
      <c r="Z87" s="136"/>
      <c r="AA87" s="50">
        <f t="shared" si="45"/>
        <v>45</v>
      </c>
      <c r="AB87" s="129">
        <f t="shared" si="46"/>
        <v>26763</v>
      </c>
      <c r="AC87" s="58" t="str">
        <f t="shared" si="30"/>
        <v/>
      </c>
      <c r="AD87" s="58" t="str">
        <f t="shared" si="31"/>
        <v>MIlford AC</v>
      </c>
      <c r="AE87" s="60">
        <f>IF(AD87="","",COUNTIF($AD$2:AD87,AD87))</f>
        <v>12</v>
      </c>
      <c r="AF87" s="62">
        <f>IF(AD87="","",SUMIF(AD$2:AD87,AD87,G$2:G87))</f>
        <v>351</v>
      </c>
      <c r="AG87" s="62" t="str">
        <f>IF(AK87&lt;&gt;"",COUNTIF($AK$1:AK86,AK87)+AK87,IF(AL87&lt;&gt;"",COUNTIF($AL$1:AL86,AL87)+AL87,""))</f>
        <v/>
      </c>
      <c r="AH87" s="62" t="str">
        <f t="shared" si="32"/>
        <v>Ilford AC</v>
      </c>
      <c r="AI87" s="62" t="str">
        <f>IF(AND(J87="M", AH87&lt;&gt;"U/A",AE87=Prizewinners!$J$1),AF87,"")</f>
        <v/>
      </c>
      <c r="AJ87" s="58" t="str">
        <f>IF(AND(J87="F",  AH87&lt;&gt;"U/A",AE87=Prizewinners!$J$16),AF87,"")</f>
        <v/>
      </c>
      <c r="AK87" s="58" t="str">
        <f t="shared" si="33"/>
        <v/>
      </c>
      <c r="AL87" s="58" t="str">
        <f t="shared" si="34"/>
        <v/>
      </c>
      <c r="AM87" s="58" t="str">
        <f t="shared" si="35"/>
        <v>MIlford AC12</v>
      </c>
      <c r="AN87" s="58" t="str">
        <f t="shared" si="36"/>
        <v/>
      </c>
      <c r="AO87" s="58" t="str">
        <f t="shared" si="37"/>
        <v/>
      </c>
      <c r="AP87" s="58" t="str">
        <f t="shared" si="38"/>
        <v/>
      </c>
      <c r="AQ87" s="58" t="str">
        <f t="shared" si="39"/>
        <v>Bradley Brown</v>
      </c>
    </row>
    <row r="88" spans="1:43" x14ac:dyDescent="0.25">
      <c r="A88" s="12" t="str">
        <f t="shared" si="25"/>
        <v>VM40,26</v>
      </c>
      <c r="B88" s="12" t="str">
        <f t="shared" si="26"/>
        <v>M,81</v>
      </c>
      <c r="C88" s="11">
        <f t="shared" si="47"/>
        <v>87</v>
      </c>
      <c r="D88" s="171">
        <v>58</v>
      </c>
      <c r="E88" s="12">
        <f t="shared" si="24"/>
        <v>1</v>
      </c>
      <c r="F88" s="12">
        <f>COUNTIF(H$2:H88,H88)</f>
        <v>26</v>
      </c>
      <c r="G88" s="12">
        <f>COUNTIF(J$2:J88,J88)</f>
        <v>81</v>
      </c>
      <c r="H88" s="12" t="str">
        <f t="shared" si="40"/>
        <v>VM40</v>
      </c>
      <c r="I88" s="50" t="str">
        <f t="shared" si="41"/>
        <v>VM40</v>
      </c>
      <c r="J88" s="50" t="str">
        <f t="shared" si="42"/>
        <v>M</v>
      </c>
      <c r="K88" s="64" t="str">
        <f t="shared" si="43"/>
        <v>Luvvie Darling</v>
      </c>
      <c r="L88" s="64" t="str">
        <f t="shared" si="44"/>
        <v>RaDA</v>
      </c>
      <c r="M88" s="171">
        <v>0</v>
      </c>
      <c r="N88" s="178">
        <v>20</v>
      </c>
      <c r="O88" s="178">
        <v>57</v>
      </c>
      <c r="P88" s="138">
        <f t="shared" si="27"/>
        <v>0</v>
      </c>
      <c r="Q88" s="137">
        <f t="shared" si="28"/>
        <v>20</v>
      </c>
      <c r="R88" s="143"/>
      <c r="S88" s="143"/>
      <c r="T88" s="143"/>
      <c r="U88" s="144"/>
      <c r="V88" s="144"/>
      <c r="W88" s="144"/>
      <c r="X88" s="145"/>
      <c r="Y88" s="152" t="str">
        <f t="shared" si="29"/>
        <v xml:space="preserve">   20.57 </v>
      </c>
      <c r="Z88" s="136"/>
      <c r="AA88" s="50">
        <f t="shared" si="45"/>
        <v>47</v>
      </c>
      <c r="AB88" s="129">
        <f t="shared" si="46"/>
        <v>26153</v>
      </c>
      <c r="AC88" s="58" t="str">
        <f t="shared" si="30"/>
        <v/>
      </c>
      <c r="AD88" s="58" t="str">
        <f t="shared" si="31"/>
        <v>MRaDA</v>
      </c>
      <c r="AE88" s="60">
        <f>IF(AD88="","",COUNTIF($AD$2:AD88,AD88))</f>
        <v>1</v>
      </c>
      <c r="AF88" s="62">
        <f>IF(AD88="","",SUMIF(AD$2:AD88,AD88,G$2:G88))</f>
        <v>81</v>
      </c>
      <c r="AG88" s="62" t="str">
        <f>IF(AK88&lt;&gt;"",COUNTIF($AK$1:AK87,AK88)+AK88,IF(AL88&lt;&gt;"",COUNTIF($AL$1:AL87,AL88)+AL88,""))</f>
        <v/>
      </c>
      <c r="AH88" s="62" t="str">
        <f t="shared" si="32"/>
        <v>RaDA</v>
      </c>
      <c r="AI88" s="62" t="str">
        <f>IF(AND(J88="M", AH88&lt;&gt;"U/A",AE88=Prizewinners!$J$1),AF88,"")</f>
        <v/>
      </c>
      <c r="AJ88" s="58" t="str">
        <f>IF(AND(J88="F",  AH88&lt;&gt;"U/A",AE88=Prizewinners!$J$16),AF88,"")</f>
        <v/>
      </c>
      <c r="AK88" s="58" t="str">
        <f t="shared" si="33"/>
        <v/>
      </c>
      <c r="AL88" s="58" t="str">
        <f t="shared" si="34"/>
        <v/>
      </c>
      <c r="AM88" s="58" t="str">
        <f t="shared" si="35"/>
        <v>MRaDA1</v>
      </c>
      <c r="AN88" s="58" t="str">
        <f t="shared" si="36"/>
        <v/>
      </c>
      <c r="AO88" s="58" t="str">
        <f t="shared" si="37"/>
        <v/>
      </c>
      <c r="AP88" s="58" t="str">
        <f t="shared" si="38"/>
        <v/>
      </c>
      <c r="AQ88" s="58" t="str">
        <f t="shared" si="39"/>
        <v>Luvvie Darling</v>
      </c>
    </row>
    <row r="89" spans="1:43" x14ac:dyDescent="0.25">
      <c r="A89" s="12" t="str">
        <f t="shared" si="25"/>
        <v>SM,40</v>
      </c>
      <c r="B89" s="12" t="str">
        <f t="shared" si="26"/>
        <v>M,82</v>
      </c>
      <c r="C89" s="11">
        <f t="shared" si="47"/>
        <v>88</v>
      </c>
      <c r="D89" s="171">
        <v>146</v>
      </c>
      <c r="E89" s="12">
        <f t="shared" si="24"/>
        <v>1</v>
      </c>
      <c r="F89" s="12">
        <f>COUNTIF(H$2:H89,H89)</f>
        <v>40</v>
      </c>
      <c r="G89" s="12">
        <f>COUNTIF(J$2:J89,J89)</f>
        <v>82</v>
      </c>
      <c r="H89" s="12" t="str">
        <f t="shared" si="40"/>
        <v>SM</v>
      </c>
      <c r="I89" s="50" t="str">
        <f t="shared" si="41"/>
        <v>SM</v>
      </c>
      <c r="J89" s="50" t="str">
        <f t="shared" si="42"/>
        <v>M</v>
      </c>
      <c r="K89" s="64" t="str">
        <f t="shared" si="43"/>
        <v>Jeff Webster</v>
      </c>
      <c r="L89" s="64" t="str">
        <f t="shared" si="44"/>
        <v>Dagenham 88 Runners</v>
      </c>
      <c r="M89" s="171">
        <v>0</v>
      </c>
      <c r="N89" s="178">
        <v>21</v>
      </c>
      <c r="O89" s="178">
        <v>0</v>
      </c>
      <c r="P89" s="138">
        <f t="shared" si="27"/>
        <v>0</v>
      </c>
      <c r="Q89" s="137">
        <f t="shared" si="28"/>
        <v>21</v>
      </c>
      <c r="R89" s="143"/>
      <c r="S89" s="143"/>
      <c r="T89" s="143"/>
      <c r="U89" s="144"/>
      <c r="V89" s="144"/>
      <c r="W89" s="144"/>
      <c r="X89" s="145"/>
      <c r="Y89" s="152" t="str">
        <f t="shared" si="29"/>
        <v xml:space="preserve">   21.00 </v>
      </c>
      <c r="Z89" s="136"/>
      <c r="AA89" s="50">
        <f t="shared" si="45"/>
        <v>27</v>
      </c>
      <c r="AB89" s="129">
        <f t="shared" si="46"/>
        <v>33331</v>
      </c>
      <c r="AC89" s="58" t="str">
        <f t="shared" si="30"/>
        <v/>
      </c>
      <c r="AD89" s="58" t="str">
        <f t="shared" si="31"/>
        <v>MDagenham 88 Runners</v>
      </c>
      <c r="AE89" s="60">
        <f>IF(AD89="","",COUNTIF($AD$2:AD89,AD89))</f>
        <v>2</v>
      </c>
      <c r="AF89" s="62">
        <f>IF(AD89="","",SUMIF(AD$2:AD89,AD89,G$2:G89))</f>
        <v>128</v>
      </c>
      <c r="AG89" s="62" t="str">
        <f>IF(AK89&lt;&gt;"",COUNTIF($AK$1:AK88,AK89)+AK89,IF(AL89&lt;&gt;"",COUNTIF($AL$1:AL88,AL89)+AL89,""))</f>
        <v/>
      </c>
      <c r="AH89" s="62" t="str">
        <f t="shared" si="32"/>
        <v>Dagenham 88 Runners</v>
      </c>
      <c r="AI89" s="62" t="str">
        <f>IF(AND(J89="M", AH89&lt;&gt;"U/A",AE89=Prizewinners!$J$1),AF89,"")</f>
        <v/>
      </c>
      <c r="AJ89" s="58" t="str">
        <f>IF(AND(J89="F",  AH89&lt;&gt;"U/A",AE89=Prizewinners!$J$16),AF89,"")</f>
        <v/>
      </c>
      <c r="AK89" s="58" t="str">
        <f t="shared" si="33"/>
        <v/>
      </c>
      <c r="AL89" s="58" t="str">
        <f t="shared" si="34"/>
        <v/>
      </c>
      <c r="AM89" s="58" t="str">
        <f t="shared" si="35"/>
        <v>MDagenham 88 Runners2</v>
      </c>
      <c r="AN89" s="58" t="str">
        <f t="shared" si="36"/>
        <v/>
      </c>
      <c r="AO89" s="58" t="str">
        <f t="shared" si="37"/>
        <v/>
      </c>
      <c r="AP89" s="58" t="str">
        <f t="shared" si="38"/>
        <v/>
      </c>
      <c r="AQ89" s="58" t="str">
        <f t="shared" si="39"/>
        <v>Jeff Webster</v>
      </c>
    </row>
    <row r="90" spans="1:43" x14ac:dyDescent="0.25">
      <c r="A90" s="12" t="str">
        <f t="shared" si="25"/>
        <v>VM50,10</v>
      </c>
      <c r="B90" s="12" t="str">
        <f t="shared" si="26"/>
        <v>M,83</v>
      </c>
      <c r="C90" s="11">
        <f t="shared" si="47"/>
        <v>89</v>
      </c>
      <c r="D90" s="171">
        <v>66</v>
      </c>
      <c r="E90" s="12">
        <f t="shared" si="24"/>
        <v>1</v>
      </c>
      <c r="F90" s="12">
        <f>COUNTIF(H$2:H90,H90)</f>
        <v>10</v>
      </c>
      <c r="G90" s="12">
        <f>COUNTIF(J$2:J90,J90)</f>
        <v>83</v>
      </c>
      <c r="H90" s="12" t="str">
        <f t="shared" si="40"/>
        <v>VM50</v>
      </c>
      <c r="I90" s="50" t="str">
        <f t="shared" si="41"/>
        <v>VM50</v>
      </c>
      <c r="J90" s="50" t="str">
        <f t="shared" si="42"/>
        <v>M</v>
      </c>
      <c r="K90" s="64" t="str">
        <f t="shared" si="43"/>
        <v>Dougie Barber</v>
      </c>
      <c r="L90" s="64" t="str">
        <f t="shared" si="44"/>
        <v>Coltishall Jaguars RC</v>
      </c>
      <c r="M90" s="171">
        <v>0</v>
      </c>
      <c r="N90" s="178">
        <v>21</v>
      </c>
      <c r="O90" s="178">
        <v>4</v>
      </c>
      <c r="P90" s="138">
        <f t="shared" si="27"/>
        <v>0</v>
      </c>
      <c r="Q90" s="137">
        <f t="shared" si="28"/>
        <v>21</v>
      </c>
      <c r="R90" s="143"/>
      <c r="S90" s="143"/>
      <c r="T90" s="143"/>
      <c r="U90" s="144"/>
      <c r="V90" s="144"/>
      <c r="W90" s="144"/>
      <c r="X90" s="145"/>
      <c r="Y90" s="152" t="str">
        <f t="shared" si="29"/>
        <v xml:space="preserve">   21.04 </v>
      </c>
      <c r="Z90" s="136"/>
      <c r="AA90" s="50">
        <f t="shared" si="45"/>
        <v>56</v>
      </c>
      <c r="AB90" s="129">
        <f t="shared" si="46"/>
        <v>22540</v>
      </c>
      <c r="AC90" s="58" t="str">
        <f t="shared" si="30"/>
        <v/>
      </c>
      <c r="AD90" s="58" t="str">
        <f t="shared" si="31"/>
        <v>MColtishall Jaguars RC</v>
      </c>
      <c r="AE90" s="60">
        <f>IF(AD90="","",COUNTIF($AD$2:AD90,AD90))</f>
        <v>1</v>
      </c>
      <c r="AF90" s="62">
        <f>IF(AD90="","",SUMIF(AD$2:AD90,AD90,G$2:G90))</f>
        <v>83</v>
      </c>
      <c r="AG90" s="62" t="str">
        <f>IF(AK90&lt;&gt;"",COUNTIF($AK$1:AK89,AK90)+AK90,IF(AL90&lt;&gt;"",COUNTIF($AL$1:AL89,AL90)+AL90,""))</f>
        <v/>
      </c>
      <c r="AH90" s="62" t="str">
        <f t="shared" si="32"/>
        <v>Coltishall Jaguars RC</v>
      </c>
      <c r="AI90" s="62" t="str">
        <f>IF(AND(J90="M", AH90&lt;&gt;"U/A",AE90=Prizewinners!$J$1),AF90,"")</f>
        <v/>
      </c>
      <c r="AJ90" s="58" t="str">
        <f>IF(AND(J90="F",  AH90&lt;&gt;"U/A",AE90=Prizewinners!$J$16),AF90,"")</f>
        <v/>
      </c>
      <c r="AK90" s="58" t="str">
        <f t="shared" si="33"/>
        <v/>
      </c>
      <c r="AL90" s="58" t="str">
        <f t="shared" si="34"/>
        <v/>
      </c>
      <c r="AM90" s="58" t="str">
        <f t="shared" si="35"/>
        <v>MColtishall Jaguars RC1</v>
      </c>
      <c r="AN90" s="58" t="str">
        <f t="shared" si="36"/>
        <v/>
      </c>
      <c r="AO90" s="58" t="str">
        <f t="shared" si="37"/>
        <v/>
      </c>
      <c r="AP90" s="58" t="str">
        <f t="shared" si="38"/>
        <v/>
      </c>
      <c r="AQ90" s="58" t="str">
        <f t="shared" si="39"/>
        <v>Dougie Barber</v>
      </c>
    </row>
    <row r="91" spans="1:43" x14ac:dyDescent="0.25">
      <c r="A91" s="12" t="str">
        <f t="shared" si="25"/>
        <v>VM40,27</v>
      </c>
      <c r="B91" s="12" t="str">
        <f t="shared" si="26"/>
        <v>M,84</v>
      </c>
      <c r="C91" s="11">
        <f t="shared" si="47"/>
        <v>90</v>
      </c>
      <c r="D91" s="171">
        <v>111</v>
      </c>
      <c r="E91" s="12">
        <f t="shared" si="24"/>
        <v>1</v>
      </c>
      <c r="F91" s="12">
        <f>COUNTIF(H$2:H91,H91)</f>
        <v>27</v>
      </c>
      <c r="G91" s="12">
        <f>COUNTIF(J$2:J91,J91)</f>
        <v>84</v>
      </c>
      <c r="H91" s="12" t="str">
        <f t="shared" si="40"/>
        <v>VM40</v>
      </c>
      <c r="I91" s="50" t="str">
        <f t="shared" si="41"/>
        <v>VM40</v>
      </c>
      <c r="J91" s="50" t="str">
        <f t="shared" si="42"/>
        <v>M</v>
      </c>
      <c r="K91" s="64" t="str">
        <f t="shared" si="43"/>
        <v>Stephen Bennett</v>
      </c>
      <c r="L91" s="64" t="str">
        <f t="shared" si="44"/>
        <v>Orion Harriers</v>
      </c>
      <c r="M91" s="171">
        <v>0</v>
      </c>
      <c r="N91" s="178">
        <v>21</v>
      </c>
      <c r="O91" s="178">
        <v>12</v>
      </c>
      <c r="P91" s="138">
        <f t="shared" si="27"/>
        <v>0</v>
      </c>
      <c r="Q91" s="137">
        <f t="shared" si="28"/>
        <v>21</v>
      </c>
      <c r="R91" s="143"/>
      <c r="S91" s="143"/>
      <c r="T91" s="143"/>
      <c r="U91" s="144"/>
      <c r="V91" s="144"/>
      <c r="W91" s="144"/>
      <c r="X91" s="145"/>
      <c r="Y91" s="152" t="str">
        <f t="shared" si="29"/>
        <v xml:space="preserve">   21.12 </v>
      </c>
      <c r="Z91" s="136"/>
      <c r="AA91" s="50">
        <f t="shared" si="45"/>
        <v>47</v>
      </c>
      <c r="AB91" s="129">
        <f t="shared" si="46"/>
        <v>25829</v>
      </c>
      <c r="AC91" s="58" t="str">
        <f t="shared" si="30"/>
        <v/>
      </c>
      <c r="AD91" s="58" t="str">
        <f t="shared" si="31"/>
        <v>MOrion Harriers</v>
      </c>
      <c r="AE91" s="60">
        <f>IF(AD91="","",COUNTIF($AD$2:AD91,AD91))</f>
        <v>6</v>
      </c>
      <c r="AF91" s="62">
        <f>IF(AD91="","",SUMIF(AD$2:AD91,AD91,G$2:G91))</f>
        <v>347</v>
      </c>
      <c r="AG91" s="62" t="str">
        <f>IF(AK91&lt;&gt;"",COUNTIF($AK$1:AK90,AK91)+AK91,IF(AL91&lt;&gt;"",COUNTIF($AL$1:AL90,AL91)+AL91,""))</f>
        <v/>
      </c>
      <c r="AH91" s="62" t="str">
        <f t="shared" si="32"/>
        <v>Orion Harriers</v>
      </c>
      <c r="AI91" s="62" t="str">
        <f>IF(AND(J91="M", AH91&lt;&gt;"U/A",AE91=Prizewinners!$J$1),AF91,"")</f>
        <v/>
      </c>
      <c r="AJ91" s="58" t="str">
        <f>IF(AND(J91="F",  AH91&lt;&gt;"U/A",AE91=Prizewinners!$J$16),AF91,"")</f>
        <v/>
      </c>
      <c r="AK91" s="58" t="str">
        <f t="shared" si="33"/>
        <v/>
      </c>
      <c r="AL91" s="58" t="str">
        <f t="shared" si="34"/>
        <v/>
      </c>
      <c r="AM91" s="58" t="str">
        <f t="shared" si="35"/>
        <v>MOrion Harriers6</v>
      </c>
      <c r="AN91" s="58" t="str">
        <f t="shared" si="36"/>
        <v/>
      </c>
      <c r="AO91" s="58" t="str">
        <f t="shared" si="37"/>
        <v/>
      </c>
      <c r="AP91" s="58" t="str">
        <f t="shared" si="38"/>
        <v/>
      </c>
      <c r="AQ91" s="58" t="str">
        <f t="shared" si="39"/>
        <v>Stephen Bennett</v>
      </c>
    </row>
    <row r="92" spans="1:43" x14ac:dyDescent="0.25">
      <c r="A92" s="12" t="str">
        <f t="shared" si="25"/>
        <v>SM,41</v>
      </c>
      <c r="B92" s="12" t="str">
        <f t="shared" si="26"/>
        <v>M,85</v>
      </c>
      <c r="C92" s="11">
        <f t="shared" si="47"/>
        <v>91</v>
      </c>
      <c r="D92" s="171">
        <v>373</v>
      </c>
      <c r="E92" s="12">
        <f t="shared" si="24"/>
        <v>1</v>
      </c>
      <c r="F92" s="12">
        <f>COUNTIF(H$2:H92,H92)</f>
        <v>41</v>
      </c>
      <c r="G92" s="12">
        <f>COUNTIF(J$2:J92,J92)</f>
        <v>85</v>
      </c>
      <c r="H92" s="12" t="str">
        <f t="shared" si="40"/>
        <v>SM</v>
      </c>
      <c r="I92" s="50" t="str">
        <f t="shared" si="41"/>
        <v>SM</v>
      </c>
      <c r="J92" s="50" t="str">
        <f t="shared" si="42"/>
        <v>M</v>
      </c>
      <c r="K92" s="64" t="str">
        <f t="shared" si="43"/>
        <v>Paul Marshall</v>
      </c>
      <c r="L92" s="64" t="str">
        <f t="shared" si="44"/>
        <v>East London Runners</v>
      </c>
      <c r="M92" s="171">
        <v>0</v>
      </c>
      <c r="N92" s="178">
        <v>21</v>
      </c>
      <c r="O92" s="178">
        <v>15</v>
      </c>
      <c r="P92" s="138">
        <f t="shared" si="27"/>
        <v>0</v>
      </c>
      <c r="Q92" s="137">
        <f t="shared" si="28"/>
        <v>21</v>
      </c>
      <c r="R92" s="143"/>
      <c r="S92" s="143"/>
      <c r="T92" s="143"/>
      <c r="U92" s="144"/>
      <c r="V92" s="144"/>
      <c r="W92" s="144"/>
      <c r="X92" s="145"/>
      <c r="Y92" s="152" t="str">
        <f t="shared" si="29"/>
        <v xml:space="preserve">   21.15 </v>
      </c>
      <c r="Z92" s="136"/>
      <c r="AA92" s="50">
        <f t="shared" si="45"/>
        <v>34</v>
      </c>
      <c r="AB92" s="129">
        <f t="shared" si="46"/>
        <v>30830</v>
      </c>
      <c r="AC92" s="58" t="str">
        <f t="shared" si="30"/>
        <v/>
      </c>
      <c r="AD92" s="58" t="str">
        <f t="shared" si="31"/>
        <v>MEast London Runners</v>
      </c>
      <c r="AE92" s="60">
        <f>IF(AD92="","",COUNTIF($AD$2:AD92,AD92))</f>
        <v>31</v>
      </c>
      <c r="AF92" s="62">
        <f>IF(AD92="","",SUMIF(AD$2:AD92,AD92,G$2:G92))</f>
        <v>1362</v>
      </c>
      <c r="AG92" s="62" t="str">
        <f>IF(AK92&lt;&gt;"",COUNTIF($AK$1:AK91,AK92)+AK92,IF(AL92&lt;&gt;"",COUNTIF($AL$1:AL91,AL92)+AL92,""))</f>
        <v/>
      </c>
      <c r="AH92" s="62" t="str">
        <f t="shared" si="32"/>
        <v>East London Runners</v>
      </c>
      <c r="AI92" s="62" t="str">
        <f>IF(AND(J92="M", AH92&lt;&gt;"U/A",AE92=Prizewinners!$J$1),AF92,"")</f>
        <v/>
      </c>
      <c r="AJ92" s="58" t="str">
        <f>IF(AND(J92="F",  AH92&lt;&gt;"U/A",AE92=Prizewinners!$J$16),AF92,"")</f>
        <v/>
      </c>
      <c r="AK92" s="58" t="str">
        <f t="shared" si="33"/>
        <v/>
      </c>
      <c r="AL92" s="58" t="str">
        <f t="shared" si="34"/>
        <v/>
      </c>
      <c r="AM92" s="58" t="str">
        <f t="shared" si="35"/>
        <v>MEast London Runners31</v>
      </c>
      <c r="AN92" s="58" t="str">
        <f t="shared" si="36"/>
        <v/>
      </c>
      <c r="AO92" s="58" t="str">
        <f t="shared" si="37"/>
        <v/>
      </c>
      <c r="AP92" s="58" t="str">
        <f t="shared" si="38"/>
        <v/>
      </c>
      <c r="AQ92" s="58" t="str">
        <f t="shared" si="39"/>
        <v>Paul Marshall</v>
      </c>
    </row>
    <row r="93" spans="1:43" x14ac:dyDescent="0.25">
      <c r="A93" s="12" t="str">
        <f t="shared" si="25"/>
        <v>VM50,11</v>
      </c>
      <c r="B93" s="12" t="str">
        <f t="shared" si="26"/>
        <v>M,86</v>
      </c>
      <c r="C93" s="11">
        <f t="shared" si="47"/>
        <v>92</v>
      </c>
      <c r="D93" s="171">
        <v>81</v>
      </c>
      <c r="E93" s="12">
        <f t="shared" si="24"/>
        <v>1</v>
      </c>
      <c r="F93" s="12">
        <f>COUNTIF(H$2:H93,H93)</f>
        <v>11</v>
      </c>
      <c r="G93" s="12">
        <f>COUNTIF(J$2:J93,J93)</f>
        <v>86</v>
      </c>
      <c r="H93" s="12" t="str">
        <f t="shared" si="40"/>
        <v>VM50</v>
      </c>
      <c r="I93" s="50" t="str">
        <f t="shared" si="41"/>
        <v>VM50</v>
      </c>
      <c r="J93" s="50" t="str">
        <f t="shared" si="42"/>
        <v>M</v>
      </c>
      <c r="K93" s="64" t="str">
        <f t="shared" si="43"/>
        <v>Rob Moore</v>
      </c>
      <c r="L93" s="64" t="str">
        <f t="shared" si="44"/>
        <v>Orion Harriers</v>
      </c>
      <c r="M93" s="171">
        <v>0</v>
      </c>
      <c r="N93" s="178">
        <v>21</v>
      </c>
      <c r="O93" s="178">
        <v>17</v>
      </c>
      <c r="P93" s="138">
        <f t="shared" si="27"/>
        <v>0</v>
      </c>
      <c r="Q93" s="137">
        <f t="shared" si="28"/>
        <v>21</v>
      </c>
      <c r="R93" s="143"/>
      <c r="S93" s="143"/>
      <c r="T93" s="143"/>
      <c r="U93" s="144"/>
      <c r="V93" s="144"/>
      <c r="W93" s="144"/>
      <c r="X93" s="145"/>
      <c r="Y93" s="152" t="str">
        <f t="shared" si="29"/>
        <v xml:space="preserve">   21.17 </v>
      </c>
      <c r="Z93" s="136"/>
      <c r="AA93" s="50">
        <f t="shared" si="45"/>
        <v>53</v>
      </c>
      <c r="AB93" s="129">
        <f t="shared" si="46"/>
        <v>23880</v>
      </c>
      <c r="AC93" s="58" t="str">
        <f t="shared" si="30"/>
        <v/>
      </c>
      <c r="AD93" s="58" t="str">
        <f t="shared" si="31"/>
        <v>MOrion Harriers</v>
      </c>
      <c r="AE93" s="60">
        <f>IF(AD93="","",COUNTIF($AD$2:AD93,AD93))</f>
        <v>7</v>
      </c>
      <c r="AF93" s="62">
        <f>IF(AD93="","",SUMIF(AD$2:AD93,AD93,G$2:G93))</f>
        <v>433</v>
      </c>
      <c r="AG93" s="62" t="str">
        <f>IF(AK93&lt;&gt;"",COUNTIF($AK$1:AK92,AK93)+AK93,IF(AL93&lt;&gt;"",COUNTIF($AL$1:AL92,AL93)+AL93,""))</f>
        <v/>
      </c>
      <c r="AH93" s="62" t="str">
        <f t="shared" si="32"/>
        <v>Orion Harriers</v>
      </c>
      <c r="AI93" s="62" t="str">
        <f>IF(AND(J93="M", AH93&lt;&gt;"U/A",AE93=Prizewinners!$J$1),AF93,"")</f>
        <v/>
      </c>
      <c r="AJ93" s="58" t="str">
        <f>IF(AND(J93="F",  AH93&lt;&gt;"U/A",AE93=Prizewinners!$J$16),AF93,"")</f>
        <v/>
      </c>
      <c r="AK93" s="58" t="str">
        <f t="shared" si="33"/>
        <v/>
      </c>
      <c r="AL93" s="58" t="str">
        <f t="shared" si="34"/>
        <v/>
      </c>
      <c r="AM93" s="58" t="str">
        <f t="shared" si="35"/>
        <v>MOrion Harriers7</v>
      </c>
      <c r="AN93" s="58" t="str">
        <f t="shared" si="36"/>
        <v/>
      </c>
      <c r="AO93" s="58" t="str">
        <f t="shared" si="37"/>
        <v/>
      </c>
      <c r="AP93" s="58" t="str">
        <f t="shared" si="38"/>
        <v/>
      </c>
      <c r="AQ93" s="58" t="str">
        <f t="shared" si="39"/>
        <v>Rob Moore</v>
      </c>
    </row>
    <row r="94" spans="1:43" x14ac:dyDescent="0.25">
      <c r="A94" s="12" t="str">
        <f t="shared" si="25"/>
        <v>SM,42</v>
      </c>
      <c r="B94" s="12" t="str">
        <f t="shared" si="26"/>
        <v>M,87</v>
      </c>
      <c r="C94" s="11">
        <f t="shared" si="47"/>
        <v>93</v>
      </c>
      <c r="D94" s="171">
        <v>399</v>
      </c>
      <c r="E94" s="12">
        <f t="shared" si="24"/>
        <v>1</v>
      </c>
      <c r="F94" s="12">
        <f>COUNTIF(H$2:H94,H94)</f>
        <v>42</v>
      </c>
      <c r="G94" s="12">
        <f>COUNTIF(J$2:J94,J94)</f>
        <v>87</v>
      </c>
      <c r="H94" s="12" t="str">
        <f t="shared" si="40"/>
        <v>SM</v>
      </c>
      <c r="I94" s="50" t="str">
        <f t="shared" si="41"/>
        <v>SM</v>
      </c>
      <c r="J94" s="50" t="str">
        <f t="shared" si="42"/>
        <v>M</v>
      </c>
      <c r="K94" s="64" t="str">
        <f t="shared" si="43"/>
        <v>Eain Begg</v>
      </c>
      <c r="L94" s="64" t="str">
        <f t="shared" si="44"/>
        <v>Ilford AC</v>
      </c>
      <c r="M94" s="171">
        <v>0</v>
      </c>
      <c r="N94" s="178">
        <v>21</v>
      </c>
      <c r="O94" s="178">
        <v>27</v>
      </c>
      <c r="P94" s="138">
        <f t="shared" si="27"/>
        <v>0</v>
      </c>
      <c r="Q94" s="137">
        <f t="shared" si="28"/>
        <v>21</v>
      </c>
      <c r="R94" s="143"/>
      <c r="S94" s="143"/>
      <c r="T94" s="143"/>
      <c r="U94" s="144"/>
      <c r="V94" s="144"/>
      <c r="W94" s="144"/>
      <c r="X94" s="145"/>
      <c r="Y94" s="152" t="str">
        <f t="shared" si="29"/>
        <v xml:space="preserve">   21.27 </v>
      </c>
      <c r="Z94" s="136"/>
      <c r="AA94" s="50">
        <f t="shared" si="45"/>
        <v>28</v>
      </c>
      <c r="AB94" s="129">
        <f t="shared" si="46"/>
        <v>33071</v>
      </c>
      <c r="AC94" s="58" t="str">
        <f t="shared" si="30"/>
        <v/>
      </c>
      <c r="AD94" s="58" t="str">
        <f t="shared" si="31"/>
        <v>MIlford AC</v>
      </c>
      <c r="AE94" s="60">
        <f>IF(AD94="","",COUNTIF($AD$2:AD94,AD94))</f>
        <v>13</v>
      </c>
      <c r="AF94" s="62">
        <f>IF(AD94="","",SUMIF(AD$2:AD94,AD94,G$2:G94))</f>
        <v>438</v>
      </c>
      <c r="AG94" s="62" t="str">
        <f>IF(AK94&lt;&gt;"",COUNTIF($AK$1:AK93,AK94)+AK94,IF(AL94&lt;&gt;"",COUNTIF($AL$1:AL93,AL94)+AL94,""))</f>
        <v/>
      </c>
      <c r="AH94" s="62" t="str">
        <f t="shared" si="32"/>
        <v>Ilford AC</v>
      </c>
      <c r="AI94" s="62" t="str">
        <f>IF(AND(J94="M", AH94&lt;&gt;"U/A",AE94=Prizewinners!$J$1),AF94,"")</f>
        <v/>
      </c>
      <c r="AJ94" s="58" t="str">
        <f>IF(AND(J94="F",  AH94&lt;&gt;"U/A",AE94=Prizewinners!$J$16),AF94,"")</f>
        <v/>
      </c>
      <c r="AK94" s="58" t="str">
        <f t="shared" si="33"/>
        <v/>
      </c>
      <c r="AL94" s="58" t="str">
        <f t="shared" si="34"/>
        <v/>
      </c>
      <c r="AM94" s="58" t="str">
        <f t="shared" si="35"/>
        <v>MIlford AC13</v>
      </c>
      <c r="AN94" s="58" t="str">
        <f t="shared" si="36"/>
        <v/>
      </c>
      <c r="AO94" s="58" t="str">
        <f t="shared" si="37"/>
        <v/>
      </c>
      <c r="AP94" s="58" t="str">
        <f t="shared" si="38"/>
        <v/>
      </c>
      <c r="AQ94" s="58" t="str">
        <f t="shared" si="39"/>
        <v>Eain Begg</v>
      </c>
    </row>
    <row r="95" spans="1:43" x14ac:dyDescent="0.25">
      <c r="A95" s="12" t="str">
        <f t="shared" si="25"/>
        <v>SM,43</v>
      </c>
      <c r="B95" s="12" t="str">
        <f t="shared" si="26"/>
        <v>M,88</v>
      </c>
      <c r="C95" s="11">
        <f t="shared" si="47"/>
        <v>94</v>
      </c>
      <c r="D95" s="171">
        <v>43</v>
      </c>
      <c r="E95" s="12">
        <f t="shared" si="24"/>
        <v>1</v>
      </c>
      <c r="F95" s="12">
        <f>COUNTIF(H$2:H95,H95)</f>
        <v>43</v>
      </c>
      <c r="G95" s="12">
        <f>COUNTIF(J$2:J95,J95)</f>
        <v>88</v>
      </c>
      <c r="H95" s="12" t="str">
        <f t="shared" si="40"/>
        <v>SM</v>
      </c>
      <c r="I95" s="50" t="str">
        <f t="shared" si="41"/>
        <v>SM</v>
      </c>
      <c r="J95" s="50" t="str">
        <f t="shared" si="42"/>
        <v>M</v>
      </c>
      <c r="K95" s="64" t="str">
        <f t="shared" si="43"/>
        <v>Callum Millward</v>
      </c>
      <c r="L95" s="64" t="str">
        <f t="shared" si="44"/>
        <v>East End Road Runners</v>
      </c>
      <c r="M95" s="171">
        <v>0</v>
      </c>
      <c r="N95" s="178">
        <v>21</v>
      </c>
      <c r="O95" s="178">
        <v>28</v>
      </c>
      <c r="P95" s="138">
        <f t="shared" si="27"/>
        <v>0</v>
      </c>
      <c r="Q95" s="137">
        <f t="shared" si="28"/>
        <v>21</v>
      </c>
      <c r="R95" s="143"/>
      <c r="S95" s="143"/>
      <c r="T95" s="143"/>
      <c r="U95" s="144"/>
      <c r="V95" s="144"/>
      <c r="W95" s="144"/>
      <c r="X95" s="145"/>
      <c r="Y95" s="152" t="str">
        <f t="shared" si="29"/>
        <v xml:space="preserve">   21.28 </v>
      </c>
      <c r="Z95" s="136"/>
      <c r="AA95" s="50">
        <f t="shared" si="45"/>
        <v>25</v>
      </c>
      <c r="AB95" s="129">
        <f t="shared" si="46"/>
        <v>34156</v>
      </c>
      <c r="AC95" s="58" t="str">
        <f t="shared" si="30"/>
        <v/>
      </c>
      <c r="AD95" s="58" t="str">
        <f t="shared" si="31"/>
        <v>MEast End Road Runners</v>
      </c>
      <c r="AE95" s="60">
        <f>IF(AD95="","",COUNTIF($AD$2:AD95,AD95))</f>
        <v>6</v>
      </c>
      <c r="AF95" s="62">
        <f>IF(AD95="","",SUMIF(AD$2:AD95,AD95,G$2:G95))</f>
        <v>273</v>
      </c>
      <c r="AG95" s="62" t="str">
        <f>IF(AK95&lt;&gt;"",COUNTIF($AK$1:AK94,AK95)+AK95,IF(AL95&lt;&gt;"",COUNTIF($AL$1:AL94,AL95)+AL95,""))</f>
        <v/>
      </c>
      <c r="AH95" s="62" t="str">
        <f t="shared" si="32"/>
        <v>East End Road Runners</v>
      </c>
      <c r="AI95" s="62" t="str">
        <f>IF(AND(J95="M", AH95&lt;&gt;"U/A",AE95=Prizewinners!$J$1),AF95,"")</f>
        <v/>
      </c>
      <c r="AJ95" s="58" t="str">
        <f>IF(AND(J95="F",  AH95&lt;&gt;"U/A",AE95=Prizewinners!$J$16),AF95,"")</f>
        <v/>
      </c>
      <c r="AK95" s="58" t="str">
        <f t="shared" si="33"/>
        <v/>
      </c>
      <c r="AL95" s="58" t="str">
        <f t="shared" si="34"/>
        <v/>
      </c>
      <c r="AM95" s="58" t="str">
        <f t="shared" si="35"/>
        <v>MEast End Road Runners6</v>
      </c>
      <c r="AN95" s="58" t="str">
        <f t="shared" si="36"/>
        <v/>
      </c>
      <c r="AO95" s="58" t="str">
        <f t="shared" si="37"/>
        <v/>
      </c>
      <c r="AP95" s="58" t="str">
        <f t="shared" si="38"/>
        <v/>
      </c>
      <c r="AQ95" s="58" t="str">
        <f t="shared" si="39"/>
        <v>Callum Millward</v>
      </c>
    </row>
    <row r="96" spans="1:43" x14ac:dyDescent="0.25">
      <c r="A96" s="12" t="str">
        <f t="shared" si="25"/>
        <v>SM,44</v>
      </c>
      <c r="B96" s="12" t="str">
        <f t="shared" si="26"/>
        <v>M,89</v>
      </c>
      <c r="C96" s="11">
        <f t="shared" si="47"/>
        <v>95</v>
      </c>
      <c r="D96" s="171">
        <v>14</v>
      </c>
      <c r="E96" s="12">
        <f t="shared" si="24"/>
        <v>1</v>
      </c>
      <c r="F96" s="12">
        <f>COUNTIF(H$2:H96,H96)</f>
        <v>44</v>
      </c>
      <c r="G96" s="12">
        <f>COUNTIF(J$2:J96,J96)</f>
        <v>89</v>
      </c>
      <c r="H96" s="12" t="str">
        <f t="shared" si="40"/>
        <v>SM</v>
      </c>
      <c r="I96" s="50" t="str">
        <f t="shared" si="41"/>
        <v>SM</v>
      </c>
      <c r="J96" s="50" t="str">
        <f t="shared" si="42"/>
        <v>M</v>
      </c>
      <c r="K96" s="64" t="str">
        <f t="shared" si="43"/>
        <v>Jimmy Dale</v>
      </c>
      <c r="L96" s="64" t="str">
        <f t="shared" si="44"/>
        <v>East London Runners</v>
      </c>
      <c r="M96" s="171">
        <v>0</v>
      </c>
      <c r="N96" s="178">
        <v>21</v>
      </c>
      <c r="O96" s="178">
        <v>30</v>
      </c>
      <c r="P96" s="138">
        <f t="shared" si="27"/>
        <v>0</v>
      </c>
      <c r="Q96" s="137">
        <f t="shared" si="28"/>
        <v>21</v>
      </c>
      <c r="R96" s="143"/>
      <c r="S96" s="143"/>
      <c r="T96" s="143"/>
      <c r="U96" s="144"/>
      <c r="V96" s="144"/>
      <c r="W96" s="144"/>
      <c r="X96" s="145"/>
      <c r="Y96" s="152" t="str">
        <f t="shared" si="29"/>
        <v xml:space="preserve">   21.30 </v>
      </c>
      <c r="Z96" s="136"/>
      <c r="AA96" s="50">
        <f t="shared" si="45"/>
        <v>32</v>
      </c>
      <c r="AB96" s="129">
        <f t="shared" si="46"/>
        <v>31587</v>
      </c>
      <c r="AC96" s="58" t="str">
        <f t="shared" si="30"/>
        <v/>
      </c>
      <c r="AD96" s="58" t="str">
        <f t="shared" si="31"/>
        <v>MEast London Runners</v>
      </c>
      <c r="AE96" s="60">
        <f>IF(AD96="","",COUNTIF($AD$2:AD96,AD96))</f>
        <v>32</v>
      </c>
      <c r="AF96" s="62">
        <f>IF(AD96="","",SUMIF(AD$2:AD96,AD96,G$2:G96))</f>
        <v>1451</v>
      </c>
      <c r="AG96" s="62" t="str">
        <f>IF(AK96&lt;&gt;"",COUNTIF($AK$1:AK95,AK96)+AK96,IF(AL96&lt;&gt;"",COUNTIF($AL$1:AL95,AL96)+AL96,""))</f>
        <v/>
      </c>
      <c r="AH96" s="62" t="str">
        <f t="shared" si="32"/>
        <v>East London Runners</v>
      </c>
      <c r="AI96" s="62" t="str">
        <f>IF(AND(J96="M", AH96&lt;&gt;"U/A",AE96=Prizewinners!$J$1),AF96,"")</f>
        <v/>
      </c>
      <c r="AJ96" s="58" t="str">
        <f>IF(AND(J96="F",  AH96&lt;&gt;"U/A",AE96=Prizewinners!$J$16),AF96,"")</f>
        <v/>
      </c>
      <c r="AK96" s="58" t="str">
        <f t="shared" si="33"/>
        <v/>
      </c>
      <c r="AL96" s="58" t="str">
        <f t="shared" si="34"/>
        <v/>
      </c>
      <c r="AM96" s="58" t="str">
        <f t="shared" si="35"/>
        <v>MEast London Runners32</v>
      </c>
      <c r="AN96" s="58" t="str">
        <f t="shared" si="36"/>
        <v/>
      </c>
      <c r="AO96" s="58" t="str">
        <f t="shared" si="37"/>
        <v/>
      </c>
      <c r="AP96" s="58" t="str">
        <f t="shared" si="38"/>
        <v/>
      </c>
      <c r="AQ96" s="58" t="str">
        <f t="shared" si="39"/>
        <v>Jimmy Dale</v>
      </c>
    </row>
    <row r="97" spans="1:43" x14ac:dyDescent="0.25">
      <c r="A97" s="12" t="str">
        <f t="shared" si="25"/>
        <v>SM,45</v>
      </c>
      <c r="B97" s="12" t="str">
        <f t="shared" si="26"/>
        <v>M,90</v>
      </c>
      <c r="C97" s="11">
        <f t="shared" si="47"/>
        <v>96</v>
      </c>
      <c r="D97" s="171">
        <v>390</v>
      </c>
      <c r="E97" s="12">
        <f t="shared" si="24"/>
        <v>1</v>
      </c>
      <c r="F97" s="12">
        <f>COUNTIF(H$2:H97,H97)</f>
        <v>45</v>
      </c>
      <c r="G97" s="12">
        <f>COUNTIF(J$2:J97,J97)</f>
        <v>90</v>
      </c>
      <c r="H97" s="12" t="str">
        <f t="shared" si="40"/>
        <v>SM</v>
      </c>
      <c r="I97" s="50" t="str">
        <f t="shared" si="41"/>
        <v>SM</v>
      </c>
      <c r="J97" s="50" t="str">
        <f t="shared" si="42"/>
        <v>M</v>
      </c>
      <c r="K97" s="64" t="str">
        <f t="shared" si="43"/>
        <v>Jamie Austin</v>
      </c>
      <c r="L97" s="64" t="str">
        <f t="shared" si="44"/>
        <v>Dagenham 88 Runners</v>
      </c>
      <c r="M97" s="171">
        <v>0</v>
      </c>
      <c r="N97" s="178">
        <v>21</v>
      </c>
      <c r="O97" s="178">
        <v>31</v>
      </c>
      <c r="P97" s="138">
        <f t="shared" si="27"/>
        <v>0</v>
      </c>
      <c r="Q97" s="137">
        <f t="shared" si="28"/>
        <v>21</v>
      </c>
      <c r="R97" s="143"/>
      <c r="S97" s="143"/>
      <c r="T97" s="143"/>
      <c r="U97" s="144"/>
      <c r="V97" s="144"/>
      <c r="W97" s="144"/>
      <c r="X97" s="145"/>
      <c r="Y97" s="152" t="str">
        <f t="shared" si="29"/>
        <v xml:space="preserve">   21.31 </v>
      </c>
      <c r="Z97" s="136"/>
      <c r="AA97" s="50">
        <f t="shared" si="45"/>
        <v>25</v>
      </c>
      <c r="AB97" s="129">
        <f t="shared" si="46"/>
        <v>34126</v>
      </c>
      <c r="AC97" s="58" t="str">
        <f t="shared" si="30"/>
        <v>M10</v>
      </c>
      <c r="AD97" s="58" t="str">
        <f t="shared" si="31"/>
        <v>MDagenham 88 Runners</v>
      </c>
      <c r="AE97" s="60">
        <f>IF(AD97="","",COUNTIF($AD$2:AD97,AD97))</f>
        <v>3</v>
      </c>
      <c r="AF97" s="62">
        <f>IF(AD97="","",SUMIF(AD$2:AD97,AD97,G$2:G97))</f>
        <v>218</v>
      </c>
      <c r="AG97" s="62">
        <f>IF(AK97&lt;&gt;"",COUNTIF($AK$1:AK96,AK97)+AK97,IF(AL97&lt;&gt;"",COUNTIF($AL$1:AL96,AL97)+AL97,""))</f>
        <v>10</v>
      </c>
      <c r="AH97" s="62" t="str">
        <f t="shared" si="32"/>
        <v>Dagenham 88 Runners</v>
      </c>
      <c r="AI97" s="62">
        <f>IF(AND(J97="M", AH97&lt;&gt;"U/A",AE97=Prizewinners!$J$1),AF97,"")</f>
        <v>218</v>
      </c>
      <c r="AJ97" s="58" t="str">
        <f>IF(AND(J97="F",  AH97&lt;&gt;"U/A",AE97=Prizewinners!$J$16),AF97,"")</f>
        <v/>
      </c>
      <c r="AK97" s="58">
        <f t="shared" si="33"/>
        <v>10</v>
      </c>
      <c r="AL97" s="58" t="str">
        <f t="shared" si="34"/>
        <v/>
      </c>
      <c r="AM97" s="58" t="str">
        <f t="shared" si="35"/>
        <v>MDagenham 88 Runners3</v>
      </c>
      <c r="AN97" s="58" t="str">
        <f t="shared" si="36"/>
        <v>Peter Salmon</v>
      </c>
      <c r="AO97" s="58" t="str">
        <f t="shared" si="37"/>
        <v>Jeff Webster</v>
      </c>
      <c r="AP97" s="58" t="str">
        <f t="shared" si="38"/>
        <v>Jamie Austin</v>
      </c>
      <c r="AQ97" s="58" t="str">
        <f t="shared" si="39"/>
        <v>Jamie Austin</v>
      </c>
    </row>
    <row r="98" spans="1:43" x14ac:dyDescent="0.25">
      <c r="A98" s="12" t="str">
        <f t="shared" si="25"/>
        <v>VM50,12</v>
      </c>
      <c r="B98" s="12" t="str">
        <f t="shared" si="26"/>
        <v>M,91</v>
      </c>
      <c r="C98" s="11">
        <f t="shared" si="47"/>
        <v>97</v>
      </c>
      <c r="D98" s="171">
        <v>435</v>
      </c>
      <c r="E98" s="12">
        <f t="shared" si="24"/>
        <v>1</v>
      </c>
      <c r="F98" s="12">
        <f>COUNTIF(H$2:H98,H98)</f>
        <v>12</v>
      </c>
      <c r="G98" s="12">
        <f>COUNTIF(J$2:J98,J98)</f>
        <v>91</v>
      </c>
      <c r="H98" s="12" t="str">
        <f t="shared" si="40"/>
        <v>VM50</v>
      </c>
      <c r="I98" s="50" t="str">
        <f t="shared" si="41"/>
        <v>VM50</v>
      </c>
      <c r="J98" s="50" t="str">
        <f t="shared" si="42"/>
        <v>M</v>
      </c>
      <c r="K98" s="64" t="str">
        <f t="shared" si="43"/>
        <v>Mick Brown</v>
      </c>
      <c r="L98" s="64" t="str">
        <f t="shared" si="44"/>
        <v>Dagenham 88 Runners</v>
      </c>
      <c r="M98" s="171">
        <v>0</v>
      </c>
      <c r="N98" s="178">
        <v>21</v>
      </c>
      <c r="O98" s="178">
        <v>38</v>
      </c>
      <c r="P98" s="138">
        <f t="shared" si="27"/>
        <v>0</v>
      </c>
      <c r="Q98" s="137">
        <f t="shared" si="28"/>
        <v>21</v>
      </c>
      <c r="R98" s="143"/>
      <c r="S98" s="143"/>
      <c r="T98" s="143"/>
      <c r="U98" s="144"/>
      <c r="V98" s="144"/>
      <c r="W98" s="144"/>
      <c r="X98" s="145"/>
      <c r="Y98" s="152" t="str">
        <f t="shared" si="29"/>
        <v xml:space="preserve">   21.38 </v>
      </c>
      <c r="Z98" s="136"/>
      <c r="AA98" s="50">
        <f t="shared" si="45"/>
        <v>52</v>
      </c>
      <c r="AB98" s="129">
        <f t="shared" si="46"/>
        <v>24288</v>
      </c>
      <c r="AC98" s="58" t="str">
        <f t="shared" si="30"/>
        <v/>
      </c>
      <c r="AD98" s="58" t="str">
        <f t="shared" si="31"/>
        <v>MDagenham 88 Runners</v>
      </c>
      <c r="AE98" s="60">
        <f>IF(AD98="","",COUNTIF($AD$2:AD98,AD98))</f>
        <v>4</v>
      </c>
      <c r="AF98" s="62">
        <f>IF(AD98="","",SUMIF(AD$2:AD98,AD98,G$2:G98))</f>
        <v>309</v>
      </c>
      <c r="AG98" s="62" t="str">
        <f>IF(AK98&lt;&gt;"",COUNTIF($AK$1:AK97,AK98)+AK98,IF(AL98&lt;&gt;"",COUNTIF($AL$1:AL97,AL98)+AL98,""))</f>
        <v/>
      </c>
      <c r="AH98" s="62" t="str">
        <f t="shared" si="32"/>
        <v>Dagenham 88 Runners</v>
      </c>
      <c r="AI98" s="62" t="str">
        <f>IF(AND(J98="M", AH98&lt;&gt;"U/A",AE98=Prizewinners!$J$1),AF98,"")</f>
        <v/>
      </c>
      <c r="AJ98" s="58" t="str">
        <f>IF(AND(J98="F",  AH98&lt;&gt;"U/A",AE98=Prizewinners!$J$16),AF98,"")</f>
        <v/>
      </c>
      <c r="AK98" s="58" t="str">
        <f t="shared" si="33"/>
        <v/>
      </c>
      <c r="AL98" s="58" t="str">
        <f t="shared" si="34"/>
        <v/>
      </c>
      <c r="AM98" s="58" t="str">
        <f t="shared" si="35"/>
        <v>MDagenham 88 Runners4</v>
      </c>
      <c r="AN98" s="58" t="str">
        <f t="shared" si="36"/>
        <v/>
      </c>
      <c r="AO98" s="58" t="str">
        <f t="shared" si="37"/>
        <v/>
      </c>
      <c r="AP98" s="58" t="str">
        <f t="shared" si="38"/>
        <v/>
      </c>
      <c r="AQ98" s="58" t="str">
        <f t="shared" si="39"/>
        <v>Mick Brown</v>
      </c>
    </row>
    <row r="99" spans="1:43" x14ac:dyDescent="0.25">
      <c r="A99" s="12" t="str">
        <f t="shared" si="25"/>
        <v>VF55,1</v>
      </c>
      <c r="B99" s="12" t="str">
        <f t="shared" si="26"/>
        <v>F,7</v>
      </c>
      <c r="C99" s="11">
        <f t="shared" si="47"/>
        <v>98</v>
      </c>
      <c r="D99" s="171">
        <v>346</v>
      </c>
      <c r="E99" s="12">
        <f t="shared" si="24"/>
        <v>1</v>
      </c>
      <c r="F99" s="12">
        <f>COUNTIF(H$2:H99,H99)</f>
        <v>1</v>
      </c>
      <c r="G99" s="12">
        <f>COUNTIF(J$2:J99,J99)</f>
        <v>7</v>
      </c>
      <c r="H99" s="12" t="str">
        <f t="shared" si="40"/>
        <v>VF55</v>
      </c>
      <c r="I99" s="50" t="str">
        <f t="shared" si="41"/>
        <v>VF55</v>
      </c>
      <c r="J99" s="50" t="str">
        <f t="shared" si="42"/>
        <v>F</v>
      </c>
      <c r="K99" s="64" t="str">
        <f t="shared" si="43"/>
        <v>Breege Nordin</v>
      </c>
      <c r="L99" s="64" t="str">
        <f t="shared" si="44"/>
        <v>Ilford AC</v>
      </c>
      <c r="M99" s="171">
        <v>0</v>
      </c>
      <c r="N99" s="178">
        <v>21</v>
      </c>
      <c r="O99" s="178">
        <v>39</v>
      </c>
      <c r="P99" s="138">
        <f t="shared" si="27"/>
        <v>0</v>
      </c>
      <c r="Q99" s="137">
        <f t="shared" si="28"/>
        <v>21</v>
      </c>
      <c r="R99" s="143"/>
      <c r="S99" s="143"/>
      <c r="T99" s="143"/>
      <c r="U99" s="144"/>
      <c r="V99" s="144"/>
      <c r="W99" s="144"/>
      <c r="X99" s="145"/>
      <c r="Y99" s="152" t="str">
        <f t="shared" si="29"/>
        <v xml:space="preserve">   21.39 </v>
      </c>
      <c r="Z99" s="136"/>
      <c r="AA99" s="50">
        <f t="shared" si="45"/>
        <v>62</v>
      </c>
      <c r="AB99" s="129">
        <f t="shared" si="46"/>
        <v>20613</v>
      </c>
      <c r="AC99" s="58" t="str">
        <f t="shared" si="30"/>
        <v/>
      </c>
      <c r="AD99" s="58" t="str">
        <f t="shared" si="31"/>
        <v>FIlford AC</v>
      </c>
      <c r="AE99" s="60">
        <f>IF(AD99="","",COUNTIF($AD$2:AD99,AD99))</f>
        <v>1</v>
      </c>
      <c r="AF99" s="62">
        <f>IF(AD99="","",SUMIF(AD$2:AD99,AD99,G$2:G99))</f>
        <v>7</v>
      </c>
      <c r="AG99" s="62" t="str">
        <f>IF(AK99&lt;&gt;"",COUNTIF($AK$1:AK98,AK99)+AK99,IF(AL99&lt;&gt;"",COUNTIF($AL$1:AL98,AL99)+AL99,""))</f>
        <v/>
      </c>
      <c r="AH99" s="62" t="str">
        <f t="shared" si="32"/>
        <v>Ilford AC</v>
      </c>
      <c r="AI99" s="62" t="str">
        <f>IF(AND(J99="M", AH99&lt;&gt;"U/A",AE99=Prizewinners!$J$1),AF99,"")</f>
        <v/>
      </c>
      <c r="AJ99" s="58" t="str">
        <f>IF(AND(J99="F",  AH99&lt;&gt;"U/A",AE99=Prizewinners!$J$16),AF99,"")</f>
        <v/>
      </c>
      <c r="AK99" s="58" t="str">
        <f t="shared" si="33"/>
        <v/>
      </c>
      <c r="AL99" s="58" t="str">
        <f t="shared" si="34"/>
        <v/>
      </c>
      <c r="AM99" s="58" t="str">
        <f t="shared" si="35"/>
        <v>FIlford AC1</v>
      </c>
      <c r="AN99" s="58" t="str">
        <f t="shared" si="36"/>
        <v/>
      </c>
      <c r="AO99" s="58" t="str">
        <f t="shared" si="37"/>
        <v/>
      </c>
      <c r="AP99" s="58" t="str">
        <f t="shared" si="38"/>
        <v/>
      </c>
      <c r="AQ99" s="58" t="str">
        <f t="shared" si="39"/>
        <v>Breege Nordin</v>
      </c>
    </row>
    <row r="100" spans="1:43" x14ac:dyDescent="0.25">
      <c r="A100" s="12" t="str">
        <f t="shared" si="25"/>
        <v>VM40,28</v>
      </c>
      <c r="B100" s="12" t="str">
        <f t="shared" si="26"/>
        <v>M,92</v>
      </c>
      <c r="C100" s="11">
        <f t="shared" si="47"/>
        <v>99</v>
      </c>
      <c r="D100" s="171">
        <v>51</v>
      </c>
      <c r="E100" s="12">
        <f t="shared" si="24"/>
        <v>1</v>
      </c>
      <c r="F100" s="12">
        <f>COUNTIF(H$2:H100,H100)</f>
        <v>28</v>
      </c>
      <c r="G100" s="12">
        <f>COUNTIF(J$2:J100,J100)</f>
        <v>92</v>
      </c>
      <c r="H100" s="12" t="str">
        <f t="shared" si="40"/>
        <v>VM40</v>
      </c>
      <c r="I100" s="50" t="str">
        <f t="shared" si="41"/>
        <v>VM40</v>
      </c>
      <c r="J100" s="50" t="str">
        <f t="shared" si="42"/>
        <v>M</v>
      </c>
      <c r="K100" s="64" t="str">
        <f t="shared" si="43"/>
        <v>Anthony Maplesden</v>
      </c>
      <c r="L100" s="64" t="str">
        <f t="shared" si="44"/>
        <v>Havering 90 Joggers</v>
      </c>
      <c r="M100" s="171">
        <v>0</v>
      </c>
      <c r="N100" s="178">
        <v>21</v>
      </c>
      <c r="O100" s="178">
        <v>40</v>
      </c>
      <c r="P100" s="138">
        <f t="shared" si="27"/>
        <v>0</v>
      </c>
      <c r="Q100" s="137">
        <f t="shared" si="28"/>
        <v>21</v>
      </c>
      <c r="R100" s="143"/>
      <c r="S100" s="143"/>
      <c r="T100" s="143"/>
      <c r="U100" s="144"/>
      <c r="V100" s="144"/>
      <c r="W100" s="144"/>
      <c r="X100" s="145"/>
      <c r="Y100" s="152" t="str">
        <f t="shared" si="29"/>
        <v xml:space="preserve">   21.40 </v>
      </c>
      <c r="Z100" s="136"/>
      <c r="AA100" s="50">
        <f t="shared" si="45"/>
        <v>43</v>
      </c>
      <c r="AB100" s="129">
        <f t="shared" si="46"/>
        <v>27501</v>
      </c>
      <c r="AC100" s="58" t="str">
        <f t="shared" si="30"/>
        <v/>
      </c>
      <c r="AD100" s="58" t="str">
        <f t="shared" si="31"/>
        <v>MHavering 90 Joggers</v>
      </c>
      <c r="AE100" s="60">
        <f>IF(AD100="","",COUNTIF($AD$2:AD100,AD100))</f>
        <v>4</v>
      </c>
      <c r="AF100" s="62">
        <f>IF(AD100="","",SUMIF(AD$2:AD100,AD100,G$2:G100))</f>
        <v>281</v>
      </c>
      <c r="AG100" s="62" t="str">
        <f>IF(AK100&lt;&gt;"",COUNTIF($AK$1:AK99,AK100)+AK100,IF(AL100&lt;&gt;"",COUNTIF($AL$1:AL99,AL100)+AL100,""))</f>
        <v/>
      </c>
      <c r="AH100" s="62" t="str">
        <f t="shared" si="32"/>
        <v>Havering 90 Joggers</v>
      </c>
      <c r="AI100" s="62" t="str">
        <f>IF(AND(J100="M", AH100&lt;&gt;"U/A",AE100=Prizewinners!$J$1),AF100,"")</f>
        <v/>
      </c>
      <c r="AJ100" s="58" t="str">
        <f>IF(AND(J100="F",  AH100&lt;&gt;"U/A",AE100=Prizewinners!$J$16),AF100,"")</f>
        <v/>
      </c>
      <c r="AK100" s="58" t="str">
        <f t="shared" si="33"/>
        <v/>
      </c>
      <c r="AL100" s="58" t="str">
        <f t="shared" si="34"/>
        <v/>
      </c>
      <c r="AM100" s="58" t="str">
        <f t="shared" si="35"/>
        <v>MHavering 90 Joggers4</v>
      </c>
      <c r="AN100" s="58" t="str">
        <f t="shared" si="36"/>
        <v/>
      </c>
      <c r="AO100" s="58" t="str">
        <f t="shared" si="37"/>
        <v/>
      </c>
      <c r="AP100" s="58" t="str">
        <f t="shared" si="38"/>
        <v/>
      </c>
      <c r="AQ100" s="58" t="str">
        <f t="shared" si="39"/>
        <v>Anthony Maplesden</v>
      </c>
    </row>
    <row r="101" spans="1:43" x14ac:dyDescent="0.25">
      <c r="A101" s="12" t="str">
        <f t="shared" si="25"/>
        <v>VM60,5</v>
      </c>
      <c r="B101" s="12" t="str">
        <f t="shared" si="26"/>
        <v>M,93</v>
      </c>
      <c r="C101" s="11">
        <f t="shared" si="47"/>
        <v>100</v>
      </c>
      <c r="D101" s="171">
        <v>7</v>
      </c>
      <c r="E101" s="12">
        <f t="shared" si="24"/>
        <v>1</v>
      </c>
      <c r="F101" s="12">
        <f>COUNTIF(H$2:H101,H101)</f>
        <v>5</v>
      </c>
      <c r="G101" s="12">
        <f>COUNTIF(J$2:J101,J101)</f>
        <v>93</v>
      </c>
      <c r="H101" s="12" t="str">
        <f t="shared" si="40"/>
        <v>VM60</v>
      </c>
      <c r="I101" s="50" t="str">
        <f t="shared" si="41"/>
        <v>VM60</v>
      </c>
      <c r="J101" s="50" t="str">
        <f t="shared" si="42"/>
        <v>M</v>
      </c>
      <c r="K101" s="64" t="str">
        <f t="shared" si="43"/>
        <v>Ronald Vialls</v>
      </c>
      <c r="L101" s="64" t="str">
        <f t="shared" si="44"/>
        <v>Barking Road Runners</v>
      </c>
      <c r="M101" s="171">
        <v>0</v>
      </c>
      <c r="N101" s="178">
        <v>21</v>
      </c>
      <c r="O101" s="178">
        <v>41</v>
      </c>
      <c r="P101" s="138">
        <f t="shared" si="27"/>
        <v>0</v>
      </c>
      <c r="Q101" s="137">
        <f t="shared" si="28"/>
        <v>21</v>
      </c>
      <c r="R101" s="143"/>
      <c r="S101" s="143"/>
      <c r="T101" s="143"/>
      <c r="U101" s="144"/>
      <c r="V101" s="144"/>
      <c r="W101" s="144"/>
      <c r="X101" s="145"/>
      <c r="Y101" s="152" t="str">
        <f t="shared" si="29"/>
        <v xml:space="preserve">   21.41 </v>
      </c>
      <c r="Z101" s="136"/>
      <c r="AA101" s="50">
        <f t="shared" si="45"/>
        <v>66</v>
      </c>
      <c r="AB101" s="129">
        <f t="shared" si="46"/>
        <v>19111</v>
      </c>
      <c r="AC101" s="58" t="str">
        <f t="shared" si="30"/>
        <v/>
      </c>
      <c r="AD101" s="58" t="str">
        <f t="shared" si="31"/>
        <v>MBarking Road Runners</v>
      </c>
      <c r="AE101" s="60">
        <f>IF(AD101="","",COUNTIF($AD$2:AD101,AD101))</f>
        <v>9</v>
      </c>
      <c r="AF101" s="62">
        <f>IF(AD101="","",SUMIF(AD$2:AD101,AD101,G$2:G101))</f>
        <v>437</v>
      </c>
      <c r="AG101" s="62" t="str">
        <f>IF(AK101&lt;&gt;"",COUNTIF($AK$1:AK100,AK101)+AK101,IF(AL101&lt;&gt;"",COUNTIF($AL$1:AL100,AL101)+AL101,""))</f>
        <v/>
      </c>
      <c r="AH101" s="62" t="str">
        <f t="shared" si="32"/>
        <v>Barking Road Runners</v>
      </c>
      <c r="AI101" s="62" t="str">
        <f>IF(AND(J101="M", AH101&lt;&gt;"U/A",AE101=Prizewinners!$J$1),AF101,"")</f>
        <v/>
      </c>
      <c r="AJ101" s="58" t="str">
        <f>IF(AND(J101="F",  AH101&lt;&gt;"U/A",AE101=Prizewinners!$J$16),AF101,"")</f>
        <v/>
      </c>
      <c r="AK101" s="58" t="str">
        <f t="shared" si="33"/>
        <v/>
      </c>
      <c r="AL101" s="58" t="str">
        <f t="shared" si="34"/>
        <v/>
      </c>
      <c r="AM101" s="58" t="str">
        <f t="shared" si="35"/>
        <v>MBarking Road Runners9</v>
      </c>
      <c r="AN101" s="58" t="str">
        <f t="shared" si="36"/>
        <v/>
      </c>
      <c r="AO101" s="58" t="str">
        <f t="shared" si="37"/>
        <v/>
      </c>
      <c r="AP101" s="58" t="str">
        <f t="shared" si="38"/>
        <v/>
      </c>
      <c r="AQ101" s="58" t="str">
        <f t="shared" si="39"/>
        <v>Ronald Vialls</v>
      </c>
    </row>
    <row r="102" spans="1:43" x14ac:dyDescent="0.25">
      <c r="A102" s="12" t="str">
        <f t="shared" si="25"/>
        <v>VM40,29</v>
      </c>
      <c r="B102" s="12" t="str">
        <f t="shared" si="26"/>
        <v>M,94</v>
      </c>
      <c r="C102" s="11">
        <f t="shared" si="47"/>
        <v>101</v>
      </c>
      <c r="D102" s="171">
        <v>55</v>
      </c>
      <c r="E102" s="12">
        <f t="shared" si="24"/>
        <v>1</v>
      </c>
      <c r="F102" s="12">
        <f>COUNTIF(H$2:H102,H102)</f>
        <v>29</v>
      </c>
      <c r="G102" s="12">
        <f>COUNTIF(J$2:J102,J102)</f>
        <v>94</v>
      </c>
      <c r="H102" s="12" t="str">
        <f t="shared" si="40"/>
        <v>VM40</v>
      </c>
      <c r="I102" s="50" t="str">
        <f t="shared" si="41"/>
        <v>VM40</v>
      </c>
      <c r="J102" s="50" t="str">
        <f t="shared" si="42"/>
        <v>M</v>
      </c>
      <c r="K102" s="64" t="str">
        <f t="shared" si="43"/>
        <v>Daniel Cogan</v>
      </c>
      <c r="L102" s="64" t="str">
        <f t="shared" si="44"/>
        <v>Drax All Stars</v>
      </c>
      <c r="M102" s="171">
        <v>0</v>
      </c>
      <c r="N102" s="178">
        <v>21</v>
      </c>
      <c r="O102" s="178">
        <v>42</v>
      </c>
      <c r="P102" s="138">
        <f t="shared" si="27"/>
        <v>0</v>
      </c>
      <c r="Q102" s="137">
        <f t="shared" si="28"/>
        <v>21</v>
      </c>
      <c r="R102" s="143"/>
      <c r="S102" s="143"/>
      <c r="T102" s="143"/>
      <c r="U102" s="144"/>
      <c r="V102" s="144"/>
      <c r="W102" s="144"/>
      <c r="X102" s="145"/>
      <c r="Y102" s="152" t="str">
        <f t="shared" si="29"/>
        <v xml:space="preserve">   21.42 </v>
      </c>
      <c r="Z102" s="136"/>
      <c r="AA102" s="50">
        <f t="shared" si="45"/>
        <v>45</v>
      </c>
      <c r="AB102" s="129">
        <f t="shared" si="46"/>
        <v>26888</v>
      </c>
      <c r="AC102" s="58" t="str">
        <f t="shared" si="30"/>
        <v/>
      </c>
      <c r="AD102" s="58" t="str">
        <f t="shared" si="31"/>
        <v>MDrax All Stars</v>
      </c>
      <c r="AE102" s="60">
        <f>IF(AD102="","",COUNTIF($AD$2:AD102,AD102))</f>
        <v>1</v>
      </c>
      <c r="AF102" s="62">
        <f>IF(AD102="","",SUMIF(AD$2:AD102,AD102,G$2:G102))</f>
        <v>94</v>
      </c>
      <c r="AG102" s="62" t="str">
        <f>IF(AK102&lt;&gt;"",COUNTIF($AK$1:AK101,AK102)+AK102,IF(AL102&lt;&gt;"",COUNTIF($AL$1:AL101,AL102)+AL102,""))</f>
        <v/>
      </c>
      <c r="AH102" s="62" t="str">
        <f t="shared" si="32"/>
        <v>Drax All Stars</v>
      </c>
      <c r="AI102" s="62" t="str">
        <f>IF(AND(J102="M", AH102&lt;&gt;"U/A",AE102=Prizewinners!$J$1),AF102,"")</f>
        <v/>
      </c>
      <c r="AJ102" s="58" t="str">
        <f>IF(AND(J102="F",  AH102&lt;&gt;"U/A",AE102=Prizewinners!$J$16),AF102,"")</f>
        <v/>
      </c>
      <c r="AK102" s="58" t="str">
        <f t="shared" si="33"/>
        <v/>
      </c>
      <c r="AL102" s="58" t="str">
        <f t="shared" si="34"/>
        <v/>
      </c>
      <c r="AM102" s="58" t="str">
        <f t="shared" si="35"/>
        <v>MDrax All Stars1</v>
      </c>
      <c r="AN102" s="58" t="str">
        <f t="shared" si="36"/>
        <v/>
      </c>
      <c r="AO102" s="58" t="str">
        <f t="shared" si="37"/>
        <v/>
      </c>
      <c r="AP102" s="58" t="str">
        <f t="shared" si="38"/>
        <v/>
      </c>
      <c r="AQ102" s="58" t="str">
        <f t="shared" si="39"/>
        <v>Daniel Cogan</v>
      </c>
    </row>
    <row r="103" spans="1:43" x14ac:dyDescent="0.25">
      <c r="A103" s="12" t="str">
        <f t="shared" si="25"/>
        <v>SM,46</v>
      </c>
      <c r="B103" s="12" t="str">
        <f t="shared" si="26"/>
        <v>M,95</v>
      </c>
      <c r="C103" s="11">
        <f t="shared" si="47"/>
        <v>102</v>
      </c>
      <c r="D103" s="171">
        <v>474</v>
      </c>
      <c r="E103" s="12">
        <f t="shared" si="24"/>
        <v>1</v>
      </c>
      <c r="F103" s="12">
        <f>COUNTIF(H$2:H103,H103)</f>
        <v>46</v>
      </c>
      <c r="G103" s="12">
        <f>COUNTIF(J$2:J103,J103)</f>
        <v>95</v>
      </c>
      <c r="H103" s="12" t="str">
        <f t="shared" si="40"/>
        <v>SM</v>
      </c>
      <c r="I103" s="50" t="str">
        <f t="shared" si="41"/>
        <v>SM</v>
      </c>
      <c r="J103" s="50" t="str">
        <f t="shared" si="42"/>
        <v>M</v>
      </c>
      <c r="K103" s="64" t="str">
        <f t="shared" si="43"/>
        <v>Richard Potter</v>
      </c>
      <c r="L103" s="64" t="str">
        <f t="shared" si="44"/>
        <v>East London Runners</v>
      </c>
      <c r="M103" s="171">
        <v>0</v>
      </c>
      <c r="N103" s="178">
        <v>21</v>
      </c>
      <c r="O103" s="178">
        <v>46</v>
      </c>
      <c r="P103" s="138">
        <f t="shared" si="27"/>
        <v>0</v>
      </c>
      <c r="Q103" s="137">
        <f t="shared" si="28"/>
        <v>21</v>
      </c>
      <c r="R103" s="143"/>
      <c r="S103" s="143"/>
      <c r="T103" s="143"/>
      <c r="U103" s="144"/>
      <c r="V103" s="144"/>
      <c r="W103" s="144"/>
      <c r="X103" s="145"/>
      <c r="Y103" s="152" t="str">
        <f t="shared" si="29"/>
        <v xml:space="preserve">   21.46 </v>
      </c>
      <c r="Z103" s="136"/>
      <c r="AA103" s="50">
        <f t="shared" si="45"/>
        <v>35</v>
      </c>
      <c r="AB103" s="129">
        <f t="shared" si="46"/>
        <v>30253</v>
      </c>
      <c r="AC103" s="58" t="str">
        <f t="shared" si="30"/>
        <v/>
      </c>
      <c r="AD103" s="58" t="str">
        <f t="shared" si="31"/>
        <v>MEast London Runners</v>
      </c>
      <c r="AE103" s="60">
        <f>IF(AD103="","",COUNTIF($AD$2:AD103,AD103))</f>
        <v>33</v>
      </c>
      <c r="AF103" s="62">
        <f>IF(AD103="","",SUMIF(AD$2:AD103,AD103,G$2:G103))</f>
        <v>1546</v>
      </c>
      <c r="AG103" s="62" t="str">
        <f>IF(AK103&lt;&gt;"",COUNTIF($AK$1:AK102,AK103)+AK103,IF(AL103&lt;&gt;"",COUNTIF($AL$1:AL102,AL103)+AL103,""))</f>
        <v/>
      </c>
      <c r="AH103" s="62" t="str">
        <f t="shared" si="32"/>
        <v>East London Runners</v>
      </c>
      <c r="AI103" s="62" t="str">
        <f>IF(AND(J103="M", AH103&lt;&gt;"U/A",AE103=Prizewinners!$J$1),AF103,"")</f>
        <v/>
      </c>
      <c r="AJ103" s="58" t="str">
        <f>IF(AND(J103="F",  AH103&lt;&gt;"U/A",AE103=Prizewinners!$J$16),AF103,"")</f>
        <v/>
      </c>
      <c r="AK103" s="58" t="str">
        <f t="shared" si="33"/>
        <v/>
      </c>
      <c r="AL103" s="58" t="str">
        <f t="shared" si="34"/>
        <v/>
      </c>
      <c r="AM103" s="58" t="str">
        <f t="shared" si="35"/>
        <v>MEast London Runners33</v>
      </c>
      <c r="AN103" s="58" t="str">
        <f t="shared" si="36"/>
        <v/>
      </c>
      <c r="AO103" s="58" t="str">
        <f t="shared" si="37"/>
        <v/>
      </c>
      <c r="AP103" s="58" t="str">
        <f t="shared" si="38"/>
        <v/>
      </c>
      <c r="AQ103" s="58" t="str">
        <f t="shared" si="39"/>
        <v>Richard Potter</v>
      </c>
    </row>
    <row r="104" spans="1:43" x14ac:dyDescent="0.25">
      <c r="A104" s="12" t="str">
        <f t="shared" si="25"/>
        <v>VF35,3</v>
      </c>
      <c r="B104" s="12" t="str">
        <f t="shared" si="26"/>
        <v>F,8</v>
      </c>
      <c r="C104" s="11">
        <f t="shared" si="47"/>
        <v>103</v>
      </c>
      <c r="D104" s="171">
        <v>96</v>
      </c>
      <c r="E104" s="12">
        <f t="shared" si="24"/>
        <v>1</v>
      </c>
      <c r="F104" s="12">
        <f>COUNTIF(H$2:H104,H104)</f>
        <v>3</v>
      </c>
      <c r="G104" s="12">
        <f>COUNTIF(J$2:J104,J104)</f>
        <v>8</v>
      </c>
      <c r="H104" s="12" t="str">
        <f t="shared" si="40"/>
        <v>VF35</v>
      </c>
      <c r="I104" s="50" t="str">
        <f t="shared" si="41"/>
        <v>VF35</v>
      </c>
      <c r="J104" s="50" t="str">
        <f t="shared" si="42"/>
        <v>F</v>
      </c>
      <c r="K104" s="64" t="str">
        <f t="shared" si="43"/>
        <v>Alison Taylor</v>
      </c>
      <c r="L104" s="64" t="str">
        <f t="shared" si="44"/>
        <v>Orion Harriers</v>
      </c>
      <c r="M104" s="171">
        <v>0</v>
      </c>
      <c r="N104" s="178">
        <v>21</v>
      </c>
      <c r="O104" s="178">
        <v>46</v>
      </c>
      <c r="P104" s="138">
        <f t="shared" si="27"/>
        <v>0</v>
      </c>
      <c r="Q104" s="137">
        <f t="shared" si="28"/>
        <v>21</v>
      </c>
      <c r="R104" s="143"/>
      <c r="S104" s="143"/>
      <c r="T104" s="143"/>
      <c r="U104" s="144"/>
      <c r="V104" s="144"/>
      <c r="W104" s="144"/>
      <c r="X104" s="145"/>
      <c r="Y104" s="152" t="str">
        <f t="shared" si="29"/>
        <v xml:space="preserve">   21.46 </v>
      </c>
      <c r="Z104" s="136"/>
      <c r="AA104" s="50">
        <f t="shared" si="45"/>
        <v>39</v>
      </c>
      <c r="AB104" s="129">
        <f t="shared" si="46"/>
        <v>28848</v>
      </c>
      <c r="AC104" s="58" t="str">
        <f t="shared" si="30"/>
        <v/>
      </c>
      <c r="AD104" s="58" t="str">
        <f t="shared" si="31"/>
        <v>FOrion Harriers</v>
      </c>
      <c r="AE104" s="60">
        <f>IF(AD104="","",COUNTIF($AD$2:AD104,AD104))</f>
        <v>1</v>
      </c>
      <c r="AF104" s="62">
        <f>IF(AD104="","",SUMIF(AD$2:AD104,AD104,G$2:G104))</f>
        <v>8</v>
      </c>
      <c r="AG104" s="62" t="str">
        <f>IF(AK104&lt;&gt;"",COUNTIF($AK$1:AK103,AK104)+AK104,IF(AL104&lt;&gt;"",COUNTIF($AL$1:AL103,AL104)+AL104,""))</f>
        <v/>
      </c>
      <c r="AH104" s="62" t="str">
        <f t="shared" si="32"/>
        <v>Orion Harriers</v>
      </c>
      <c r="AI104" s="62" t="str">
        <f>IF(AND(J104="M", AH104&lt;&gt;"U/A",AE104=Prizewinners!$J$1),AF104,"")</f>
        <v/>
      </c>
      <c r="AJ104" s="58" t="str">
        <f>IF(AND(J104="F",  AH104&lt;&gt;"U/A",AE104=Prizewinners!$J$16),AF104,"")</f>
        <v/>
      </c>
      <c r="AK104" s="58" t="str">
        <f t="shared" si="33"/>
        <v/>
      </c>
      <c r="AL104" s="58" t="str">
        <f t="shared" si="34"/>
        <v/>
      </c>
      <c r="AM104" s="58" t="str">
        <f t="shared" si="35"/>
        <v>FOrion Harriers1</v>
      </c>
      <c r="AN104" s="58" t="str">
        <f t="shared" si="36"/>
        <v/>
      </c>
      <c r="AO104" s="58" t="str">
        <f t="shared" si="37"/>
        <v/>
      </c>
      <c r="AP104" s="58" t="str">
        <f t="shared" si="38"/>
        <v/>
      </c>
      <c r="AQ104" s="58" t="str">
        <f t="shared" si="39"/>
        <v>Alison Taylor</v>
      </c>
    </row>
    <row r="105" spans="1:43" x14ac:dyDescent="0.25">
      <c r="A105" s="12" t="str">
        <f t="shared" si="25"/>
        <v>SM,47</v>
      </c>
      <c r="B105" s="12" t="str">
        <f t="shared" si="26"/>
        <v>M,96</v>
      </c>
      <c r="C105" s="11">
        <f t="shared" si="47"/>
        <v>104</v>
      </c>
      <c r="D105" s="171">
        <v>45</v>
      </c>
      <c r="E105" s="12">
        <f t="shared" si="24"/>
        <v>1</v>
      </c>
      <c r="F105" s="12">
        <f>COUNTIF(H$2:H105,H105)</f>
        <v>47</v>
      </c>
      <c r="G105" s="12">
        <f>COUNTIF(J$2:J105,J105)</f>
        <v>96</v>
      </c>
      <c r="H105" s="12" t="str">
        <f t="shared" si="40"/>
        <v>SM</v>
      </c>
      <c r="I105" s="50" t="str">
        <f t="shared" si="41"/>
        <v>SM</v>
      </c>
      <c r="J105" s="50" t="str">
        <f t="shared" si="42"/>
        <v>M</v>
      </c>
      <c r="K105" s="64" t="str">
        <f t="shared" si="43"/>
        <v>Lee Patten</v>
      </c>
      <c r="L105" s="64" t="str">
        <f t="shared" si="44"/>
        <v>Unattached</v>
      </c>
      <c r="M105" s="171">
        <v>0</v>
      </c>
      <c r="N105" s="178">
        <v>21</v>
      </c>
      <c r="O105" s="178">
        <v>47</v>
      </c>
      <c r="P105" s="138">
        <f t="shared" si="27"/>
        <v>0</v>
      </c>
      <c r="Q105" s="137">
        <f t="shared" si="28"/>
        <v>21</v>
      </c>
      <c r="R105" s="143"/>
      <c r="S105" s="143"/>
      <c r="T105" s="143"/>
      <c r="U105" s="144"/>
      <c r="V105" s="144"/>
      <c r="W105" s="144"/>
      <c r="X105" s="145"/>
      <c r="Y105" s="152" t="str">
        <f t="shared" si="29"/>
        <v xml:space="preserve">   21.47 </v>
      </c>
      <c r="Z105" s="136"/>
      <c r="AA105" s="50">
        <f t="shared" si="45"/>
        <v>36</v>
      </c>
      <c r="AB105" s="129">
        <f t="shared" si="46"/>
        <v>29966</v>
      </c>
      <c r="AC105" s="58" t="str">
        <f t="shared" si="30"/>
        <v>M9</v>
      </c>
      <c r="AD105" s="58" t="str">
        <f t="shared" si="31"/>
        <v>MUnattached</v>
      </c>
      <c r="AE105" s="60">
        <f>IF(AD105="","",COUNTIF($AD$2:AD105,AD105))</f>
        <v>3</v>
      </c>
      <c r="AF105" s="62">
        <f>IF(AD105="","",SUMIF(AD$2:AD105,AD105,G$2:G105))</f>
        <v>189</v>
      </c>
      <c r="AG105" s="62">
        <f>IF(AK105&lt;&gt;"",COUNTIF($AK$1:AK104,AK105)+AK105,IF(AL105&lt;&gt;"",COUNTIF($AL$1:AL104,AL105)+AL105,""))</f>
        <v>9</v>
      </c>
      <c r="AH105" s="62" t="str">
        <f t="shared" si="32"/>
        <v>Unattached</v>
      </c>
      <c r="AI105" s="62">
        <f>IF(AND(J105="M", AH105&lt;&gt;"U/A",AE105=Prizewinners!$J$1),AF105,"")</f>
        <v>189</v>
      </c>
      <c r="AJ105" s="58" t="str">
        <f>IF(AND(J105="F",  AH105&lt;&gt;"U/A",AE105=Prizewinners!$J$16),AF105,"")</f>
        <v/>
      </c>
      <c r="AK105" s="58">
        <f t="shared" si="33"/>
        <v>8</v>
      </c>
      <c r="AL105" s="58" t="str">
        <f t="shared" si="34"/>
        <v/>
      </c>
      <c r="AM105" s="58" t="str">
        <f t="shared" si="35"/>
        <v>MUnattached3</v>
      </c>
      <c r="AN105" s="58" t="str">
        <f t="shared" si="36"/>
        <v>Phil Enright</v>
      </c>
      <c r="AO105" s="58" t="str">
        <f t="shared" si="37"/>
        <v>Radoslaw Michalczuk</v>
      </c>
      <c r="AP105" s="58" t="str">
        <f t="shared" si="38"/>
        <v>Lee Patten</v>
      </c>
      <c r="AQ105" s="58" t="str">
        <f t="shared" si="39"/>
        <v>Lee Patten</v>
      </c>
    </row>
    <row r="106" spans="1:43" x14ac:dyDescent="0.25">
      <c r="A106" s="12" t="str">
        <f t="shared" si="25"/>
        <v>VM40,30</v>
      </c>
      <c r="B106" s="12" t="str">
        <f t="shared" si="26"/>
        <v>M,97</v>
      </c>
      <c r="C106" s="11">
        <f t="shared" si="47"/>
        <v>105</v>
      </c>
      <c r="D106" s="171">
        <v>341</v>
      </c>
      <c r="E106" s="12">
        <f t="shared" si="24"/>
        <v>1</v>
      </c>
      <c r="F106" s="12">
        <f>COUNTIF(H$2:H106,H106)</f>
        <v>30</v>
      </c>
      <c r="G106" s="12">
        <f>COUNTIF(J$2:J106,J106)</f>
        <v>97</v>
      </c>
      <c r="H106" s="12" t="str">
        <f t="shared" si="40"/>
        <v>VM40</v>
      </c>
      <c r="I106" s="50" t="str">
        <f t="shared" si="41"/>
        <v>VM40</v>
      </c>
      <c r="J106" s="50" t="str">
        <f t="shared" si="42"/>
        <v>M</v>
      </c>
      <c r="K106" s="64" t="str">
        <f t="shared" si="43"/>
        <v>Richard Guest</v>
      </c>
      <c r="L106" s="64" t="str">
        <f t="shared" si="44"/>
        <v>East London Runners</v>
      </c>
      <c r="M106" s="171">
        <v>0</v>
      </c>
      <c r="N106" s="178">
        <v>21</v>
      </c>
      <c r="O106" s="178">
        <v>51</v>
      </c>
      <c r="P106" s="138">
        <f t="shared" si="27"/>
        <v>0</v>
      </c>
      <c r="Q106" s="137">
        <f t="shared" si="28"/>
        <v>21</v>
      </c>
      <c r="R106" s="143"/>
      <c r="S106" s="143"/>
      <c r="T106" s="143"/>
      <c r="U106" s="144"/>
      <c r="V106" s="144"/>
      <c r="W106" s="144"/>
      <c r="X106" s="145"/>
      <c r="Y106" s="152" t="str">
        <f t="shared" si="29"/>
        <v xml:space="preserve">   21.51 </v>
      </c>
      <c r="Z106" s="136"/>
      <c r="AA106" s="50">
        <f t="shared" si="45"/>
        <v>45</v>
      </c>
      <c r="AB106" s="129">
        <f t="shared" si="46"/>
        <v>26671</v>
      </c>
      <c r="AC106" s="58" t="str">
        <f t="shared" si="30"/>
        <v/>
      </c>
      <c r="AD106" s="58" t="str">
        <f t="shared" si="31"/>
        <v>MEast London Runners</v>
      </c>
      <c r="AE106" s="60">
        <f>IF(AD106="","",COUNTIF($AD$2:AD106,AD106))</f>
        <v>34</v>
      </c>
      <c r="AF106" s="62">
        <f>IF(AD106="","",SUMIF(AD$2:AD106,AD106,G$2:G106))</f>
        <v>1643</v>
      </c>
      <c r="AG106" s="62" t="str">
        <f>IF(AK106&lt;&gt;"",COUNTIF($AK$1:AK105,AK106)+AK106,IF(AL106&lt;&gt;"",COUNTIF($AL$1:AL105,AL106)+AL106,""))</f>
        <v/>
      </c>
      <c r="AH106" s="62" t="str">
        <f t="shared" si="32"/>
        <v>East London Runners</v>
      </c>
      <c r="AI106" s="62" t="str">
        <f>IF(AND(J106="M", AH106&lt;&gt;"U/A",AE106=Prizewinners!$J$1),AF106,"")</f>
        <v/>
      </c>
      <c r="AJ106" s="58" t="str">
        <f>IF(AND(J106="F",  AH106&lt;&gt;"U/A",AE106=Prizewinners!$J$16),AF106,"")</f>
        <v/>
      </c>
      <c r="AK106" s="58" t="str">
        <f t="shared" si="33"/>
        <v/>
      </c>
      <c r="AL106" s="58" t="str">
        <f t="shared" si="34"/>
        <v/>
      </c>
      <c r="AM106" s="58" t="str">
        <f t="shared" si="35"/>
        <v>MEast London Runners34</v>
      </c>
      <c r="AN106" s="58" t="str">
        <f t="shared" si="36"/>
        <v/>
      </c>
      <c r="AO106" s="58" t="str">
        <f t="shared" si="37"/>
        <v/>
      </c>
      <c r="AP106" s="58" t="str">
        <f t="shared" si="38"/>
        <v/>
      </c>
      <c r="AQ106" s="58" t="str">
        <f t="shared" si="39"/>
        <v>Richard Guest</v>
      </c>
    </row>
    <row r="107" spans="1:43" x14ac:dyDescent="0.25">
      <c r="A107" s="12" t="str">
        <f t="shared" si="25"/>
        <v>VM60,6</v>
      </c>
      <c r="B107" s="12" t="str">
        <f t="shared" si="26"/>
        <v>M,98</v>
      </c>
      <c r="C107" s="11">
        <f t="shared" si="47"/>
        <v>106</v>
      </c>
      <c r="D107" s="171">
        <v>324</v>
      </c>
      <c r="E107" s="12">
        <f t="shared" si="24"/>
        <v>1</v>
      </c>
      <c r="F107" s="12">
        <f>COUNTIF(H$2:H107,H107)</f>
        <v>6</v>
      </c>
      <c r="G107" s="12">
        <f>COUNTIF(J$2:J107,J107)</f>
        <v>98</v>
      </c>
      <c r="H107" s="12" t="str">
        <f t="shared" si="40"/>
        <v>VM60</v>
      </c>
      <c r="I107" s="50" t="str">
        <f t="shared" si="41"/>
        <v>VM60</v>
      </c>
      <c r="J107" s="50" t="str">
        <f t="shared" si="42"/>
        <v>M</v>
      </c>
      <c r="K107" s="64" t="str">
        <f t="shared" si="43"/>
        <v>John Black</v>
      </c>
      <c r="L107" s="64" t="str">
        <f t="shared" si="44"/>
        <v>Eton Manor AC</v>
      </c>
      <c r="M107" s="171">
        <v>0</v>
      </c>
      <c r="N107" s="178">
        <v>21</v>
      </c>
      <c r="O107" s="178">
        <v>52</v>
      </c>
      <c r="P107" s="138">
        <f t="shared" si="27"/>
        <v>0</v>
      </c>
      <c r="Q107" s="137">
        <f t="shared" si="28"/>
        <v>21</v>
      </c>
      <c r="R107" s="143"/>
      <c r="S107" s="143"/>
      <c r="T107" s="143"/>
      <c r="U107" s="144"/>
      <c r="V107" s="144"/>
      <c r="W107" s="144"/>
      <c r="X107" s="145"/>
      <c r="Y107" s="152" t="str">
        <f t="shared" si="29"/>
        <v xml:space="preserve">   21.52 </v>
      </c>
      <c r="Z107" s="136"/>
      <c r="AA107" s="50">
        <f t="shared" si="45"/>
        <v>62</v>
      </c>
      <c r="AB107" s="129">
        <f t="shared" si="46"/>
        <v>20663</v>
      </c>
      <c r="AC107" s="58" t="str">
        <f t="shared" si="30"/>
        <v/>
      </c>
      <c r="AD107" s="58" t="str">
        <f t="shared" si="31"/>
        <v>MEton Manor AC</v>
      </c>
      <c r="AE107" s="60">
        <f>IF(AD107="","",COUNTIF($AD$2:AD107,AD107))</f>
        <v>5</v>
      </c>
      <c r="AF107" s="62">
        <f>IF(AD107="","",SUMIF(AD$2:AD107,AD107,G$2:G107))</f>
        <v>261</v>
      </c>
      <c r="AG107" s="62" t="str">
        <f>IF(AK107&lt;&gt;"",COUNTIF($AK$1:AK106,AK107)+AK107,IF(AL107&lt;&gt;"",COUNTIF($AL$1:AL106,AL107)+AL107,""))</f>
        <v/>
      </c>
      <c r="AH107" s="62" t="str">
        <f t="shared" si="32"/>
        <v>Eton Manor AC</v>
      </c>
      <c r="AI107" s="62" t="str">
        <f>IF(AND(J107="M", AH107&lt;&gt;"U/A",AE107=Prizewinners!$J$1),AF107,"")</f>
        <v/>
      </c>
      <c r="AJ107" s="58" t="str">
        <f>IF(AND(J107="F",  AH107&lt;&gt;"U/A",AE107=Prizewinners!$J$16),AF107,"")</f>
        <v/>
      </c>
      <c r="AK107" s="58" t="str">
        <f t="shared" si="33"/>
        <v/>
      </c>
      <c r="AL107" s="58" t="str">
        <f t="shared" si="34"/>
        <v/>
      </c>
      <c r="AM107" s="58" t="str">
        <f t="shared" si="35"/>
        <v>MEton Manor AC5</v>
      </c>
      <c r="AN107" s="58" t="str">
        <f t="shared" si="36"/>
        <v/>
      </c>
      <c r="AO107" s="58" t="str">
        <f t="shared" si="37"/>
        <v/>
      </c>
      <c r="AP107" s="58" t="str">
        <f t="shared" si="38"/>
        <v/>
      </c>
      <c r="AQ107" s="58" t="str">
        <f t="shared" si="39"/>
        <v>John Black</v>
      </c>
    </row>
    <row r="108" spans="1:43" x14ac:dyDescent="0.25">
      <c r="A108" s="12" t="str">
        <f t="shared" si="25"/>
        <v>SF,2</v>
      </c>
      <c r="B108" s="12" t="str">
        <f t="shared" si="26"/>
        <v>F,9</v>
      </c>
      <c r="C108" s="11">
        <f t="shared" si="47"/>
        <v>107</v>
      </c>
      <c r="D108" s="171">
        <v>339</v>
      </c>
      <c r="E108" s="12">
        <f t="shared" si="24"/>
        <v>1</v>
      </c>
      <c r="F108" s="12">
        <f>COUNTIF(H$2:H108,H108)</f>
        <v>2</v>
      </c>
      <c r="G108" s="12">
        <f>COUNTIF(J$2:J108,J108)</f>
        <v>9</v>
      </c>
      <c r="H108" s="12" t="str">
        <f t="shared" si="40"/>
        <v>SF</v>
      </c>
      <c r="I108" s="50" t="str">
        <f t="shared" si="41"/>
        <v>SF</v>
      </c>
      <c r="J108" s="50" t="str">
        <f t="shared" si="42"/>
        <v>F</v>
      </c>
      <c r="K108" s="64" t="str">
        <f t="shared" si="43"/>
        <v>Carlie Qirem</v>
      </c>
      <c r="L108" s="64" t="str">
        <f t="shared" si="44"/>
        <v>Ilford AC</v>
      </c>
      <c r="M108" s="171">
        <v>0</v>
      </c>
      <c r="N108" s="178">
        <v>21</v>
      </c>
      <c r="O108" s="178">
        <v>54</v>
      </c>
      <c r="P108" s="138">
        <f t="shared" si="27"/>
        <v>0</v>
      </c>
      <c r="Q108" s="137">
        <f t="shared" si="28"/>
        <v>21</v>
      </c>
      <c r="R108" s="143"/>
      <c r="S108" s="143"/>
      <c r="T108" s="143"/>
      <c r="U108" s="144"/>
      <c r="V108" s="144"/>
      <c r="W108" s="144"/>
      <c r="X108" s="145"/>
      <c r="Y108" s="152" t="str">
        <f t="shared" si="29"/>
        <v xml:space="preserve">   21.54 </v>
      </c>
      <c r="Z108" s="136"/>
      <c r="AA108" s="50">
        <f t="shared" si="45"/>
        <v>34</v>
      </c>
      <c r="AB108" s="129">
        <f t="shared" si="46"/>
        <v>30800</v>
      </c>
      <c r="AC108" s="58" t="str">
        <f t="shared" si="30"/>
        <v/>
      </c>
      <c r="AD108" s="58" t="str">
        <f t="shared" si="31"/>
        <v>FIlford AC</v>
      </c>
      <c r="AE108" s="60">
        <f>IF(AD108="","",COUNTIF($AD$2:AD108,AD108))</f>
        <v>2</v>
      </c>
      <c r="AF108" s="62">
        <f>IF(AD108="","",SUMIF(AD$2:AD108,AD108,G$2:G108))</f>
        <v>16</v>
      </c>
      <c r="AG108" s="62" t="str">
        <f>IF(AK108&lt;&gt;"",COUNTIF($AK$1:AK107,AK108)+AK108,IF(AL108&lt;&gt;"",COUNTIF($AL$1:AL107,AL108)+AL108,""))</f>
        <v/>
      </c>
      <c r="AH108" s="62" t="str">
        <f t="shared" si="32"/>
        <v>Ilford AC</v>
      </c>
      <c r="AI108" s="62" t="str">
        <f>IF(AND(J108="M", AH108&lt;&gt;"U/A",AE108=Prizewinners!$J$1),AF108,"")</f>
        <v/>
      </c>
      <c r="AJ108" s="58" t="str">
        <f>IF(AND(J108="F",  AH108&lt;&gt;"U/A",AE108=Prizewinners!$J$16),AF108,"")</f>
        <v/>
      </c>
      <c r="AK108" s="58" t="str">
        <f t="shared" si="33"/>
        <v/>
      </c>
      <c r="AL108" s="58" t="str">
        <f t="shared" si="34"/>
        <v/>
      </c>
      <c r="AM108" s="58" t="str">
        <f t="shared" si="35"/>
        <v>FIlford AC2</v>
      </c>
      <c r="AN108" s="58" t="str">
        <f t="shared" si="36"/>
        <v/>
      </c>
      <c r="AO108" s="58" t="str">
        <f t="shared" si="37"/>
        <v/>
      </c>
      <c r="AP108" s="58" t="str">
        <f t="shared" si="38"/>
        <v/>
      </c>
      <c r="AQ108" s="58" t="str">
        <f t="shared" si="39"/>
        <v>Carlie Qirem</v>
      </c>
    </row>
    <row r="109" spans="1:43" x14ac:dyDescent="0.25">
      <c r="A109" s="12" t="str">
        <f t="shared" si="25"/>
        <v>VF45,1</v>
      </c>
      <c r="B109" s="12" t="str">
        <f t="shared" si="26"/>
        <v>F,10</v>
      </c>
      <c r="C109" s="11">
        <f t="shared" si="47"/>
        <v>108</v>
      </c>
      <c r="D109" s="171">
        <v>493</v>
      </c>
      <c r="E109" s="12">
        <f t="shared" si="24"/>
        <v>1</v>
      </c>
      <c r="F109" s="12">
        <f>COUNTIF(H$2:H109,H109)</f>
        <v>1</v>
      </c>
      <c r="G109" s="12">
        <f>COUNTIF(J$2:J109,J109)</f>
        <v>10</v>
      </c>
      <c r="H109" s="12" t="str">
        <f t="shared" si="40"/>
        <v>VF45</v>
      </c>
      <c r="I109" s="50" t="str">
        <f t="shared" si="41"/>
        <v>VF45</v>
      </c>
      <c r="J109" s="50" t="str">
        <f t="shared" si="42"/>
        <v>F</v>
      </c>
      <c r="K109" s="64" t="str">
        <f t="shared" si="43"/>
        <v>Linda Day</v>
      </c>
      <c r="L109" s="64" t="str">
        <f t="shared" si="44"/>
        <v>Harold Wood Running Club</v>
      </c>
      <c r="M109" s="171">
        <v>0</v>
      </c>
      <c r="N109" s="178">
        <v>21</v>
      </c>
      <c r="O109" s="178">
        <v>55</v>
      </c>
      <c r="P109" s="138">
        <f t="shared" si="27"/>
        <v>0</v>
      </c>
      <c r="Q109" s="137">
        <f t="shared" si="28"/>
        <v>21</v>
      </c>
      <c r="R109" s="143"/>
      <c r="S109" s="143"/>
      <c r="T109" s="143"/>
      <c r="U109" s="144"/>
      <c r="V109" s="144"/>
      <c r="W109" s="144"/>
      <c r="X109" s="145"/>
      <c r="Y109" s="152" t="str">
        <f t="shared" si="29"/>
        <v xml:space="preserve">   21.55 </v>
      </c>
      <c r="Z109" s="136"/>
      <c r="AA109" s="50">
        <f t="shared" si="45"/>
        <v>46</v>
      </c>
      <c r="AB109" s="129">
        <f t="shared" si="46"/>
        <v>26498</v>
      </c>
      <c r="AC109" s="58" t="str">
        <f t="shared" si="30"/>
        <v/>
      </c>
      <c r="AD109" s="58" t="str">
        <f t="shared" si="31"/>
        <v>FHarold Wood Running Club</v>
      </c>
      <c r="AE109" s="60">
        <f>IF(AD109="","",COUNTIF($AD$2:AD109,AD109))</f>
        <v>1</v>
      </c>
      <c r="AF109" s="62">
        <f>IF(AD109="","",SUMIF(AD$2:AD109,AD109,G$2:G109))</f>
        <v>10</v>
      </c>
      <c r="AG109" s="62" t="str">
        <f>IF(AK109&lt;&gt;"",COUNTIF($AK$1:AK108,AK109)+AK109,IF(AL109&lt;&gt;"",COUNTIF($AL$1:AL108,AL109)+AL109,""))</f>
        <v/>
      </c>
      <c r="AH109" s="62" t="str">
        <f t="shared" si="32"/>
        <v>Harold Wood Running Club</v>
      </c>
      <c r="AI109" s="62" t="str">
        <f>IF(AND(J109="M", AH109&lt;&gt;"U/A",AE109=Prizewinners!$J$1),AF109,"")</f>
        <v/>
      </c>
      <c r="AJ109" s="58" t="str">
        <f>IF(AND(J109="F",  AH109&lt;&gt;"U/A",AE109=Prizewinners!$J$16),AF109,"")</f>
        <v/>
      </c>
      <c r="AK109" s="58" t="str">
        <f t="shared" si="33"/>
        <v/>
      </c>
      <c r="AL109" s="58" t="str">
        <f t="shared" si="34"/>
        <v/>
      </c>
      <c r="AM109" s="58" t="str">
        <f t="shared" si="35"/>
        <v>FHarold Wood Running Club1</v>
      </c>
      <c r="AN109" s="58" t="str">
        <f t="shared" si="36"/>
        <v/>
      </c>
      <c r="AO109" s="58" t="str">
        <f t="shared" si="37"/>
        <v/>
      </c>
      <c r="AP109" s="58" t="str">
        <f t="shared" si="38"/>
        <v/>
      </c>
      <c r="AQ109" s="58" t="str">
        <f t="shared" si="39"/>
        <v>Linda Day</v>
      </c>
    </row>
    <row r="110" spans="1:43" x14ac:dyDescent="0.25">
      <c r="A110" s="12" t="str">
        <f t="shared" si="25"/>
        <v>SM,48</v>
      </c>
      <c r="B110" s="12" t="str">
        <f t="shared" si="26"/>
        <v>M,99</v>
      </c>
      <c r="C110" s="11">
        <f t="shared" si="47"/>
        <v>109</v>
      </c>
      <c r="D110" s="171">
        <v>27</v>
      </c>
      <c r="E110" s="12">
        <f t="shared" si="24"/>
        <v>1</v>
      </c>
      <c r="F110" s="12">
        <f>COUNTIF(H$2:H110,H110)</f>
        <v>48</v>
      </c>
      <c r="G110" s="12">
        <f>COUNTIF(J$2:J110,J110)</f>
        <v>99</v>
      </c>
      <c r="H110" s="12" t="str">
        <f t="shared" si="40"/>
        <v>SM</v>
      </c>
      <c r="I110" s="50" t="str">
        <f t="shared" si="41"/>
        <v>SM</v>
      </c>
      <c r="J110" s="50" t="str">
        <f t="shared" si="42"/>
        <v>M</v>
      </c>
      <c r="K110" s="64" t="str">
        <f t="shared" si="43"/>
        <v>Paul Depree</v>
      </c>
      <c r="L110" s="64" t="str">
        <f t="shared" si="44"/>
        <v>Harold Wood Running Club</v>
      </c>
      <c r="M110" s="171">
        <v>0</v>
      </c>
      <c r="N110" s="178">
        <v>21</v>
      </c>
      <c r="O110" s="178">
        <v>56</v>
      </c>
      <c r="P110" s="138">
        <f t="shared" si="27"/>
        <v>0</v>
      </c>
      <c r="Q110" s="137">
        <f t="shared" si="28"/>
        <v>21</v>
      </c>
      <c r="R110" s="143"/>
      <c r="S110" s="143"/>
      <c r="T110" s="143"/>
      <c r="U110" s="144"/>
      <c r="V110" s="144"/>
      <c r="W110" s="144"/>
      <c r="X110" s="145"/>
      <c r="Y110" s="152" t="str">
        <f t="shared" si="29"/>
        <v xml:space="preserve">   21.56 </v>
      </c>
      <c r="Z110" s="136"/>
      <c r="AA110" s="50">
        <f t="shared" si="45"/>
        <v>39</v>
      </c>
      <c r="AB110" s="129">
        <f t="shared" si="46"/>
        <v>28756</v>
      </c>
      <c r="AC110" s="58" t="str">
        <f t="shared" si="30"/>
        <v/>
      </c>
      <c r="AD110" s="58" t="str">
        <f t="shared" si="31"/>
        <v>MHarold Wood Running Club</v>
      </c>
      <c r="AE110" s="60">
        <f>IF(AD110="","",COUNTIF($AD$2:AD110,AD110))</f>
        <v>5</v>
      </c>
      <c r="AF110" s="62">
        <f>IF(AD110="","",SUMIF(AD$2:AD110,AD110,G$2:G110))</f>
        <v>213</v>
      </c>
      <c r="AG110" s="62" t="str">
        <f>IF(AK110&lt;&gt;"",COUNTIF($AK$1:AK109,AK110)+AK110,IF(AL110&lt;&gt;"",COUNTIF($AL$1:AL109,AL110)+AL110,""))</f>
        <v/>
      </c>
      <c r="AH110" s="62" t="str">
        <f t="shared" si="32"/>
        <v>Harold Wood Running Club</v>
      </c>
      <c r="AI110" s="62" t="str">
        <f>IF(AND(J110="M", AH110&lt;&gt;"U/A",AE110=Prizewinners!$J$1),AF110,"")</f>
        <v/>
      </c>
      <c r="AJ110" s="58" t="str">
        <f>IF(AND(J110="F",  AH110&lt;&gt;"U/A",AE110=Prizewinners!$J$16),AF110,"")</f>
        <v/>
      </c>
      <c r="AK110" s="58" t="str">
        <f t="shared" si="33"/>
        <v/>
      </c>
      <c r="AL110" s="58" t="str">
        <f t="shared" si="34"/>
        <v/>
      </c>
      <c r="AM110" s="58" t="str">
        <f t="shared" si="35"/>
        <v>MHarold Wood Running Club5</v>
      </c>
      <c r="AN110" s="58" t="str">
        <f t="shared" si="36"/>
        <v/>
      </c>
      <c r="AO110" s="58" t="str">
        <f t="shared" si="37"/>
        <v/>
      </c>
      <c r="AP110" s="58" t="str">
        <f t="shared" si="38"/>
        <v/>
      </c>
      <c r="AQ110" s="58" t="str">
        <f t="shared" si="39"/>
        <v>Paul Depree</v>
      </c>
    </row>
    <row r="111" spans="1:43" x14ac:dyDescent="0.25">
      <c r="A111" s="12" t="str">
        <f t="shared" si="25"/>
        <v>VM60,7</v>
      </c>
      <c r="B111" s="12" t="str">
        <f t="shared" si="26"/>
        <v>M,100</v>
      </c>
      <c r="C111" s="11">
        <f t="shared" si="47"/>
        <v>110</v>
      </c>
      <c r="D111" s="171">
        <v>434</v>
      </c>
      <c r="E111" s="12">
        <f t="shared" si="24"/>
        <v>1</v>
      </c>
      <c r="F111" s="12">
        <f>COUNTIF(H$2:H111,H111)</f>
        <v>7</v>
      </c>
      <c r="G111" s="12">
        <f>COUNTIF(J$2:J111,J111)</f>
        <v>100</v>
      </c>
      <c r="H111" s="12" t="str">
        <f t="shared" si="40"/>
        <v>VM60</v>
      </c>
      <c r="I111" s="50" t="str">
        <f t="shared" si="41"/>
        <v>VM60</v>
      </c>
      <c r="J111" s="50" t="str">
        <f t="shared" si="42"/>
        <v>M</v>
      </c>
      <c r="K111" s="64" t="str">
        <f t="shared" si="43"/>
        <v>Andrew Catton</v>
      </c>
      <c r="L111" s="64" t="str">
        <f t="shared" si="44"/>
        <v>Ilford AC</v>
      </c>
      <c r="M111" s="171">
        <v>0</v>
      </c>
      <c r="N111" s="178">
        <v>22</v>
      </c>
      <c r="O111" s="178">
        <v>0</v>
      </c>
      <c r="P111" s="138">
        <f t="shared" si="27"/>
        <v>0</v>
      </c>
      <c r="Q111" s="137">
        <f t="shared" si="28"/>
        <v>22</v>
      </c>
      <c r="R111" s="143"/>
      <c r="S111" s="143"/>
      <c r="T111" s="143"/>
      <c r="U111" s="144"/>
      <c r="V111" s="144"/>
      <c r="W111" s="144"/>
      <c r="X111" s="145"/>
      <c r="Y111" s="152" t="str">
        <f t="shared" si="29"/>
        <v xml:space="preserve">   22.00 </v>
      </c>
      <c r="Z111" s="136"/>
      <c r="AA111" s="50">
        <f t="shared" si="45"/>
        <v>65</v>
      </c>
      <c r="AB111" s="129">
        <f t="shared" si="46"/>
        <v>19528</v>
      </c>
      <c r="AC111" s="58" t="str">
        <f t="shared" si="30"/>
        <v/>
      </c>
      <c r="AD111" s="58" t="str">
        <f t="shared" si="31"/>
        <v>MIlford AC</v>
      </c>
      <c r="AE111" s="60">
        <f>IF(AD111="","",COUNTIF($AD$2:AD111,AD111))</f>
        <v>14</v>
      </c>
      <c r="AF111" s="62">
        <f>IF(AD111="","",SUMIF(AD$2:AD111,AD111,G$2:G111))</f>
        <v>538</v>
      </c>
      <c r="AG111" s="62" t="str">
        <f>IF(AK111&lt;&gt;"",COUNTIF($AK$1:AK110,AK111)+AK111,IF(AL111&lt;&gt;"",COUNTIF($AL$1:AL110,AL111)+AL111,""))</f>
        <v/>
      </c>
      <c r="AH111" s="62" t="str">
        <f t="shared" si="32"/>
        <v>Ilford AC</v>
      </c>
      <c r="AI111" s="62" t="str">
        <f>IF(AND(J111="M", AH111&lt;&gt;"U/A",AE111=Prizewinners!$J$1),AF111,"")</f>
        <v/>
      </c>
      <c r="AJ111" s="58" t="str">
        <f>IF(AND(J111="F",  AH111&lt;&gt;"U/A",AE111=Prizewinners!$J$16),AF111,"")</f>
        <v/>
      </c>
      <c r="AK111" s="58" t="str">
        <f t="shared" si="33"/>
        <v/>
      </c>
      <c r="AL111" s="58" t="str">
        <f t="shared" si="34"/>
        <v/>
      </c>
      <c r="AM111" s="58" t="str">
        <f t="shared" si="35"/>
        <v>MIlford AC14</v>
      </c>
      <c r="AN111" s="58" t="str">
        <f t="shared" si="36"/>
        <v/>
      </c>
      <c r="AO111" s="58" t="str">
        <f t="shared" si="37"/>
        <v/>
      </c>
      <c r="AP111" s="58" t="str">
        <f t="shared" si="38"/>
        <v/>
      </c>
      <c r="AQ111" s="58" t="str">
        <f t="shared" si="39"/>
        <v>Andrew Catton</v>
      </c>
    </row>
    <row r="112" spans="1:43" x14ac:dyDescent="0.25">
      <c r="A112" s="12" t="str">
        <f t="shared" si="25"/>
        <v>VM50,13</v>
      </c>
      <c r="B112" s="12" t="str">
        <f t="shared" si="26"/>
        <v>M,101</v>
      </c>
      <c r="C112" s="11">
        <f t="shared" si="47"/>
        <v>111</v>
      </c>
      <c r="D112" s="171">
        <v>46</v>
      </c>
      <c r="E112" s="12">
        <f t="shared" si="24"/>
        <v>1</v>
      </c>
      <c r="F112" s="12">
        <f>COUNTIF(H$2:H112,H112)</f>
        <v>13</v>
      </c>
      <c r="G112" s="12">
        <f>COUNTIF(J$2:J112,J112)</f>
        <v>101</v>
      </c>
      <c r="H112" s="12" t="str">
        <f t="shared" si="40"/>
        <v>VM50</v>
      </c>
      <c r="I112" s="50" t="str">
        <f t="shared" si="41"/>
        <v>VM50</v>
      </c>
      <c r="J112" s="50" t="str">
        <f t="shared" si="42"/>
        <v>M</v>
      </c>
      <c r="K112" s="64" t="str">
        <f t="shared" si="43"/>
        <v>Danny Fitzsimons</v>
      </c>
      <c r="L112" s="64" t="str">
        <f t="shared" si="44"/>
        <v>Orion Harriers</v>
      </c>
      <c r="M112" s="171">
        <v>0</v>
      </c>
      <c r="N112" s="178">
        <v>22</v>
      </c>
      <c r="O112" s="178">
        <v>1</v>
      </c>
      <c r="P112" s="138">
        <f t="shared" si="27"/>
        <v>0</v>
      </c>
      <c r="Q112" s="137">
        <f t="shared" si="28"/>
        <v>22</v>
      </c>
      <c r="R112" s="143"/>
      <c r="S112" s="143"/>
      <c r="T112" s="143"/>
      <c r="U112" s="144"/>
      <c r="V112" s="144"/>
      <c r="W112" s="144"/>
      <c r="X112" s="145"/>
      <c r="Y112" s="152" t="str">
        <f t="shared" si="29"/>
        <v xml:space="preserve">   22.01 </v>
      </c>
      <c r="Z112" s="136"/>
      <c r="AA112" s="50">
        <f t="shared" si="45"/>
        <v>53</v>
      </c>
      <c r="AB112" s="129">
        <f t="shared" si="46"/>
        <v>23899</v>
      </c>
      <c r="AC112" s="58" t="str">
        <f t="shared" si="30"/>
        <v/>
      </c>
      <c r="AD112" s="58" t="str">
        <f t="shared" si="31"/>
        <v>MOrion Harriers</v>
      </c>
      <c r="AE112" s="60">
        <f>IF(AD112="","",COUNTIF($AD$2:AD112,AD112))</f>
        <v>8</v>
      </c>
      <c r="AF112" s="62">
        <f>IF(AD112="","",SUMIF(AD$2:AD112,AD112,G$2:G112))</f>
        <v>534</v>
      </c>
      <c r="AG112" s="62" t="str">
        <f>IF(AK112&lt;&gt;"",COUNTIF($AK$1:AK111,AK112)+AK112,IF(AL112&lt;&gt;"",COUNTIF($AL$1:AL111,AL112)+AL112,""))</f>
        <v/>
      </c>
      <c r="AH112" s="62" t="str">
        <f t="shared" si="32"/>
        <v>Orion Harriers</v>
      </c>
      <c r="AI112" s="62" t="str">
        <f>IF(AND(J112="M", AH112&lt;&gt;"U/A",AE112=Prizewinners!$J$1),AF112,"")</f>
        <v/>
      </c>
      <c r="AJ112" s="58" t="str">
        <f>IF(AND(J112="F",  AH112&lt;&gt;"U/A",AE112=Prizewinners!$J$16),AF112,"")</f>
        <v/>
      </c>
      <c r="AK112" s="58" t="str">
        <f t="shared" si="33"/>
        <v/>
      </c>
      <c r="AL112" s="58" t="str">
        <f t="shared" si="34"/>
        <v/>
      </c>
      <c r="AM112" s="58" t="str">
        <f t="shared" si="35"/>
        <v>MOrion Harriers8</v>
      </c>
      <c r="AN112" s="58" t="str">
        <f t="shared" si="36"/>
        <v/>
      </c>
      <c r="AO112" s="58" t="str">
        <f t="shared" si="37"/>
        <v/>
      </c>
      <c r="AP112" s="58" t="str">
        <f t="shared" si="38"/>
        <v/>
      </c>
      <c r="AQ112" s="58" t="str">
        <f t="shared" si="39"/>
        <v>Danny Fitzsimons</v>
      </c>
    </row>
    <row r="113" spans="1:43" x14ac:dyDescent="0.25">
      <c r="A113" s="12" t="str">
        <f t="shared" si="25"/>
        <v>VM40,31</v>
      </c>
      <c r="B113" s="12" t="str">
        <f t="shared" si="26"/>
        <v>M,102</v>
      </c>
      <c r="C113" s="11">
        <f t="shared" si="47"/>
        <v>112</v>
      </c>
      <c r="D113" s="171">
        <v>142</v>
      </c>
      <c r="E113" s="12">
        <f t="shared" si="24"/>
        <v>1</v>
      </c>
      <c r="F113" s="12">
        <f>COUNTIF(H$2:H113,H113)</f>
        <v>31</v>
      </c>
      <c r="G113" s="12">
        <f>COUNTIF(J$2:J113,J113)</f>
        <v>102</v>
      </c>
      <c r="H113" s="12" t="str">
        <f t="shared" si="40"/>
        <v>VM40</v>
      </c>
      <c r="I113" s="50" t="str">
        <f t="shared" si="41"/>
        <v>VM40</v>
      </c>
      <c r="J113" s="50" t="str">
        <f t="shared" si="42"/>
        <v>M</v>
      </c>
      <c r="K113" s="64" t="str">
        <f t="shared" si="43"/>
        <v>Regis Martin</v>
      </c>
      <c r="L113" s="64" t="str">
        <f t="shared" si="44"/>
        <v>East London Runners</v>
      </c>
      <c r="M113" s="171">
        <v>0</v>
      </c>
      <c r="N113" s="178">
        <v>22</v>
      </c>
      <c r="O113" s="178">
        <v>2</v>
      </c>
      <c r="P113" s="138">
        <f t="shared" si="27"/>
        <v>0</v>
      </c>
      <c r="Q113" s="137">
        <f t="shared" si="28"/>
        <v>22</v>
      </c>
      <c r="R113" s="143"/>
      <c r="S113" s="143"/>
      <c r="T113" s="143"/>
      <c r="U113" s="144"/>
      <c r="V113" s="144"/>
      <c r="W113" s="144"/>
      <c r="X113" s="145"/>
      <c r="Y113" s="152" t="str">
        <f t="shared" si="29"/>
        <v xml:space="preserve">   22.02 </v>
      </c>
      <c r="Z113" s="136"/>
      <c r="AA113" s="50">
        <f t="shared" si="45"/>
        <v>45</v>
      </c>
      <c r="AB113" s="129">
        <f t="shared" si="46"/>
        <v>26630</v>
      </c>
      <c r="AC113" s="58" t="str">
        <f t="shared" si="30"/>
        <v/>
      </c>
      <c r="AD113" s="58" t="str">
        <f t="shared" si="31"/>
        <v>MEast London Runners</v>
      </c>
      <c r="AE113" s="60">
        <f>IF(AD113="","",COUNTIF($AD$2:AD113,AD113))</f>
        <v>35</v>
      </c>
      <c r="AF113" s="62">
        <f>IF(AD113="","",SUMIF(AD$2:AD113,AD113,G$2:G113))</f>
        <v>1745</v>
      </c>
      <c r="AG113" s="62" t="str">
        <f>IF(AK113&lt;&gt;"",COUNTIF($AK$1:AK112,AK113)+AK113,IF(AL113&lt;&gt;"",COUNTIF($AL$1:AL112,AL113)+AL113,""))</f>
        <v/>
      </c>
      <c r="AH113" s="62" t="str">
        <f t="shared" si="32"/>
        <v>East London Runners</v>
      </c>
      <c r="AI113" s="62" t="str">
        <f>IF(AND(J113="M", AH113&lt;&gt;"U/A",AE113=Prizewinners!$J$1),AF113,"")</f>
        <v/>
      </c>
      <c r="AJ113" s="58" t="str">
        <f>IF(AND(J113="F",  AH113&lt;&gt;"U/A",AE113=Prizewinners!$J$16),AF113,"")</f>
        <v/>
      </c>
      <c r="AK113" s="58" t="str">
        <f t="shared" si="33"/>
        <v/>
      </c>
      <c r="AL113" s="58" t="str">
        <f t="shared" si="34"/>
        <v/>
      </c>
      <c r="AM113" s="58" t="str">
        <f t="shared" si="35"/>
        <v>MEast London Runners35</v>
      </c>
      <c r="AN113" s="58" t="str">
        <f t="shared" si="36"/>
        <v/>
      </c>
      <c r="AO113" s="58" t="str">
        <f t="shared" si="37"/>
        <v/>
      </c>
      <c r="AP113" s="58" t="str">
        <f t="shared" si="38"/>
        <v/>
      </c>
      <c r="AQ113" s="58" t="str">
        <f t="shared" si="39"/>
        <v>Regis Martin</v>
      </c>
    </row>
    <row r="114" spans="1:43" x14ac:dyDescent="0.25">
      <c r="A114" s="12" t="str">
        <f t="shared" si="25"/>
        <v>VF45,2</v>
      </c>
      <c r="B114" s="12" t="str">
        <f t="shared" si="26"/>
        <v>F,11</v>
      </c>
      <c r="C114" s="11">
        <f t="shared" si="47"/>
        <v>113</v>
      </c>
      <c r="D114" s="171">
        <v>421</v>
      </c>
      <c r="E114" s="12">
        <f t="shared" si="24"/>
        <v>1</v>
      </c>
      <c r="F114" s="12">
        <f>COUNTIF(H$2:H114,H114)</f>
        <v>2</v>
      </c>
      <c r="G114" s="12">
        <f>COUNTIF(J$2:J114,J114)</f>
        <v>11</v>
      </c>
      <c r="H114" s="12" t="str">
        <f t="shared" si="40"/>
        <v>VF45</v>
      </c>
      <c r="I114" s="50" t="str">
        <f t="shared" si="41"/>
        <v>VF45</v>
      </c>
      <c r="J114" s="50" t="str">
        <f t="shared" si="42"/>
        <v>F</v>
      </c>
      <c r="K114" s="64" t="str">
        <f t="shared" si="43"/>
        <v>Kate Malcolm</v>
      </c>
      <c r="L114" s="64" t="str">
        <f t="shared" si="44"/>
        <v>Eton Manor AC</v>
      </c>
      <c r="M114" s="171">
        <v>0</v>
      </c>
      <c r="N114" s="178">
        <v>22</v>
      </c>
      <c r="O114" s="178">
        <v>5</v>
      </c>
      <c r="P114" s="138">
        <f t="shared" si="27"/>
        <v>0</v>
      </c>
      <c r="Q114" s="137">
        <f t="shared" si="28"/>
        <v>22</v>
      </c>
      <c r="R114" s="143"/>
      <c r="S114" s="143"/>
      <c r="T114" s="143"/>
      <c r="U114" s="144"/>
      <c r="V114" s="144"/>
      <c r="W114" s="144"/>
      <c r="X114" s="145"/>
      <c r="Y114" s="152" t="str">
        <f t="shared" si="29"/>
        <v xml:space="preserve">   22.05 </v>
      </c>
      <c r="Z114" s="136"/>
      <c r="AA114" s="50">
        <f t="shared" si="45"/>
        <v>45</v>
      </c>
      <c r="AB114" s="129">
        <f t="shared" si="46"/>
        <v>26654</v>
      </c>
      <c r="AC114" s="58" t="str">
        <f t="shared" si="30"/>
        <v/>
      </c>
      <c r="AD114" s="58" t="str">
        <f t="shared" si="31"/>
        <v>FEton Manor AC</v>
      </c>
      <c r="AE114" s="60">
        <f>IF(AD114="","",COUNTIF($AD$2:AD114,AD114))</f>
        <v>2</v>
      </c>
      <c r="AF114" s="62">
        <f>IF(AD114="","",SUMIF(AD$2:AD114,AD114,G$2:G114))</f>
        <v>15</v>
      </c>
      <c r="AG114" s="62" t="str">
        <f>IF(AK114&lt;&gt;"",COUNTIF($AK$1:AK113,AK114)+AK114,IF(AL114&lt;&gt;"",COUNTIF($AL$1:AL113,AL114)+AL114,""))</f>
        <v/>
      </c>
      <c r="AH114" s="62" t="str">
        <f t="shared" si="32"/>
        <v>Eton Manor AC</v>
      </c>
      <c r="AI114" s="62" t="str">
        <f>IF(AND(J114="M", AH114&lt;&gt;"U/A",AE114=Prizewinners!$J$1),AF114,"")</f>
        <v/>
      </c>
      <c r="AJ114" s="58" t="str">
        <f>IF(AND(J114="F",  AH114&lt;&gt;"U/A",AE114=Prizewinners!$J$16),AF114,"")</f>
        <v/>
      </c>
      <c r="AK114" s="58" t="str">
        <f t="shared" si="33"/>
        <v/>
      </c>
      <c r="AL114" s="58" t="str">
        <f t="shared" si="34"/>
        <v/>
      </c>
      <c r="AM114" s="58" t="str">
        <f t="shared" si="35"/>
        <v>FEton Manor AC2</v>
      </c>
      <c r="AN114" s="58" t="str">
        <f t="shared" si="36"/>
        <v/>
      </c>
      <c r="AO114" s="58" t="str">
        <f t="shared" si="37"/>
        <v/>
      </c>
      <c r="AP114" s="58" t="str">
        <f t="shared" si="38"/>
        <v/>
      </c>
      <c r="AQ114" s="58" t="str">
        <f t="shared" si="39"/>
        <v>Kate Malcolm</v>
      </c>
    </row>
    <row r="115" spans="1:43" x14ac:dyDescent="0.25">
      <c r="A115" s="12" t="str">
        <f t="shared" si="25"/>
        <v>VF55,2</v>
      </c>
      <c r="B115" s="12" t="str">
        <f t="shared" si="26"/>
        <v>F,12</v>
      </c>
      <c r="C115" s="11">
        <f t="shared" si="47"/>
        <v>114</v>
      </c>
      <c r="D115" s="171">
        <v>59</v>
      </c>
      <c r="E115" s="12">
        <f t="shared" si="24"/>
        <v>1</v>
      </c>
      <c r="F115" s="12">
        <f>COUNTIF(H$2:H115,H115)</f>
        <v>2</v>
      </c>
      <c r="G115" s="12">
        <f>COUNTIF(J$2:J115,J115)</f>
        <v>12</v>
      </c>
      <c r="H115" s="12" t="str">
        <f t="shared" si="40"/>
        <v>VF55</v>
      </c>
      <c r="I115" s="50" t="str">
        <f t="shared" si="41"/>
        <v>VF55</v>
      </c>
      <c r="J115" s="50" t="str">
        <f t="shared" si="42"/>
        <v>F</v>
      </c>
      <c r="K115" s="64" t="str">
        <f t="shared" si="43"/>
        <v>Christine Inch</v>
      </c>
      <c r="L115" s="64" t="str">
        <f t="shared" si="44"/>
        <v>Orion Harriers</v>
      </c>
      <c r="M115" s="171">
        <v>0</v>
      </c>
      <c r="N115" s="178">
        <v>22</v>
      </c>
      <c r="O115" s="178">
        <v>7</v>
      </c>
      <c r="P115" s="138">
        <f t="shared" si="27"/>
        <v>0</v>
      </c>
      <c r="Q115" s="137">
        <f t="shared" si="28"/>
        <v>22</v>
      </c>
      <c r="R115" s="143"/>
      <c r="S115" s="143"/>
      <c r="T115" s="143"/>
      <c r="U115" s="144"/>
      <c r="V115" s="144"/>
      <c r="W115" s="144"/>
      <c r="X115" s="145"/>
      <c r="Y115" s="152" t="str">
        <f t="shared" si="29"/>
        <v xml:space="preserve">   22.07 </v>
      </c>
      <c r="Z115" s="136"/>
      <c r="AA115" s="50">
        <f t="shared" si="45"/>
        <v>57</v>
      </c>
      <c r="AB115" s="129">
        <f t="shared" si="46"/>
        <v>22236</v>
      </c>
      <c r="AC115" s="58" t="str">
        <f t="shared" si="30"/>
        <v/>
      </c>
      <c r="AD115" s="58" t="str">
        <f t="shared" si="31"/>
        <v>FOrion Harriers</v>
      </c>
      <c r="AE115" s="60">
        <f>IF(AD115="","",COUNTIF($AD$2:AD115,AD115))</f>
        <v>2</v>
      </c>
      <c r="AF115" s="62">
        <f>IF(AD115="","",SUMIF(AD$2:AD115,AD115,G$2:G115))</f>
        <v>20</v>
      </c>
      <c r="AG115" s="62" t="str">
        <f>IF(AK115&lt;&gt;"",COUNTIF($AK$1:AK114,AK115)+AK115,IF(AL115&lt;&gt;"",COUNTIF($AL$1:AL114,AL115)+AL115,""))</f>
        <v/>
      </c>
      <c r="AH115" s="62" t="str">
        <f t="shared" si="32"/>
        <v>Orion Harriers</v>
      </c>
      <c r="AI115" s="62" t="str">
        <f>IF(AND(J115="M", AH115&lt;&gt;"U/A",AE115=Prizewinners!$J$1),AF115,"")</f>
        <v/>
      </c>
      <c r="AJ115" s="58" t="str">
        <f>IF(AND(J115="F",  AH115&lt;&gt;"U/A",AE115=Prizewinners!$J$16),AF115,"")</f>
        <v/>
      </c>
      <c r="AK115" s="58" t="str">
        <f t="shared" si="33"/>
        <v/>
      </c>
      <c r="AL115" s="58" t="str">
        <f t="shared" si="34"/>
        <v/>
      </c>
      <c r="AM115" s="58" t="str">
        <f t="shared" si="35"/>
        <v>FOrion Harriers2</v>
      </c>
      <c r="AN115" s="58" t="str">
        <f t="shared" si="36"/>
        <v/>
      </c>
      <c r="AO115" s="58" t="str">
        <f t="shared" si="37"/>
        <v/>
      </c>
      <c r="AP115" s="58" t="str">
        <f t="shared" si="38"/>
        <v/>
      </c>
      <c r="AQ115" s="58" t="str">
        <f t="shared" si="39"/>
        <v>Christine Inch</v>
      </c>
    </row>
    <row r="116" spans="1:43" x14ac:dyDescent="0.25">
      <c r="A116" s="12" t="str">
        <f t="shared" si="25"/>
        <v>VM50,14</v>
      </c>
      <c r="B116" s="12" t="str">
        <f t="shared" si="26"/>
        <v>M,103</v>
      </c>
      <c r="C116" s="11">
        <f t="shared" si="47"/>
        <v>115</v>
      </c>
      <c r="D116" s="171">
        <v>416</v>
      </c>
      <c r="E116" s="12">
        <f t="shared" si="24"/>
        <v>1</v>
      </c>
      <c r="F116" s="12">
        <f>COUNTIF(H$2:H116,H116)</f>
        <v>14</v>
      </c>
      <c r="G116" s="12">
        <f>COUNTIF(J$2:J116,J116)</f>
        <v>103</v>
      </c>
      <c r="H116" s="12" t="str">
        <f t="shared" si="40"/>
        <v>VM50</v>
      </c>
      <c r="I116" s="50" t="str">
        <f t="shared" si="41"/>
        <v>VM50</v>
      </c>
      <c r="J116" s="50" t="str">
        <f t="shared" si="42"/>
        <v>M</v>
      </c>
      <c r="K116" s="64" t="str">
        <f t="shared" si="43"/>
        <v>Grant Conway</v>
      </c>
      <c r="L116" s="64" t="str">
        <f t="shared" si="44"/>
        <v>East London Runners</v>
      </c>
      <c r="M116" s="171">
        <v>0</v>
      </c>
      <c r="N116" s="178">
        <v>22</v>
      </c>
      <c r="O116" s="178">
        <v>12</v>
      </c>
      <c r="P116" s="138">
        <f t="shared" si="27"/>
        <v>0</v>
      </c>
      <c r="Q116" s="137">
        <f t="shared" si="28"/>
        <v>22</v>
      </c>
      <c r="R116" s="143"/>
      <c r="S116" s="143"/>
      <c r="T116" s="143"/>
      <c r="U116" s="144"/>
      <c r="V116" s="144"/>
      <c r="W116" s="144"/>
      <c r="X116" s="145"/>
      <c r="Y116" s="152" t="str">
        <f t="shared" si="29"/>
        <v xml:space="preserve">   22.12 </v>
      </c>
      <c r="Z116" s="136"/>
      <c r="AA116" s="50">
        <f t="shared" si="45"/>
        <v>50</v>
      </c>
      <c r="AB116" s="129">
        <f t="shared" si="46"/>
        <v>24970</v>
      </c>
      <c r="AC116" s="58" t="str">
        <f t="shared" si="30"/>
        <v/>
      </c>
      <c r="AD116" s="58" t="str">
        <f t="shared" si="31"/>
        <v>MEast London Runners</v>
      </c>
      <c r="AE116" s="60">
        <f>IF(AD116="","",COUNTIF($AD$2:AD116,AD116))</f>
        <v>36</v>
      </c>
      <c r="AF116" s="62">
        <f>IF(AD116="","",SUMIF(AD$2:AD116,AD116,G$2:G116))</f>
        <v>1848</v>
      </c>
      <c r="AG116" s="62" t="str">
        <f>IF(AK116&lt;&gt;"",COUNTIF($AK$1:AK115,AK116)+AK116,IF(AL116&lt;&gt;"",COUNTIF($AL$1:AL115,AL116)+AL116,""))</f>
        <v/>
      </c>
      <c r="AH116" s="62" t="str">
        <f t="shared" si="32"/>
        <v>East London Runners</v>
      </c>
      <c r="AI116" s="62" t="str">
        <f>IF(AND(J116="M", AH116&lt;&gt;"U/A",AE116=Prizewinners!$J$1),AF116,"")</f>
        <v/>
      </c>
      <c r="AJ116" s="58" t="str">
        <f>IF(AND(J116="F",  AH116&lt;&gt;"U/A",AE116=Prizewinners!$J$16),AF116,"")</f>
        <v/>
      </c>
      <c r="AK116" s="58" t="str">
        <f t="shared" si="33"/>
        <v/>
      </c>
      <c r="AL116" s="58" t="str">
        <f t="shared" si="34"/>
        <v/>
      </c>
      <c r="AM116" s="58" t="str">
        <f t="shared" si="35"/>
        <v>MEast London Runners36</v>
      </c>
      <c r="AN116" s="58" t="str">
        <f t="shared" si="36"/>
        <v/>
      </c>
      <c r="AO116" s="58" t="str">
        <f t="shared" si="37"/>
        <v/>
      </c>
      <c r="AP116" s="58" t="str">
        <f t="shared" si="38"/>
        <v/>
      </c>
      <c r="AQ116" s="58" t="str">
        <f t="shared" si="39"/>
        <v>Grant Conway</v>
      </c>
    </row>
    <row r="117" spans="1:43" x14ac:dyDescent="0.25">
      <c r="A117" s="12" t="str">
        <f t="shared" si="25"/>
        <v>VF35,4</v>
      </c>
      <c r="B117" s="12" t="str">
        <f t="shared" si="26"/>
        <v>F,13</v>
      </c>
      <c r="C117" s="11">
        <f t="shared" si="47"/>
        <v>116</v>
      </c>
      <c r="D117" s="171">
        <v>344</v>
      </c>
      <c r="E117" s="12">
        <f t="shared" si="24"/>
        <v>1</v>
      </c>
      <c r="F117" s="12">
        <f>COUNTIF(H$2:H117,H117)</f>
        <v>4</v>
      </c>
      <c r="G117" s="12">
        <f>COUNTIF(J$2:J117,J117)</f>
        <v>13</v>
      </c>
      <c r="H117" s="12" t="str">
        <f t="shared" si="40"/>
        <v>VF35</v>
      </c>
      <c r="I117" s="50" t="str">
        <f t="shared" si="41"/>
        <v>VF35</v>
      </c>
      <c r="J117" s="50" t="str">
        <f t="shared" si="42"/>
        <v>F</v>
      </c>
      <c r="K117" s="64" t="str">
        <f t="shared" si="43"/>
        <v>Katherine Harris</v>
      </c>
      <c r="L117" s="64" t="str">
        <f t="shared" si="44"/>
        <v>East London Runners</v>
      </c>
      <c r="M117" s="171">
        <v>0</v>
      </c>
      <c r="N117" s="178">
        <v>22</v>
      </c>
      <c r="O117" s="178">
        <v>13</v>
      </c>
      <c r="P117" s="138">
        <f t="shared" si="27"/>
        <v>0</v>
      </c>
      <c r="Q117" s="137">
        <f t="shared" si="28"/>
        <v>22</v>
      </c>
      <c r="R117" s="143"/>
      <c r="S117" s="143"/>
      <c r="T117" s="143"/>
      <c r="U117" s="144"/>
      <c r="V117" s="144"/>
      <c r="W117" s="144"/>
      <c r="X117" s="145"/>
      <c r="Y117" s="152" t="str">
        <f t="shared" si="29"/>
        <v xml:space="preserve">   22.13 </v>
      </c>
      <c r="Z117" s="136"/>
      <c r="AA117" s="50">
        <f t="shared" si="45"/>
        <v>38</v>
      </c>
      <c r="AB117" s="129">
        <f t="shared" si="46"/>
        <v>29419</v>
      </c>
      <c r="AC117" s="58" t="str">
        <f t="shared" si="30"/>
        <v/>
      </c>
      <c r="AD117" s="58" t="str">
        <f t="shared" si="31"/>
        <v>FEast London Runners</v>
      </c>
      <c r="AE117" s="60">
        <f>IF(AD117="","",COUNTIF($AD$2:AD117,AD117))</f>
        <v>4</v>
      </c>
      <c r="AF117" s="62">
        <f>IF(AD117="","",SUMIF(AD$2:AD117,AD117,G$2:G117))</f>
        <v>27</v>
      </c>
      <c r="AG117" s="62" t="str">
        <f>IF(AK117&lt;&gt;"",COUNTIF($AK$1:AK116,AK117)+AK117,IF(AL117&lt;&gt;"",COUNTIF($AL$1:AL116,AL117)+AL117,""))</f>
        <v/>
      </c>
      <c r="AH117" s="62" t="str">
        <f t="shared" si="32"/>
        <v>East London Runners</v>
      </c>
      <c r="AI117" s="62" t="str">
        <f>IF(AND(J117="M", AH117&lt;&gt;"U/A",AE117=Prizewinners!$J$1),AF117,"")</f>
        <v/>
      </c>
      <c r="AJ117" s="58" t="str">
        <f>IF(AND(J117="F",  AH117&lt;&gt;"U/A",AE117=Prizewinners!$J$16),AF117,"")</f>
        <v/>
      </c>
      <c r="AK117" s="58" t="str">
        <f t="shared" si="33"/>
        <v/>
      </c>
      <c r="AL117" s="58" t="str">
        <f t="shared" si="34"/>
        <v/>
      </c>
      <c r="AM117" s="58" t="str">
        <f t="shared" si="35"/>
        <v>FEast London Runners4</v>
      </c>
      <c r="AN117" s="58" t="str">
        <f t="shared" si="36"/>
        <v/>
      </c>
      <c r="AO117" s="58" t="str">
        <f t="shared" si="37"/>
        <v/>
      </c>
      <c r="AP117" s="58" t="str">
        <f t="shared" si="38"/>
        <v/>
      </c>
      <c r="AQ117" s="58" t="str">
        <f t="shared" si="39"/>
        <v>Katherine Harris</v>
      </c>
    </row>
    <row r="118" spans="1:43" x14ac:dyDescent="0.25">
      <c r="A118" s="12" t="str">
        <f t="shared" si="25"/>
        <v>VM50,15</v>
      </c>
      <c r="B118" s="12" t="str">
        <f t="shared" si="26"/>
        <v>M,104</v>
      </c>
      <c r="C118" s="11">
        <f t="shared" si="47"/>
        <v>117</v>
      </c>
      <c r="D118" s="171">
        <v>371</v>
      </c>
      <c r="E118" s="12">
        <f t="shared" si="24"/>
        <v>1</v>
      </c>
      <c r="F118" s="12">
        <f>COUNTIF(H$2:H118,H118)</f>
        <v>15</v>
      </c>
      <c r="G118" s="12">
        <f>COUNTIF(J$2:J118,J118)</f>
        <v>104</v>
      </c>
      <c r="H118" s="12" t="str">
        <f t="shared" si="40"/>
        <v>VM50</v>
      </c>
      <c r="I118" s="50" t="str">
        <f t="shared" si="41"/>
        <v>VM50</v>
      </c>
      <c r="J118" s="50" t="str">
        <f t="shared" si="42"/>
        <v>M</v>
      </c>
      <c r="K118" s="64" t="str">
        <f t="shared" si="43"/>
        <v>Anthony Young</v>
      </c>
      <c r="L118" s="64" t="str">
        <f t="shared" si="44"/>
        <v>Ilford AC</v>
      </c>
      <c r="M118" s="171">
        <v>0</v>
      </c>
      <c r="N118" s="178">
        <v>22</v>
      </c>
      <c r="O118" s="178">
        <v>18</v>
      </c>
      <c r="P118" s="138">
        <f t="shared" si="27"/>
        <v>0</v>
      </c>
      <c r="Q118" s="137">
        <f t="shared" si="28"/>
        <v>22</v>
      </c>
      <c r="R118" s="143"/>
      <c r="S118" s="143"/>
      <c r="T118" s="143"/>
      <c r="U118" s="144"/>
      <c r="V118" s="144"/>
      <c r="W118" s="144"/>
      <c r="X118" s="145"/>
      <c r="Y118" s="152" t="str">
        <f t="shared" si="29"/>
        <v xml:space="preserve">   22.18 </v>
      </c>
      <c r="Z118" s="136"/>
      <c r="AA118" s="50">
        <f t="shared" si="45"/>
        <v>53</v>
      </c>
      <c r="AB118" s="129">
        <f t="shared" si="46"/>
        <v>23863</v>
      </c>
      <c r="AC118" s="58" t="str">
        <f t="shared" si="30"/>
        <v/>
      </c>
      <c r="AD118" s="58" t="str">
        <f t="shared" si="31"/>
        <v>MIlford AC</v>
      </c>
      <c r="AE118" s="60">
        <f>IF(AD118="","",COUNTIF($AD$2:AD118,AD118))</f>
        <v>15</v>
      </c>
      <c r="AF118" s="62">
        <f>IF(AD118="","",SUMIF(AD$2:AD118,AD118,G$2:G118))</f>
        <v>642</v>
      </c>
      <c r="AG118" s="62" t="str">
        <f>IF(AK118&lt;&gt;"",COUNTIF($AK$1:AK117,AK118)+AK118,IF(AL118&lt;&gt;"",COUNTIF($AL$1:AL117,AL118)+AL118,""))</f>
        <v/>
      </c>
      <c r="AH118" s="62" t="str">
        <f t="shared" si="32"/>
        <v>Ilford AC</v>
      </c>
      <c r="AI118" s="62" t="str">
        <f>IF(AND(J118="M", AH118&lt;&gt;"U/A",AE118=Prizewinners!$J$1),AF118,"")</f>
        <v/>
      </c>
      <c r="AJ118" s="58" t="str">
        <f>IF(AND(J118="F",  AH118&lt;&gt;"U/A",AE118=Prizewinners!$J$16),AF118,"")</f>
        <v/>
      </c>
      <c r="AK118" s="58" t="str">
        <f t="shared" si="33"/>
        <v/>
      </c>
      <c r="AL118" s="58" t="str">
        <f t="shared" si="34"/>
        <v/>
      </c>
      <c r="AM118" s="58" t="str">
        <f t="shared" si="35"/>
        <v>MIlford AC15</v>
      </c>
      <c r="AN118" s="58" t="str">
        <f t="shared" si="36"/>
        <v/>
      </c>
      <c r="AO118" s="58" t="str">
        <f t="shared" si="37"/>
        <v/>
      </c>
      <c r="AP118" s="58" t="str">
        <f t="shared" si="38"/>
        <v/>
      </c>
      <c r="AQ118" s="58" t="str">
        <f t="shared" si="39"/>
        <v>Anthony Young</v>
      </c>
    </row>
    <row r="119" spans="1:43" x14ac:dyDescent="0.25">
      <c r="A119" s="12" t="str">
        <f t="shared" si="25"/>
        <v>VM50,16</v>
      </c>
      <c r="B119" s="12" t="str">
        <f t="shared" si="26"/>
        <v>M,105</v>
      </c>
      <c r="C119" s="11">
        <f t="shared" si="47"/>
        <v>118</v>
      </c>
      <c r="D119" s="171">
        <v>492</v>
      </c>
      <c r="E119" s="12">
        <f t="shared" si="24"/>
        <v>1</v>
      </c>
      <c r="F119" s="12">
        <f>COUNTIF(H$2:H119,H119)</f>
        <v>16</v>
      </c>
      <c r="G119" s="12">
        <f>COUNTIF(J$2:J119,J119)</f>
        <v>105</v>
      </c>
      <c r="H119" s="12" t="str">
        <f t="shared" si="40"/>
        <v>VM50</v>
      </c>
      <c r="I119" s="50" t="str">
        <f t="shared" si="41"/>
        <v>VM50</v>
      </c>
      <c r="J119" s="50" t="str">
        <f t="shared" si="42"/>
        <v>M</v>
      </c>
      <c r="K119" s="64" t="str">
        <f t="shared" si="43"/>
        <v>Andrew Howard</v>
      </c>
      <c r="L119" s="64" t="str">
        <f t="shared" si="44"/>
        <v>East London Runners</v>
      </c>
      <c r="M119" s="171">
        <v>0</v>
      </c>
      <c r="N119" s="178">
        <v>22</v>
      </c>
      <c r="O119" s="178">
        <v>20</v>
      </c>
      <c r="P119" s="138">
        <f t="shared" si="27"/>
        <v>0</v>
      </c>
      <c r="Q119" s="137">
        <f t="shared" si="28"/>
        <v>22</v>
      </c>
      <c r="R119" s="143"/>
      <c r="S119" s="143"/>
      <c r="T119" s="143"/>
      <c r="U119" s="144"/>
      <c r="V119" s="144"/>
      <c r="W119" s="144"/>
      <c r="X119" s="145"/>
      <c r="Y119" s="152" t="str">
        <f t="shared" si="29"/>
        <v xml:space="preserve">   22.20 </v>
      </c>
      <c r="Z119" s="136"/>
      <c r="AA119" s="50">
        <f t="shared" si="45"/>
        <v>57</v>
      </c>
      <c r="AB119" s="129">
        <f t="shared" si="46"/>
        <v>22375</v>
      </c>
      <c r="AC119" s="58" t="str">
        <f t="shared" si="30"/>
        <v/>
      </c>
      <c r="AD119" s="58" t="str">
        <f t="shared" si="31"/>
        <v>MEast London Runners</v>
      </c>
      <c r="AE119" s="60">
        <f>IF(AD119="","",COUNTIF($AD$2:AD119,AD119))</f>
        <v>37</v>
      </c>
      <c r="AF119" s="62">
        <f>IF(AD119="","",SUMIF(AD$2:AD119,AD119,G$2:G119))</f>
        <v>1953</v>
      </c>
      <c r="AG119" s="62" t="str">
        <f>IF(AK119&lt;&gt;"",COUNTIF($AK$1:AK118,AK119)+AK119,IF(AL119&lt;&gt;"",COUNTIF($AL$1:AL118,AL119)+AL119,""))</f>
        <v/>
      </c>
      <c r="AH119" s="62" t="str">
        <f t="shared" si="32"/>
        <v>East London Runners</v>
      </c>
      <c r="AI119" s="62" t="str">
        <f>IF(AND(J119="M", AH119&lt;&gt;"U/A",AE119=Prizewinners!$J$1),AF119,"")</f>
        <v/>
      </c>
      <c r="AJ119" s="58" t="str">
        <f>IF(AND(J119="F",  AH119&lt;&gt;"U/A",AE119=Prizewinners!$J$16),AF119,"")</f>
        <v/>
      </c>
      <c r="AK119" s="58" t="str">
        <f t="shared" si="33"/>
        <v/>
      </c>
      <c r="AL119" s="58" t="str">
        <f t="shared" si="34"/>
        <v/>
      </c>
      <c r="AM119" s="58" t="str">
        <f t="shared" si="35"/>
        <v>MEast London Runners37</v>
      </c>
      <c r="AN119" s="58" t="str">
        <f t="shared" si="36"/>
        <v/>
      </c>
      <c r="AO119" s="58" t="str">
        <f t="shared" si="37"/>
        <v/>
      </c>
      <c r="AP119" s="58" t="str">
        <f t="shared" si="38"/>
        <v/>
      </c>
      <c r="AQ119" s="58" t="str">
        <f t="shared" si="39"/>
        <v>Andrew Howard</v>
      </c>
    </row>
    <row r="120" spans="1:43" x14ac:dyDescent="0.25">
      <c r="A120" s="12" t="str">
        <f t="shared" si="25"/>
        <v>SF,3</v>
      </c>
      <c r="B120" s="12" t="str">
        <f t="shared" si="26"/>
        <v>F,14</v>
      </c>
      <c r="C120" s="11">
        <f t="shared" si="47"/>
        <v>119</v>
      </c>
      <c r="D120" s="171">
        <v>330</v>
      </c>
      <c r="E120" s="12">
        <f t="shared" si="24"/>
        <v>1</v>
      </c>
      <c r="F120" s="12">
        <f>COUNTIF(H$2:H120,H120)</f>
        <v>3</v>
      </c>
      <c r="G120" s="12">
        <f>COUNTIF(J$2:J120,J120)</f>
        <v>14</v>
      </c>
      <c r="H120" s="12" t="str">
        <f t="shared" si="40"/>
        <v>SF</v>
      </c>
      <c r="I120" s="50" t="str">
        <f t="shared" si="41"/>
        <v>SF</v>
      </c>
      <c r="J120" s="50" t="str">
        <f t="shared" si="42"/>
        <v>F</v>
      </c>
      <c r="K120" s="64" t="str">
        <f t="shared" si="43"/>
        <v>Jenni Sheehan</v>
      </c>
      <c r="L120" s="64" t="str">
        <f t="shared" si="44"/>
        <v>Ilford AC</v>
      </c>
      <c r="M120" s="171">
        <v>0</v>
      </c>
      <c r="N120" s="178">
        <v>22</v>
      </c>
      <c r="O120" s="178">
        <v>21</v>
      </c>
      <c r="P120" s="138">
        <f t="shared" si="27"/>
        <v>0</v>
      </c>
      <c r="Q120" s="137">
        <f t="shared" si="28"/>
        <v>22</v>
      </c>
      <c r="R120" s="143"/>
      <c r="S120" s="143"/>
      <c r="T120" s="143"/>
      <c r="U120" s="144"/>
      <c r="V120" s="144"/>
      <c r="W120" s="144"/>
      <c r="X120" s="145"/>
      <c r="Y120" s="152" t="str">
        <f t="shared" si="29"/>
        <v xml:space="preserve">   22.21 </v>
      </c>
      <c r="Z120" s="136"/>
      <c r="AA120" s="50">
        <f t="shared" si="45"/>
        <v>29</v>
      </c>
      <c r="AB120" s="129">
        <f t="shared" si="46"/>
        <v>32599</v>
      </c>
      <c r="AC120" s="58" t="str">
        <f t="shared" si="30"/>
        <v>F2</v>
      </c>
      <c r="AD120" s="58" t="str">
        <f t="shared" si="31"/>
        <v>FIlford AC</v>
      </c>
      <c r="AE120" s="60">
        <f>IF(AD120="","",COUNTIF($AD$2:AD120,AD120))</f>
        <v>3</v>
      </c>
      <c r="AF120" s="62">
        <f>IF(AD120="","",SUMIF(AD$2:AD120,AD120,G$2:G120))</f>
        <v>30</v>
      </c>
      <c r="AG120" s="62">
        <f>IF(AK120&lt;&gt;"",COUNTIF($AK$1:AK119,AK120)+AK120,IF(AL120&lt;&gt;"",COUNTIF($AL$1:AL119,AL120)+AL120,""))</f>
        <v>2</v>
      </c>
      <c r="AH120" s="62" t="str">
        <f t="shared" si="32"/>
        <v>Ilford AC</v>
      </c>
      <c r="AI120" s="62" t="str">
        <f>IF(AND(J120="M", AH120&lt;&gt;"U/A",AE120=Prizewinners!$J$1),AF120,"")</f>
        <v/>
      </c>
      <c r="AJ120" s="58">
        <f>IF(AND(J120="F",  AH120&lt;&gt;"U/A",AE120=Prizewinners!$J$16),AF120,"")</f>
        <v>30</v>
      </c>
      <c r="AK120" s="58" t="str">
        <f t="shared" si="33"/>
        <v/>
      </c>
      <c r="AL120" s="58">
        <f t="shared" si="34"/>
        <v>2</v>
      </c>
      <c r="AM120" s="58" t="str">
        <f t="shared" si="35"/>
        <v>FIlford AC3</v>
      </c>
      <c r="AN120" s="58" t="str">
        <f t="shared" si="36"/>
        <v>Breege Nordin</v>
      </c>
      <c r="AO120" s="58" t="str">
        <f t="shared" si="37"/>
        <v>Carlie Qirem</v>
      </c>
      <c r="AP120" s="58" t="str">
        <f t="shared" si="38"/>
        <v>Jenni Sheehan</v>
      </c>
      <c r="AQ120" s="58" t="str">
        <f t="shared" si="39"/>
        <v>Jenni Sheehan</v>
      </c>
    </row>
    <row r="121" spans="1:43" x14ac:dyDescent="0.25">
      <c r="A121" s="12" t="str">
        <f t="shared" si="25"/>
        <v>SF,4</v>
      </c>
      <c r="B121" s="12" t="str">
        <f t="shared" si="26"/>
        <v>F,15</v>
      </c>
      <c r="C121" s="11">
        <f t="shared" si="47"/>
        <v>120</v>
      </c>
      <c r="D121" s="171">
        <v>378</v>
      </c>
      <c r="E121" s="12">
        <f t="shared" si="24"/>
        <v>1</v>
      </c>
      <c r="F121" s="12">
        <f>COUNTIF(H$2:H121,H121)</f>
        <v>4</v>
      </c>
      <c r="G121" s="12">
        <f>COUNTIF(J$2:J121,J121)</f>
        <v>15</v>
      </c>
      <c r="H121" s="12" t="str">
        <f t="shared" si="40"/>
        <v>SF</v>
      </c>
      <c r="I121" s="50" t="str">
        <f t="shared" si="41"/>
        <v>SF</v>
      </c>
      <c r="J121" s="50" t="str">
        <f t="shared" si="42"/>
        <v>F</v>
      </c>
      <c r="K121" s="64" t="str">
        <f t="shared" si="43"/>
        <v>Rosie Hatch</v>
      </c>
      <c r="L121" s="64" t="str">
        <f t="shared" si="44"/>
        <v>Harold Wood Running Club</v>
      </c>
      <c r="M121" s="171">
        <v>0</v>
      </c>
      <c r="N121" s="178">
        <v>22</v>
      </c>
      <c r="O121" s="178">
        <v>22</v>
      </c>
      <c r="P121" s="138">
        <f t="shared" si="27"/>
        <v>0</v>
      </c>
      <c r="Q121" s="137">
        <f t="shared" si="28"/>
        <v>22</v>
      </c>
      <c r="R121" s="143"/>
      <c r="S121" s="143"/>
      <c r="T121" s="143"/>
      <c r="U121" s="144"/>
      <c r="V121" s="144"/>
      <c r="W121" s="144"/>
      <c r="X121" s="145"/>
      <c r="Y121" s="152" t="str">
        <f t="shared" si="29"/>
        <v xml:space="preserve">   22.22 </v>
      </c>
      <c r="Z121" s="136"/>
      <c r="AA121" s="50">
        <f t="shared" si="45"/>
        <v>27</v>
      </c>
      <c r="AB121" s="129">
        <f t="shared" si="46"/>
        <v>33320</v>
      </c>
      <c r="AC121" s="58" t="str">
        <f t="shared" si="30"/>
        <v/>
      </c>
      <c r="AD121" s="58" t="str">
        <f t="shared" si="31"/>
        <v>FHarold Wood Running Club</v>
      </c>
      <c r="AE121" s="60">
        <f>IF(AD121="","",COUNTIF($AD$2:AD121,AD121))</f>
        <v>2</v>
      </c>
      <c r="AF121" s="62">
        <f>IF(AD121="","",SUMIF(AD$2:AD121,AD121,G$2:G121))</f>
        <v>25</v>
      </c>
      <c r="AG121" s="62" t="str">
        <f>IF(AK121&lt;&gt;"",COUNTIF($AK$1:AK120,AK121)+AK121,IF(AL121&lt;&gt;"",COUNTIF($AL$1:AL120,AL121)+AL121,""))</f>
        <v/>
      </c>
      <c r="AH121" s="62" t="str">
        <f t="shared" si="32"/>
        <v>Harold Wood Running Club</v>
      </c>
      <c r="AI121" s="62" t="str">
        <f>IF(AND(J121="M", AH121&lt;&gt;"U/A",AE121=Prizewinners!$J$1),AF121,"")</f>
        <v/>
      </c>
      <c r="AJ121" s="58" t="str">
        <f>IF(AND(J121="F",  AH121&lt;&gt;"U/A",AE121=Prizewinners!$J$16),AF121,"")</f>
        <v/>
      </c>
      <c r="AK121" s="58" t="str">
        <f t="shared" si="33"/>
        <v/>
      </c>
      <c r="AL121" s="58" t="str">
        <f t="shared" si="34"/>
        <v/>
      </c>
      <c r="AM121" s="58" t="str">
        <f t="shared" si="35"/>
        <v>FHarold Wood Running Club2</v>
      </c>
      <c r="AN121" s="58" t="str">
        <f t="shared" si="36"/>
        <v/>
      </c>
      <c r="AO121" s="58" t="str">
        <f t="shared" si="37"/>
        <v/>
      </c>
      <c r="AP121" s="58" t="str">
        <f t="shared" si="38"/>
        <v/>
      </c>
      <c r="AQ121" s="58" t="str">
        <f t="shared" si="39"/>
        <v>Rosie Hatch</v>
      </c>
    </row>
    <row r="122" spans="1:43" x14ac:dyDescent="0.25">
      <c r="A122" s="12" t="str">
        <f t="shared" si="25"/>
        <v>VF55,3</v>
      </c>
      <c r="B122" s="12" t="str">
        <f t="shared" si="26"/>
        <v>F,16</v>
      </c>
      <c r="C122" s="11">
        <f t="shared" si="47"/>
        <v>121</v>
      </c>
      <c r="D122" s="171">
        <v>79</v>
      </c>
      <c r="E122" s="12">
        <f t="shared" si="24"/>
        <v>1</v>
      </c>
      <c r="F122" s="12">
        <f>COUNTIF(H$2:H122,H122)</f>
        <v>3</v>
      </c>
      <c r="G122" s="12">
        <f>COUNTIF(J$2:J122,J122)</f>
        <v>16</v>
      </c>
      <c r="H122" s="12" t="str">
        <f t="shared" si="40"/>
        <v>VF55</v>
      </c>
      <c r="I122" s="50" t="str">
        <f t="shared" si="41"/>
        <v>VF55</v>
      </c>
      <c r="J122" s="50" t="str">
        <f t="shared" si="42"/>
        <v>F</v>
      </c>
      <c r="K122" s="64" t="str">
        <f t="shared" si="43"/>
        <v>Mary Armitage</v>
      </c>
      <c r="L122" s="64" t="str">
        <f t="shared" si="44"/>
        <v>Orion Harriers</v>
      </c>
      <c r="M122" s="171">
        <v>0</v>
      </c>
      <c r="N122" s="178">
        <v>22</v>
      </c>
      <c r="O122" s="178">
        <v>22</v>
      </c>
      <c r="P122" s="138">
        <f t="shared" si="27"/>
        <v>0</v>
      </c>
      <c r="Q122" s="137">
        <f t="shared" si="28"/>
        <v>22</v>
      </c>
      <c r="R122" s="143"/>
      <c r="S122" s="143"/>
      <c r="T122" s="143"/>
      <c r="U122" s="144"/>
      <c r="V122" s="144"/>
      <c r="W122" s="144"/>
      <c r="X122" s="145"/>
      <c r="Y122" s="152" t="str">
        <f t="shared" si="29"/>
        <v xml:space="preserve">   22.22 </v>
      </c>
      <c r="Z122" s="136"/>
      <c r="AA122" s="50">
        <f t="shared" si="45"/>
        <v>55</v>
      </c>
      <c r="AB122" s="129">
        <f t="shared" si="46"/>
        <v>23058</v>
      </c>
      <c r="AC122" s="58" t="str">
        <f t="shared" si="30"/>
        <v>F4</v>
      </c>
      <c r="AD122" s="58" t="str">
        <f t="shared" si="31"/>
        <v>FOrion Harriers</v>
      </c>
      <c r="AE122" s="60">
        <f>IF(AD122="","",COUNTIF($AD$2:AD122,AD122))</f>
        <v>3</v>
      </c>
      <c r="AF122" s="62">
        <f>IF(AD122="","",SUMIF(AD$2:AD122,AD122,G$2:G122))</f>
        <v>36</v>
      </c>
      <c r="AG122" s="62">
        <f>IF(AK122&lt;&gt;"",COUNTIF($AK$1:AK121,AK122)+AK122,IF(AL122&lt;&gt;"",COUNTIF($AL$1:AL121,AL122)+AL122,""))</f>
        <v>4</v>
      </c>
      <c r="AH122" s="62" t="str">
        <f t="shared" si="32"/>
        <v>Orion Harriers</v>
      </c>
      <c r="AI122" s="62" t="str">
        <f>IF(AND(J122="M", AH122&lt;&gt;"U/A",AE122=Prizewinners!$J$1),AF122,"")</f>
        <v/>
      </c>
      <c r="AJ122" s="58">
        <f>IF(AND(J122="F",  AH122&lt;&gt;"U/A",AE122=Prizewinners!$J$16),AF122,"")</f>
        <v>36</v>
      </c>
      <c r="AK122" s="58" t="str">
        <f t="shared" si="33"/>
        <v/>
      </c>
      <c r="AL122" s="58">
        <f t="shared" si="34"/>
        <v>4</v>
      </c>
      <c r="AM122" s="58" t="str">
        <f t="shared" si="35"/>
        <v>FOrion Harriers3</v>
      </c>
      <c r="AN122" s="58" t="str">
        <f t="shared" si="36"/>
        <v>Alison Taylor</v>
      </c>
      <c r="AO122" s="58" t="str">
        <f t="shared" si="37"/>
        <v>Christine Inch</v>
      </c>
      <c r="AP122" s="58" t="str">
        <f t="shared" si="38"/>
        <v>Mary Armitage</v>
      </c>
      <c r="AQ122" s="58" t="str">
        <f t="shared" si="39"/>
        <v>Mary Armitage</v>
      </c>
    </row>
    <row r="123" spans="1:43" x14ac:dyDescent="0.25">
      <c r="A123" s="12" t="str">
        <f t="shared" si="25"/>
        <v>VM40,32</v>
      </c>
      <c r="B123" s="12" t="str">
        <f t="shared" si="26"/>
        <v>M,106</v>
      </c>
      <c r="C123" s="11">
        <f t="shared" si="47"/>
        <v>122</v>
      </c>
      <c r="D123" s="171">
        <v>429</v>
      </c>
      <c r="E123" s="12">
        <f t="shared" si="24"/>
        <v>1</v>
      </c>
      <c r="F123" s="12">
        <f>COUNTIF(H$2:H123,H123)</f>
        <v>32</v>
      </c>
      <c r="G123" s="12">
        <f>COUNTIF(J$2:J123,J123)</f>
        <v>106</v>
      </c>
      <c r="H123" s="12" t="str">
        <f t="shared" si="40"/>
        <v>VM40</v>
      </c>
      <c r="I123" s="50" t="str">
        <f t="shared" si="41"/>
        <v>VM40</v>
      </c>
      <c r="J123" s="50" t="str">
        <f t="shared" si="42"/>
        <v>M</v>
      </c>
      <c r="K123" s="64" t="str">
        <f t="shared" si="43"/>
        <v>Jamie Smith</v>
      </c>
      <c r="L123" s="64" t="str">
        <f t="shared" si="44"/>
        <v>Dagenham 88 Runners</v>
      </c>
      <c r="M123" s="171">
        <v>0</v>
      </c>
      <c r="N123" s="178">
        <v>22</v>
      </c>
      <c r="O123" s="178">
        <v>26</v>
      </c>
      <c r="P123" s="138">
        <f t="shared" si="27"/>
        <v>0</v>
      </c>
      <c r="Q123" s="137">
        <f t="shared" si="28"/>
        <v>22</v>
      </c>
      <c r="R123" s="143"/>
      <c r="S123" s="143"/>
      <c r="T123" s="143"/>
      <c r="U123" s="144"/>
      <c r="V123" s="144"/>
      <c r="W123" s="144"/>
      <c r="X123" s="145"/>
      <c r="Y123" s="152" t="str">
        <f t="shared" si="29"/>
        <v xml:space="preserve">   22.26 </v>
      </c>
      <c r="Z123" s="136"/>
      <c r="AA123" s="50">
        <f t="shared" si="45"/>
        <v>47</v>
      </c>
      <c r="AB123" s="129">
        <f t="shared" si="46"/>
        <v>26057</v>
      </c>
      <c r="AC123" s="58" t="str">
        <f t="shared" si="30"/>
        <v/>
      </c>
      <c r="AD123" s="58" t="str">
        <f t="shared" si="31"/>
        <v>MDagenham 88 Runners</v>
      </c>
      <c r="AE123" s="60">
        <f>IF(AD123="","",COUNTIF($AD$2:AD123,AD123))</f>
        <v>5</v>
      </c>
      <c r="AF123" s="62">
        <f>IF(AD123="","",SUMIF(AD$2:AD123,AD123,G$2:G123))</f>
        <v>415</v>
      </c>
      <c r="AG123" s="62" t="str">
        <f>IF(AK123&lt;&gt;"",COUNTIF($AK$1:AK122,AK123)+AK123,IF(AL123&lt;&gt;"",COUNTIF($AL$1:AL122,AL123)+AL123,""))</f>
        <v/>
      </c>
      <c r="AH123" s="62" t="str">
        <f t="shared" si="32"/>
        <v>Dagenham 88 Runners</v>
      </c>
      <c r="AI123" s="62" t="str">
        <f>IF(AND(J123="M", AH123&lt;&gt;"U/A",AE123=Prizewinners!$J$1),AF123,"")</f>
        <v/>
      </c>
      <c r="AJ123" s="58" t="str">
        <f>IF(AND(J123="F",  AH123&lt;&gt;"U/A",AE123=Prizewinners!$J$16),AF123,"")</f>
        <v/>
      </c>
      <c r="AK123" s="58" t="str">
        <f t="shared" si="33"/>
        <v/>
      </c>
      <c r="AL123" s="58" t="str">
        <f t="shared" si="34"/>
        <v/>
      </c>
      <c r="AM123" s="58" t="str">
        <f t="shared" si="35"/>
        <v>MDagenham 88 Runners5</v>
      </c>
      <c r="AN123" s="58" t="str">
        <f t="shared" si="36"/>
        <v/>
      </c>
      <c r="AO123" s="58" t="str">
        <f t="shared" si="37"/>
        <v/>
      </c>
      <c r="AP123" s="58" t="str">
        <f t="shared" si="38"/>
        <v/>
      </c>
      <c r="AQ123" s="58" t="str">
        <f t="shared" si="39"/>
        <v>Jamie Smith</v>
      </c>
    </row>
    <row r="124" spans="1:43" x14ac:dyDescent="0.25">
      <c r="A124" s="12" t="str">
        <f t="shared" si="25"/>
        <v>SF,5</v>
      </c>
      <c r="B124" s="12" t="str">
        <f t="shared" si="26"/>
        <v>F,17</v>
      </c>
      <c r="C124" s="11">
        <f t="shared" si="47"/>
        <v>123</v>
      </c>
      <c r="D124" s="171">
        <v>86</v>
      </c>
      <c r="E124" s="12">
        <f t="shared" si="24"/>
        <v>1</v>
      </c>
      <c r="F124" s="12">
        <f>COUNTIF(H$2:H124,H124)</f>
        <v>5</v>
      </c>
      <c r="G124" s="12">
        <f>COUNTIF(J$2:J124,J124)</f>
        <v>17</v>
      </c>
      <c r="H124" s="12" t="str">
        <f t="shared" si="40"/>
        <v>SF</v>
      </c>
      <c r="I124" s="50" t="str">
        <f t="shared" si="41"/>
        <v>SF</v>
      </c>
      <c r="J124" s="50" t="str">
        <f t="shared" si="42"/>
        <v>F</v>
      </c>
      <c r="K124" s="64" t="str">
        <f t="shared" si="43"/>
        <v>Megan Davies</v>
      </c>
      <c r="L124" s="64" t="str">
        <f t="shared" si="44"/>
        <v>East End Road Runners</v>
      </c>
      <c r="M124" s="171">
        <v>0</v>
      </c>
      <c r="N124" s="178">
        <v>22</v>
      </c>
      <c r="O124" s="178">
        <v>27</v>
      </c>
      <c r="P124" s="138">
        <f t="shared" si="27"/>
        <v>0</v>
      </c>
      <c r="Q124" s="137">
        <f t="shared" si="28"/>
        <v>22</v>
      </c>
      <c r="R124" s="143"/>
      <c r="S124" s="143"/>
      <c r="T124" s="143"/>
      <c r="U124" s="144"/>
      <c r="V124" s="144"/>
      <c r="W124" s="144"/>
      <c r="X124" s="145"/>
      <c r="Y124" s="152" t="str">
        <f t="shared" si="29"/>
        <v xml:space="preserve">   22.27 </v>
      </c>
      <c r="Z124" s="136"/>
      <c r="AA124" s="50">
        <f t="shared" si="45"/>
        <v>28</v>
      </c>
      <c r="AB124" s="129">
        <f t="shared" si="46"/>
        <v>32956</v>
      </c>
      <c r="AC124" s="58" t="str">
        <f t="shared" si="30"/>
        <v/>
      </c>
      <c r="AD124" s="58" t="str">
        <f t="shared" si="31"/>
        <v>FEast End Road Runners</v>
      </c>
      <c r="AE124" s="60">
        <f>IF(AD124="","",COUNTIF($AD$2:AD124,AD124))</f>
        <v>1</v>
      </c>
      <c r="AF124" s="62">
        <f>IF(AD124="","",SUMIF(AD$2:AD124,AD124,G$2:G124))</f>
        <v>17</v>
      </c>
      <c r="AG124" s="62" t="str">
        <f>IF(AK124&lt;&gt;"",COUNTIF($AK$1:AK123,AK124)+AK124,IF(AL124&lt;&gt;"",COUNTIF($AL$1:AL123,AL124)+AL124,""))</f>
        <v/>
      </c>
      <c r="AH124" s="62" t="str">
        <f t="shared" si="32"/>
        <v>East End Road Runners</v>
      </c>
      <c r="AI124" s="62" t="str">
        <f>IF(AND(J124="M", AH124&lt;&gt;"U/A",AE124=Prizewinners!$J$1),AF124,"")</f>
        <v/>
      </c>
      <c r="AJ124" s="58" t="str">
        <f>IF(AND(J124="F",  AH124&lt;&gt;"U/A",AE124=Prizewinners!$J$16),AF124,"")</f>
        <v/>
      </c>
      <c r="AK124" s="58" t="str">
        <f t="shared" si="33"/>
        <v/>
      </c>
      <c r="AL124" s="58" t="str">
        <f t="shared" si="34"/>
        <v/>
      </c>
      <c r="AM124" s="58" t="str">
        <f t="shared" si="35"/>
        <v>FEast End Road Runners1</v>
      </c>
      <c r="AN124" s="58" t="str">
        <f t="shared" si="36"/>
        <v/>
      </c>
      <c r="AO124" s="58" t="str">
        <f t="shared" si="37"/>
        <v/>
      </c>
      <c r="AP124" s="58" t="str">
        <f t="shared" si="38"/>
        <v/>
      </c>
      <c r="AQ124" s="58" t="str">
        <f t="shared" si="39"/>
        <v>Megan Davies</v>
      </c>
    </row>
    <row r="125" spans="1:43" x14ac:dyDescent="0.25">
      <c r="A125" s="12" t="str">
        <f t="shared" si="25"/>
        <v>VM70,1</v>
      </c>
      <c r="B125" s="12" t="str">
        <f t="shared" si="26"/>
        <v>M,107</v>
      </c>
      <c r="C125" s="11">
        <f t="shared" si="47"/>
        <v>124</v>
      </c>
      <c r="D125" s="171">
        <v>106</v>
      </c>
      <c r="E125" s="12">
        <f t="shared" si="24"/>
        <v>1</v>
      </c>
      <c r="F125" s="12">
        <f>COUNTIF(H$2:H125,H125)</f>
        <v>1</v>
      </c>
      <c r="G125" s="12">
        <f>COUNTIF(J$2:J125,J125)</f>
        <v>107</v>
      </c>
      <c r="H125" s="12" t="str">
        <f t="shared" si="40"/>
        <v>VM70</v>
      </c>
      <c r="I125" s="50" t="str">
        <f t="shared" si="41"/>
        <v>VM70</v>
      </c>
      <c r="J125" s="50" t="str">
        <f t="shared" si="42"/>
        <v>M</v>
      </c>
      <c r="K125" s="64" t="str">
        <f t="shared" si="43"/>
        <v>Roger Green</v>
      </c>
      <c r="L125" s="64" t="str">
        <f t="shared" si="44"/>
        <v>Woodford Green</v>
      </c>
      <c r="M125" s="171">
        <v>0</v>
      </c>
      <c r="N125" s="178">
        <v>22</v>
      </c>
      <c r="O125" s="178">
        <v>29</v>
      </c>
      <c r="P125" s="138">
        <f t="shared" si="27"/>
        <v>0</v>
      </c>
      <c r="Q125" s="137">
        <f t="shared" si="28"/>
        <v>22</v>
      </c>
      <c r="R125" s="143"/>
      <c r="S125" s="143"/>
      <c r="T125" s="143"/>
      <c r="U125" s="144"/>
      <c r="V125" s="144"/>
      <c r="W125" s="144"/>
      <c r="X125" s="145"/>
      <c r="Y125" s="152" t="str">
        <f t="shared" si="29"/>
        <v xml:space="preserve">   22.29 </v>
      </c>
      <c r="Z125" s="136"/>
      <c r="AA125" s="50">
        <f t="shared" si="45"/>
        <v>70</v>
      </c>
      <c r="AB125" s="129">
        <f t="shared" si="46"/>
        <v>17475</v>
      </c>
      <c r="AC125" s="58" t="str">
        <f t="shared" si="30"/>
        <v/>
      </c>
      <c r="AD125" s="58" t="str">
        <f t="shared" si="31"/>
        <v>MWoodford Green</v>
      </c>
      <c r="AE125" s="60">
        <f>IF(AD125="","",COUNTIF($AD$2:AD125,AD125))</f>
        <v>1</v>
      </c>
      <c r="AF125" s="62">
        <f>IF(AD125="","",SUMIF(AD$2:AD125,AD125,G$2:G125))</f>
        <v>107</v>
      </c>
      <c r="AG125" s="62" t="str">
        <f>IF(AK125&lt;&gt;"",COUNTIF($AK$1:AK124,AK125)+AK125,IF(AL125&lt;&gt;"",COUNTIF($AL$1:AL124,AL125)+AL125,""))</f>
        <v/>
      </c>
      <c r="AH125" s="62" t="str">
        <f t="shared" si="32"/>
        <v>Woodford Green</v>
      </c>
      <c r="AI125" s="62" t="str">
        <f>IF(AND(J125="M", AH125&lt;&gt;"U/A",AE125=Prizewinners!$J$1),AF125,"")</f>
        <v/>
      </c>
      <c r="AJ125" s="58" t="str">
        <f>IF(AND(J125="F",  AH125&lt;&gt;"U/A",AE125=Prizewinners!$J$16),AF125,"")</f>
        <v/>
      </c>
      <c r="AK125" s="58" t="str">
        <f t="shared" si="33"/>
        <v/>
      </c>
      <c r="AL125" s="58" t="str">
        <f t="shared" si="34"/>
        <v/>
      </c>
      <c r="AM125" s="58" t="str">
        <f t="shared" si="35"/>
        <v>MWoodford Green1</v>
      </c>
      <c r="AN125" s="58" t="str">
        <f t="shared" si="36"/>
        <v/>
      </c>
      <c r="AO125" s="58" t="str">
        <f t="shared" si="37"/>
        <v/>
      </c>
      <c r="AP125" s="58" t="str">
        <f t="shared" si="38"/>
        <v/>
      </c>
      <c r="AQ125" s="58" t="str">
        <f t="shared" si="39"/>
        <v>Roger Green</v>
      </c>
    </row>
    <row r="126" spans="1:43" x14ac:dyDescent="0.25">
      <c r="A126" s="12" t="str">
        <f t="shared" si="25"/>
        <v>VF55,4</v>
      </c>
      <c r="B126" s="12" t="str">
        <f t="shared" si="26"/>
        <v>F,18</v>
      </c>
      <c r="C126" s="11">
        <f t="shared" si="47"/>
        <v>125</v>
      </c>
      <c r="D126" s="171">
        <v>362</v>
      </c>
      <c r="E126" s="12">
        <f t="shared" si="24"/>
        <v>1</v>
      </c>
      <c r="F126" s="12">
        <f>COUNTIF(H$2:H126,H126)</f>
        <v>4</v>
      </c>
      <c r="G126" s="12">
        <f>COUNTIF(J$2:J126,J126)</f>
        <v>18</v>
      </c>
      <c r="H126" s="12" t="str">
        <f t="shared" si="40"/>
        <v>VF55</v>
      </c>
      <c r="I126" s="50" t="str">
        <f t="shared" si="41"/>
        <v>VF55</v>
      </c>
      <c r="J126" s="50" t="str">
        <f t="shared" si="42"/>
        <v>F</v>
      </c>
      <c r="K126" s="64" t="str">
        <f t="shared" si="43"/>
        <v>Gail Hennessy</v>
      </c>
      <c r="L126" s="64" t="str">
        <f t="shared" si="44"/>
        <v>Eton Manor AC</v>
      </c>
      <c r="M126" s="171">
        <v>0</v>
      </c>
      <c r="N126" s="178">
        <v>22</v>
      </c>
      <c r="O126" s="178">
        <v>37</v>
      </c>
      <c r="P126" s="138">
        <f t="shared" si="27"/>
        <v>0</v>
      </c>
      <c r="Q126" s="137">
        <f t="shared" si="28"/>
        <v>22</v>
      </c>
      <c r="R126" s="143"/>
      <c r="S126" s="143"/>
      <c r="T126" s="143"/>
      <c r="U126" s="144"/>
      <c r="V126" s="144"/>
      <c r="W126" s="144"/>
      <c r="X126" s="145"/>
      <c r="Y126" s="152" t="str">
        <f t="shared" si="29"/>
        <v xml:space="preserve">   22.37 </v>
      </c>
      <c r="Z126" s="136"/>
      <c r="AA126" s="50">
        <f t="shared" si="45"/>
        <v>64</v>
      </c>
      <c r="AB126" s="129">
        <f t="shared" si="46"/>
        <v>19713</v>
      </c>
      <c r="AC126" s="58" t="str">
        <f t="shared" si="30"/>
        <v>F3</v>
      </c>
      <c r="AD126" s="58" t="str">
        <f t="shared" si="31"/>
        <v>FEton Manor AC</v>
      </c>
      <c r="AE126" s="60">
        <f>IF(AD126="","",COUNTIF($AD$2:AD126,AD126))</f>
        <v>3</v>
      </c>
      <c r="AF126" s="62">
        <f>IF(AD126="","",SUMIF(AD$2:AD126,AD126,G$2:G126))</f>
        <v>33</v>
      </c>
      <c r="AG126" s="62">
        <f>IF(AK126&lt;&gt;"",COUNTIF($AK$1:AK125,AK126)+AK126,IF(AL126&lt;&gt;"",COUNTIF($AL$1:AL125,AL126)+AL126,""))</f>
        <v>3</v>
      </c>
      <c r="AH126" s="62" t="str">
        <f t="shared" si="32"/>
        <v>Eton Manor AC</v>
      </c>
      <c r="AI126" s="62" t="str">
        <f>IF(AND(J126="M", AH126&lt;&gt;"U/A",AE126=Prizewinners!$J$1),AF126,"")</f>
        <v/>
      </c>
      <c r="AJ126" s="58">
        <f>IF(AND(J126="F",  AH126&lt;&gt;"U/A",AE126=Prizewinners!$J$16),AF126,"")</f>
        <v>33</v>
      </c>
      <c r="AK126" s="58" t="str">
        <f t="shared" si="33"/>
        <v/>
      </c>
      <c r="AL126" s="58">
        <f t="shared" si="34"/>
        <v>3</v>
      </c>
      <c r="AM126" s="58" t="str">
        <f t="shared" si="35"/>
        <v>FEton Manor AC3</v>
      </c>
      <c r="AN126" s="58" t="str">
        <f t="shared" si="36"/>
        <v>Jennifer Heymann</v>
      </c>
      <c r="AO126" s="58" t="str">
        <f t="shared" si="37"/>
        <v>Kate Malcolm</v>
      </c>
      <c r="AP126" s="58" t="str">
        <f t="shared" si="38"/>
        <v>Gail Hennessy</v>
      </c>
      <c r="AQ126" s="58" t="str">
        <f t="shared" si="39"/>
        <v>Gail Hennessy</v>
      </c>
    </row>
    <row r="127" spans="1:43" x14ac:dyDescent="0.25">
      <c r="A127" s="12" t="str">
        <f t="shared" si="25"/>
        <v>VM50,17</v>
      </c>
      <c r="B127" s="12" t="str">
        <f t="shared" si="26"/>
        <v>M,108</v>
      </c>
      <c r="C127" s="11">
        <f t="shared" si="47"/>
        <v>126</v>
      </c>
      <c r="D127" s="171">
        <v>138</v>
      </c>
      <c r="E127" s="12">
        <f t="shared" si="24"/>
        <v>1</v>
      </c>
      <c r="F127" s="12">
        <f>COUNTIF(H$2:H127,H127)</f>
        <v>17</v>
      </c>
      <c r="G127" s="12">
        <f>COUNTIF(J$2:J127,J127)</f>
        <v>108</v>
      </c>
      <c r="H127" s="12" t="str">
        <f t="shared" si="40"/>
        <v>VM50</v>
      </c>
      <c r="I127" s="50" t="str">
        <f t="shared" si="41"/>
        <v>VM50</v>
      </c>
      <c r="J127" s="50" t="str">
        <f t="shared" si="42"/>
        <v>M</v>
      </c>
      <c r="K127" s="64" t="str">
        <f t="shared" si="43"/>
        <v>Adam Shaikh</v>
      </c>
      <c r="L127" s="64" t="str">
        <f t="shared" si="44"/>
        <v>East End Road Runners</v>
      </c>
      <c r="M127" s="171">
        <v>0</v>
      </c>
      <c r="N127" s="178">
        <v>22</v>
      </c>
      <c r="O127" s="178">
        <v>38</v>
      </c>
      <c r="P127" s="138">
        <f t="shared" si="27"/>
        <v>0</v>
      </c>
      <c r="Q127" s="137">
        <f t="shared" si="28"/>
        <v>22</v>
      </c>
      <c r="R127" s="143"/>
      <c r="S127" s="143"/>
      <c r="T127" s="143"/>
      <c r="U127" s="144"/>
      <c r="V127" s="144"/>
      <c r="W127" s="144"/>
      <c r="X127" s="145"/>
      <c r="Y127" s="152" t="str">
        <f t="shared" si="29"/>
        <v xml:space="preserve">   22.38 </v>
      </c>
      <c r="Z127" s="136"/>
      <c r="AA127" s="50">
        <f t="shared" si="45"/>
        <v>50</v>
      </c>
      <c r="AB127" s="129">
        <f t="shared" si="46"/>
        <v>24716</v>
      </c>
      <c r="AC127" s="58" t="str">
        <f t="shared" si="30"/>
        <v/>
      </c>
      <c r="AD127" s="58" t="str">
        <f t="shared" si="31"/>
        <v>MEast End Road Runners</v>
      </c>
      <c r="AE127" s="60">
        <f>IF(AD127="","",COUNTIF($AD$2:AD127,AD127))</f>
        <v>7</v>
      </c>
      <c r="AF127" s="62">
        <f>IF(AD127="","",SUMIF(AD$2:AD127,AD127,G$2:G127))</f>
        <v>381</v>
      </c>
      <c r="AG127" s="62" t="str">
        <f>IF(AK127&lt;&gt;"",COUNTIF($AK$1:AK126,AK127)+AK127,IF(AL127&lt;&gt;"",COUNTIF($AL$1:AL126,AL127)+AL127,""))</f>
        <v/>
      </c>
      <c r="AH127" s="62" t="str">
        <f t="shared" si="32"/>
        <v>East End Road Runners</v>
      </c>
      <c r="AI127" s="62" t="str">
        <f>IF(AND(J127="M", AH127&lt;&gt;"U/A",AE127=Prizewinners!$J$1),AF127,"")</f>
        <v/>
      </c>
      <c r="AJ127" s="58" t="str">
        <f>IF(AND(J127="F",  AH127&lt;&gt;"U/A",AE127=Prizewinners!$J$16),AF127,"")</f>
        <v/>
      </c>
      <c r="AK127" s="58" t="str">
        <f t="shared" si="33"/>
        <v/>
      </c>
      <c r="AL127" s="58" t="str">
        <f t="shared" si="34"/>
        <v/>
      </c>
      <c r="AM127" s="58" t="str">
        <f t="shared" si="35"/>
        <v>MEast End Road Runners7</v>
      </c>
      <c r="AN127" s="58" t="str">
        <f t="shared" si="36"/>
        <v/>
      </c>
      <c r="AO127" s="58" t="str">
        <f t="shared" si="37"/>
        <v/>
      </c>
      <c r="AP127" s="58" t="str">
        <f t="shared" si="38"/>
        <v/>
      </c>
      <c r="AQ127" s="58" t="str">
        <f t="shared" si="39"/>
        <v>Adam Shaikh</v>
      </c>
    </row>
    <row r="128" spans="1:43" x14ac:dyDescent="0.25">
      <c r="A128" s="12" t="str">
        <f t="shared" si="25"/>
        <v>VM60,8</v>
      </c>
      <c r="B128" s="12" t="str">
        <f t="shared" si="26"/>
        <v>M,109</v>
      </c>
      <c r="C128" s="11">
        <f t="shared" si="47"/>
        <v>127</v>
      </c>
      <c r="D128" s="171">
        <v>392</v>
      </c>
      <c r="E128" s="12">
        <f t="shared" si="24"/>
        <v>1</v>
      </c>
      <c r="F128" s="12">
        <f>COUNTIF(H$2:H128,H128)</f>
        <v>8</v>
      </c>
      <c r="G128" s="12">
        <f>COUNTIF(J$2:J128,J128)</f>
        <v>109</v>
      </c>
      <c r="H128" s="12" t="str">
        <f t="shared" si="40"/>
        <v>VM60</v>
      </c>
      <c r="I128" s="50" t="str">
        <f t="shared" si="41"/>
        <v>VM60</v>
      </c>
      <c r="J128" s="50" t="str">
        <f t="shared" si="42"/>
        <v>M</v>
      </c>
      <c r="K128" s="64" t="str">
        <f t="shared" si="43"/>
        <v>Roger Winston</v>
      </c>
      <c r="L128" s="64" t="str">
        <f t="shared" si="44"/>
        <v>Havering 90 Joggers</v>
      </c>
      <c r="M128" s="171">
        <v>0</v>
      </c>
      <c r="N128" s="178">
        <v>22</v>
      </c>
      <c r="O128" s="178">
        <v>42</v>
      </c>
      <c r="P128" s="138">
        <f t="shared" si="27"/>
        <v>0</v>
      </c>
      <c r="Q128" s="137">
        <f t="shared" si="28"/>
        <v>22</v>
      </c>
      <c r="R128" s="143"/>
      <c r="S128" s="143"/>
      <c r="T128" s="143"/>
      <c r="U128" s="144"/>
      <c r="V128" s="144"/>
      <c r="W128" s="144"/>
      <c r="X128" s="145"/>
      <c r="Y128" s="152" t="str">
        <f t="shared" si="29"/>
        <v xml:space="preserve">   22.42 </v>
      </c>
      <c r="Z128" s="136"/>
      <c r="AA128" s="50">
        <f t="shared" si="45"/>
        <v>65</v>
      </c>
      <c r="AB128" s="129">
        <f t="shared" si="46"/>
        <v>19480</v>
      </c>
      <c r="AC128" s="58" t="str">
        <f t="shared" si="30"/>
        <v/>
      </c>
      <c r="AD128" s="58" t="str">
        <f t="shared" si="31"/>
        <v>MHavering 90 Joggers</v>
      </c>
      <c r="AE128" s="60">
        <f>IF(AD128="","",COUNTIF($AD$2:AD128,AD128))</f>
        <v>5</v>
      </c>
      <c r="AF128" s="62">
        <f>IF(AD128="","",SUMIF(AD$2:AD128,AD128,G$2:G128))</f>
        <v>390</v>
      </c>
      <c r="AG128" s="62" t="str">
        <f>IF(AK128&lt;&gt;"",COUNTIF($AK$1:AK127,AK128)+AK128,IF(AL128&lt;&gt;"",COUNTIF($AL$1:AL127,AL128)+AL128,""))</f>
        <v/>
      </c>
      <c r="AH128" s="62" t="str">
        <f t="shared" si="32"/>
        <v>Havering 90 Joggers</v>
      </c>
      <c r="AI128" s="62" t="str">
        <f>IF(AND(J128="M", AH128&lt;&gt;"U/A",AE128=Prizewinners!$J$1),AF128,"")</f>
        <v/>
      </c>
      <c r="AJ128" s="58" t="str">
        <f>IF(AND(J128="F",  AH128&lt;&gt;"U/A",AE128=Prizewinners!$J$16),AF128,"")</f>
        <v/>
      </c>
      <c r="AK128" s="58" t="str">
        <f t="shared" si="33"/>
        <v/>
      </c>
      <c r="AL128" s="58" t="str">
        <f t="shared" si="34"/>
        <v/>
      </c>
      <c r="AM128" s="58" t="str">
        <f t="shared" si="35"/>
        <v>MHavering 90 Joggers5</v>
      </c>
      <c r="AN128" s="58" t="str">
        <f t="shared" si="36"/>
        <v/>
      </c>
      <c r="AO128" s="58" t="str">
        <f t="shared" si="37"/>
        <v/>
      </c>
      <c r="AP128" s="58" t="str">
        <f t="shared" si="38"/>
        <v/>
      </c>
      <c r="AQ128" s="58" t="str">
        <f t="shared" si="39"/>
        <v>Roger Winston</v>
      </c>
    </row>
    <row r="129" spans="1:43" x14ac:dyDescent="0.25">
      <c r="A129" s="12" t="str">
        <f t="shared" si="25"/>
        <v>VM50,18</v>
      </c>
      <c r="B129" s="12" t="str">
        <f t="shared" si="26"/>
        <v>M,110</v>
      </c>
      <c r="C129" s="11">
        <f t="shared" si="47"/>
        <v>128</v>
      </c>
      <c r="D129" s="171">
        <v>500</v>
      </c>
      <c r="E129" s="12">
        <f t="shared" si="24"/>
        <v>1</v>
      </c>
      <c r="F129" s="12">
        <f>COUNTIF(H$2:H129,H129)</f>
        <v>18</v>
      </c>
      <c r="G129" s="12">
        <f>COUNTIF(J$2:J129,J129)</f>
        <v>110</v>
      </c>
      <c r="H129" s="12" t="str">
        <f t="shared" si="40"/>
        <v>VM50</v>
      </c>
      <c r="I129" s="50" t="str">
        <f t="shared" si="41"/>
        <v>VM50</v>
      </c>
      <c r="J129" s="50" t="str">
        <f t="shared" si="42"/>
        <v>M</v>
      </c>
      <c r="K129" s="64" t="str">
        <f t="shared" si="43"/>
        <v>Rolston Lecointe</v>
      </c>
      <c r="L129" s="64" t="str">
        <f t="shared" si="44"/>
        <v>East End Road Runners</v>
      </c>
      <c r="M129" s="171">
        <v>0</v>
      </c>
      <c r="N129" s="178">
        <v>22</v>
      </c>
      <c r="O129" s="178">
        <v>48</v>
      </c>
      <c r="P129" s="138">
        <f t="shared" si="27"/>
        <v>0</v>
      </c>
      <c r="Q129" s="137">
        <f t="shared" si="28"/>
        <v>22</v>
      </c>
      <c r="R129" s="143"/>
      <c r="S129" s="143"/>
      <c r="T129" s="143"/>
      <c r="U129" s="144"/>
      <c r="V129" s="144"/>
      <c r="W129" s="144"/>
      <c r="X129" s="145"/>
      <c r="Y129" s="152" t="str">
        <f t="shared" si="29"/>
        <v xml:space="preserve">   22.48 </v>
      </c>
      <c r="Z129" s="136"/>
      <c r="AA129" s="50">
        <f t="shared" si="45"/>
        <v>55</v>
      </c>
      <c r="AB129" s="129">
        <f t="shared" si="46"/>
        <v>22932</v>
      </c>
      <c r="AC129" s="58" t="str">
        <f t="shared" si="30"/>
        <v/>
      </c>
      <c r="AD129" s="58" t="str">
        <f t="shared" si="31"/>
        <v>MEast End Road Runners</v>
      </c>
      <c r="AE129" s="60">
        <f>IF(AD129="","",COUNTIF($AD$2:AD129,AD129))</f>
        <v>8</v>
      </c>
      <c r="AF129" s="62">
        <f>IF(AD129="","",SUMIF(AD$2:AD129,AD129,G$2:G129))</f>
        <v>491</v>
      </c>
      <c r="AG129" s="62" t="str">
        <f>IF(AK129&lt;&gt;"",COUNTIF($AK$1:AK128,AK129)+AK129,IF(AL129&lt;&gt;"",COUNTIF($AL$1:AL128,AL129)+AL129,""))</f>
        <v/>
      </c>
      <c r="AH129" s="62" t="str">
        <f t="shared" si="32"/>
        <v>East End Road Runners</v>
      </c>
      <c r="AI129" s="62" t="str">
        <f>IF(AND(J129="M", AH129&lt;&gt;"U/A",AE129=Prizewinners!$J$1),AF129,"")</f>
        <v/>
      </c>
      <c r="AJ129" s="58" t="str">
        <f>IF(AND(J129="F",  AH129&lt;&gt;"U/A",AE129=Prizewinners!$J$16),AF129,"")</f>
        <v/>
      </c>
      <c r="AK129" s="58" t="str">
        <f t="shared" si="33"/>
        <v/>
      </c>
      <c r="AL129" s="58" t="str">
        <f t="shared" si="34"/>
        <v/>
      </c>
      <c r="AM129" s="58" t="str">
        <f t="shared" si="35"/>
        <v>MEast End Road Runners8</v>
      </c>
      <c r="AN129" s="58" t="str">
        <f t="shared" si="36"/>
        <v/>
      </c>
      <c r="AO129" s="58" t="str">
        <f t="shared" si="37"/>
        <v/>
      </c>
      <c r="AP129" s="58" t="str">
        <f t="shared" si="38"/>
        <v/>
      </c>
      <c r="AQ129" s="58" t="str">
        <f t="shared" si="39"/>
        <v>Rolston Lecointe</v>
      </c>
    </row>
    <row r="130" spans="1:43" x14ac:dyDescent="0.25">
      <c r="A130" s="12" t="str">
        <f t="shared" si="25"/>
        <v>SM,49</v>
      </c>
      <c r="B130" s="12" t="str">
        <f t="shared" si="26"/>
        <v>M,111</v>
      </c>
      <c r="C130" s="11">
        <f t="shared" si="47"/>
        <v>129</v>
      </c>
      <c r="D130" s="171">
        <v>72</v>
      </c>
      <c r="E130" s="12">
        <f t="shared" ref="E130:E193" si="48">IF(D130="",0,COUNTIF(K:K,K130))</f>
        <v>1</v>
      </c>
      <c r="F130" s="12">
        <f>COUNTIF(H$2:H130,H130)</f>
        <v>49</v>
      </c>
      <c r="G130" s="12">
        <f>COUNTIF(J$2:J130,J130)</f>
        <v>111</v>
      </c>
      <c r="H130" s="12" t="str">
        <f t="shared" si="40"/>
        <v>SM</v>
      </c>
      <c r="I130" s="50" t="str">
        <f t="shared" si="41"/>
        <v>SM</v>
      </c>
      <c r="J130" s="50" t="str">
        <f t="shared" si="42"/>
        <v>M</v>
      </c>
      <c r="K130" s="64" t="str">
        <f t="shared" si="43"/>
        <v>Rory Burr</v>
      </c>
      <c r="L130" s="64" t="str">
        <f t="shared" si="44"/>
        <v>Barking Road Runners</v>
      </c>
      <c r="M130" s="171">
        <v>0</v>
      </c>
      <c r="N130" s="178">
        <v>22</v>
      </c>
      <c r="O130" s="178">
        <v>50</v>
      </c>
      <c r="P130" s="138">
        <f t="shared" si="27"/>
        <v>0</v>
      </c>
      <c r="Q130" s="137">
        <f t="shared" si="28"/>
        <v>22</v>
      </c>
      <c r="R130" s="143"/>
      <c r="S130" s="143"/>
      <c r="T130" s="143"/>
      <c r="U130" s="144"/>
      <c r="V130" s="144"/>
      <c r="W130" s="144"/>
      <c r="X130" s="145"/>
      <c r="Y130" s="152" t="str">
        <f t="shared" si="29"/>
        <v xml:space="preserve">   22.50 </v>
      </c>
      <c r="Z130" s="136"/>
      <c r="AA130" s="50">
        <f t="shared" si="45"/>
        <v>16</v>
      </c>
      <c r="AB130" s="129">
        <f t="shared" si="46"/>
        <v>37219</v>
      </c>
      <c r="AC130" s="58" t="str">
        <f t="shared" si="30"/>
        <v/>
      </c>
      <c r="AD130" s="58" t="str">
        <f t="shared" si="31"/>
        <v>MBarking Road Runners</v>
      </c>
      <c r="AE130" s="60">
        <f>IF(AD130="","",COUNTIF($AD$2:AD130,AD130))</f>
        <v>10</v>
      </c>
      <c r="AF130" s="62">
        <f>IF(AD130="","",SUMIF(AD$2:AD130,AD130,G$2:G130))</f>
        <v>548</v>
      </c>
      <c r="AG130" s="62" t="str">
        <f>IF(AK130&lt;&gt;"",COUNTIF($AK$1:AK129,AK130)+AK130,IF(AL130&lt;&gt;"",COUNTIF($AL$1:AL129,AL130)+AL130,""))</f>
        <v/>
      </c>
      <c r="AH130" s="62" t="str">
        <f t="shared" si="32"/>
        <v>Barking Road Runners</v>
      </c>
      <c r="AI130" s="62" t="str">
        <f>IF(AND(J130="M", AH130&lt;&gt;"U/A",AE130=Prizewinners!$J$1),AF130,"")</f>
        <v/>
      </c>
      <c r="AJ130" s="58" t="str">
        <f>IF(AND(J130="F",  AH130&lt;&gt;"U/A",AE130=Prizewinners!$J$16),AF130,"")</f>
        <v/>
      </c>
      <c r="AK130" s="58" t="str">
        <f t="shared" si="33"/>
        <v/>
      </c>
      <c r="AL130" s="58" t="str">
        <f t="shared" si="34"/>
        <v/>
      </c>
      <c r="AM130" s="58" t="str">
        <f t="shared" si="35"/>
        <v>MBarking Road Runners10</v>
      </c>
      <c r="AN130" s="58" t="str">
        <f t="shared" si="36"/>
        <v/>
      </c>
      <c r="AO130" s="58" t="str">
        <f t="shared" si="37"/>
        <v/>
      </c>
      <c r="AP130" s="58" t="str">
        <f t="shared" si="38"/>
        <v/>
      </c>
      <c r="AQ130" s="58" t="str">
        <f t="shared" si="39"/>
        <v>Rory Burr</v>
      </c>
    </row>
    <row r="131" spans="1:43" x14ac:dyDescent="0.25">
      <c r="A131" s="12" t="str">
        <f t="shared" ref="A131:A194" si="49">IF(Z131="RESM",Z131,IF(Z131="RESF",Z131,CONCATENATE(H131,",",F131)))</f>
        <v>SM,50</v>
      </c>
      <c r="B131" s="12" t="str">
        <f t="shared" ref="B131:B194" si="50">CONCATENATE(J131,",",G131)</f>
        <v>M,112</v>
      </c>
      <c r="C131" s="11">
        <f t="shared" si="47"/>
        <v>130</v>
      </c>
      <c r="D131" s="171">
        <v>134</v>
      </c>
      <c r="E131" s="12">
        <f t="shared" si="48"/>
        <v>1</v>
      </c>
      <c r="F131" s="12">
        <f>COUNTIF(H$2:H131,H131)</f>
        <v>50</v>
      </c>
      <c r="G131" s="12">
        <f>COUNTIF(J$2:J131,J131)</f>
        <v>112</v>
      </c>
      <c r="H131" s="12" t="str">
        <f t="shared" si="40"/>
        <v>SM</v>
      </c>
      <c r="I131" s="50" t="str">
        <f t="shared" si="41"/>
        <v>SM</v>
      </c>
      <c r="J131" s="50" t="str">
        <f t="shared" si="42"/>
        <v>M</v>
      </c>
      <c r="K131" s="64" t="str">
        <f t="shared" si="43"/>
        <v>George Sceats</v>
      </c>
      <c r="L131" s="64" t="str">
        <f t="shared" si="44"/>
        <v>East End Road Runners</v>
      </c>
      <c r="M131" s="171">
        <v>0</v>
      </c>
      <c r="N131" s="178">
        <v>22</v>
      </c>
      <c r="O131" s="178">
        <v>51</v>
      </c>
      <c r="P131" s="138">
        <f t="shared" ref="P131:P194" si="51">IF(LEN(TRIM(M131))=0,P130,M131)</f>
        <v>0</v>
      </c>
      <c r="Q131" s="137">
        <f t="shared" ref="Q131:Q194" si="52">IF(N131="",Q130,N131)</f>
        <v>22</v>
      </c>
      <c r="R131" s="143"/>
      <c r="S131" s="143"/>
      <c r="T131" s="143"/>
      <c r="U131" s="144"/>
      <c r="V131" s="144"/>
      <c r="W131" s="144"/>
      <c r="X131" s="145"/>
      <c r="Y131" s="152" t="str">
        <f t="shared" ref="Y131:Y194" si="53">CONCATENATE(IF(P131=0,"  ",TEXT(P131,"#0")),IF(P131=0," ","."),IF(LEN(TRIM(Q131))=0,"  ",TEXT(Q131,"00")),IF(LEN(TRIM(Q131))=0,"","."),TEXT(O131,"00")," ")</f>
        <v xml:space="preserve">   22.51 </v>
      </c>
      <c r="Z131" s="136"/>
      <c r="AA131" s="50">
        <f t="shared" si="45"/>
        <v>25</v>
      </c>
      <c r="AB131" s="129">
        <f t="shared" si="46"/>
        <v>34074</v>
      </c>
      <c r="AC131" s="58" t="str">
        <f t="shared" ref="AC131:AC194" si="54">IF(AG131&lt;&gt;"",CONCATENATE(J131,AG131),"")</f>
        <v/>
      </c>
      <c r="AD131" s="58" t="str">
        <f t="shared" ref="AD131:AD194" si="55">CONCATENATE(J131,L131)</f>
        <v>MEast End Road Runners</v>
      </c>
      <c r="AE131" s="60">
        <f>IF(AD131="","",COUNTIF($AD$2:AD131,AD131))</f>
        <v>9</v>
      </c>
      <c r="AF131" s="62">
        <f>IF(AD131="","",SUMIF(AD$2:AD131,AD131,G$2:G131))</f>
        <v>603</v>
      </c>
      <c r="AG131" s="62" t="str">
        <f>IF(AK131&lt;&gt;"",COUNTIF($AK$1:AK130,AK131)+AK131,IF(AL131&lt;&gt;"",COUNTIF($AL$1:AL130,AL131)+AL131,""))</f>
        <v/>
      </c>
      <c r="AH131" s="62" t="str">
        <f t="shared" ref="AH131:AH194" si="56">L131</f>
        <v>East End Road Runners</v>
      </c>
      <c r="AI131" s="62" t="str">
        <f>IF(AND(J131="M", AH131&lt;&gt;"U/A",AE131=Prizewinners!$J$1),AF131,"")</f>
        <v/>
      </c>
      <c r="AJ131" s="58" t="str">
        <f>IF(AND(J131="F",  AH131&lt;&gt;"U/A",AE131=Prizewinners!$J$16),AF131,"")</f>
        <v/>
      </c>
      <c r="AK131" s="58" t="str">
        <f t="shared" ref="AK131:AK194" si="57">IF(AI131&lt;&gt;"",RANK(AI131,AI$2:AI$504,1),"")</f>
        <v/>
      </c>
      <c r="AL131" s="58" t="str">
        <f t="shared" ref="AL131:AL194" si="58">IF(AJ131&lt;&gt;"",RANK(AJ131,AJ$2:AJ$504,1),"")</f>
        <v/>
      </c>
      <c r="AM131" s="58" t="str">
        <f t="shared" ref="AM131:AM194" si="59">CONCATENATE(AD131,AE131)</f>
        <v>MEast End Road Runners9</v>
      </c>
      <c r="AN131" s="58" t="str">
        <f t="shared" ref="AN131:AN194" si="60">IF(AG131&lt;&gt;"",VLOOKUP(CONCATENATE(AD131,"1"),Scoring_Team,5,FALSE),"")</f>
        <v/>
      </c>
      <c r="AO131" s="58" t="str">
        <f t="shared" ref="AO131:AO194" si="61">IF(AG131&lt;&gt;"",VLOOKUP(CONCATENATE(AD131,"2"),Scoring_Team,5,FALSE),"")</f>
        <v/>
      </c>
      <c r="AP131" s="58" t="str">
        <f t="shared" ref="AP131:AP194" si="62">IF(AG131&lt;&gt;"",VLOOKUP(CONCATENATE(AD131,"3"),Scoring_Team,5,FALSE),"")</f>
        <v/>
      </c>
      <c r="AQ131" s="58" t="str">
        <f t="shared" ref="AQ131:AQ194" si="63">K131</f>
        <v>George Sceats</v>
      </c>
    </row>
    <row r="132" spans="1:43" x14ac:dyDescent="0.25">
      <c r="A132" s="12" t="str">
        <f t="shared" si="49"/>
        <v>SM,51</v>
      </c>
      <c r="B132" s="12" t="str">
        <f t="shared" si="50"/>
        <v>M,113</v>
      </c>
      <c r="C132" s="11">
        <f t="shared" si="47"/>
        <v>131</v>
      </c>
      <c r="D132" s="171">
        <v>73</v>
      </c>
      <c r="E132" s="12">
        <f t="shared" si="48"/>
        <v>1</v>
      </c>
      <c r="F132" s="12">
        <f>COUNTIF(H$2:H132,H132)</f>
        <v>51</v>
      </c>
      <c r="G132" s="12">
        <f>COUNTIF(J$2:J132,J132)</f>
        <v>113</v>
      </c>
      <c r="H132" s="12" t="str">
        <f t="shared" ref="H132:H196" si="64">IF(G132&gt;3,I132,"")</f>
        <v>SM</v>
      </c>
      <c r="I132" s="50" t="str">
        <f t="shared" ref="I132:I196" si="65">IF(ISNA(VLOOKUP($D132,Runner,3,FALSE)),IF(ISNA(VLOOKUP($D132,Code,3,FALSE)),"",VLOOKUP($D132,Code,3,FALSE)),VLOOKUP($D132,Runner,3,FALSE))</f>
        <v>SM</v>
      </c>
      <c r="J132" s="50" t="str">
        <f t="shared" ref="J132:J196" si="66">IF(ISNA(VLOOKUP($D132,Runner,5,FALSE)),IF(ISNA(VLOOKUP($D132,Code,5,FALSE)),"",VLOOKUP($D132,Code,5,FALSE)),VLOOKUP($D132,Runner,5,FALSE))</f>
        <v>M</v>
      </c>
      <c r="K132" s="64" t="str">
        <f t="shared" ref="K132:K195" si="67">TRIM(IF(ISNA(VLOOKUP($D132,Runner,2,FALSE)),IF(ISNA(VLOOKUP($D132,Code,2,FALSE)),"",VLOOKUP($D132,Code,2,FALSE)),VLOOKUP($D132,Runner,2,FALSE)))</f>
        <v>Craig Brown</v>
      </c>
      <c r="L132" s="64" t="str">
        <f t="shared" ref="L132:L195" si="68">IF(ISNA(VLOOKUP($D132,Runner,4,FALSE)),IF(ISNA(VLOOKUP($D132,Code,4,FALSE)),"",VLOOKUP($D132,Code,4,FALSE)),VLOOKUP($D132,Runner,4,FALSE))</f>
        <v>Harold Wood Running Club</v>
      </c>
      <c r="M132" s="171">
        <v>0</v>
      </c>
      <c r="N132" s="178">
        <v>22</v>
      </c>
      <c r="O132" s="178">
        <v>52</v>
      </c>
      <c r="P132" s="138">
        <f t="shared" si="51"/>
        <v>0</v>
      </c>
      <c r="Q132" s="137">
        <f t="shared" si="52"/>
        <v>22</v>
      </c>
      <c r="R132" s="143"/>
      <c r="S132" s="143"/>
      <c r="T132" s="143"/>
      <c r="U132" s="144"/>
      <c r="V132" s="144"/>
      <c r="W132" s="144"/>
      <c r="X132" s="145"/>
      <c r="Y132" s="152" t="str">
        <f t="shared" si="53"/>
        <v xml:space="preserve">   22.52 </v>
      </c>
      <c r="Z132" s="136"/>
      <c r="AA132" s="50">
        <f t="shared" ref="AA132:AA195" si="69">IF(ISNA(VLOOKUP($D132,Runner,6,FALSE)),"",VLOOKUP($D132,Runner,6,FALSE))</f>
        <v>32</v>
      </c>
      <c r="AB132" s="129">
        <f t="shared" ref="AB132:AB195" si="70">IF(ISNA(VLOOKUP($D132,Runner,8,FALSE)),"",IF(VLOOKUP($D132,Runner,8,FALSE)=0,"",VLOOKUP($D132,Runner,8,FALSE)))</f>
        <v>31469</v>
      </c>
      <c r="AC132" s="58" t="str">
        <f t="shared" si="54"/>
        <v/>
      </c>
      <c r="AD132" s="58" t="str">
        <f t="shared" si="55"/>
        <v>MHarold Wood Running Club</v>
      </c>
      <c r="AE132" s="60">
        <f>IF(AD132="","",COUNTIF($AD$2:AD132,AD132))</f>
        <v>6</v>
      </c>
      <c r="AF132" s="62">
        <f>IF(AD132="","",SUMIF(AD$2:AD132,AD132,G$2:G132))</f>
        <v>326</v>
      </c>
      <c r="AG132" s="62" t="str">
        <f>IF(AK132&lt;&gt;"",COUNTIF($AK$1:AK131,AK132)+AK132,IF(AL132&lt;&gt;"",COUNTIF($AL$1:AL131,AL132)+AL132,""))</f>
        <v/>
      </c>
      <c r="AH132" s="62" t="str">
        <f t="shared" si="56"/>
        <v>Harold Wood Running Club</v>
      </c>
      <c r="AI132" s="62" t="str">
        <f>IF(AND(J132="M", AH132&lt;&gt;"U/A",AE132=Prizewinners!$J$1),AF132,"")</f>
        <v/>
      </c>
      <c r="AJ132" s="58" t="str">
        <f>IF(AND(J132="F",  AH132&lt;&gt;"U/A",AE132=Prizewinners!$J$16),AF132,"")</f>
        <v/>
      </c>
      <c r="AK132" s="58" t="str">
        <f t="shared" si="57"/>
        <v/>
      </c>
      <c r="AL132" s="58" t="str">
        <f t="shared" si="58"/>
        <v/>
      </c>
      <c r="AM132" s="58" t="str">
        <f t="shared" si="59"/>
        <v>MHarold Wood Running Club6</v>
      </c>
      <c r="AN132" s="58" t="str">
        <f t="shared" si="60"/>
        <v/>
      </c>
      <c r="AO132" s="58" t="str">
        <f t="shared" si="61"/>
        <v/>
      </c>
      <c r="AP132" s="58" t="str">
        <f t="shared" si="62"/>
        <v/>
      </c>
      <c r="AQ132" s="58" t="str">
        <f t="shared" si="63"/>
        <v>Craig Brown</v>
      </c>
    </row>
    <row r="133" spans="1:43" x14ac:dyDescent="0.25">
      <c r="A133" s="12" t="str">
        <f t="shared" si="49"/>
        <v>VM40,33</v>
      </c>
      <c r="B133" s="12" t="str">
        <f t="shared" si="50"/>
        <v>M,114</v>
      </c>
      <c r="C133" s="11">
        <f t="shared" ref="C133:C197" si="71">C132+1</f>
        <v>132</v>
      </c>
      <c r="D133" s="171">
        <v>383</v>
      </c>
      <c r="E133" s="12">
        <f t="shared" si="48"/>
        <v>1</v>
      </c>
      <c r="F133" s="12">
        <f>COUNTIF(H$2:H133,H133)</f>
        <v>33</v>
      </c>
      <c r="G133" s="12">
        <f>COUNTIF(J$2:J133,J133)</f>
        <v>114</v>
      </c>
      <c r="H133" s="12" t="str">
        <f t="shared" si="64"/>
        <v>VM40</v>
      </c>
      <c r="I133" s="50" t="str">
        <f t="shared" si="65"/>
        <v>VM40</v>
      </c>
      <c r="J133" s="50" t="str">
        <f t="shared" si="66"/>
        <v>M</v>
      </c>
      <c r="K133" s="64" t="str">
        <f t="shared" si="67"/>
        <v>Nils Hollmann</v>
      </c>
      <c r="L133" s="64" t="str">
        <f t="shared" si="68"/>
        <v>Dagenham 88 Runners</v>
      </c>
      <c r="M133" s="171">
        <v>0</v>
      </c>
      <c r="N133" s="178">
        <v>22</v>
      </c>
      <c r="O133" s="178">
        <v>55</v>
      </c>
      <c r="P133" s="138">
        <f t="shared" si="51"/>
        <v>0</v>
      </c>
      <c r="Q133" s="137">
        <f t="shared" si="52"/>
        <v>22</v>
      </c>
      <c r="R133" s="143"/>
      <c r="S133" s="143"/>
      <c r="T133" s="143"/>
      <c r="U133" s="144"/>
      <c r="V133" s="144"/>
      <c r="W133" s="144"/>
      <c r="X133" s="145"/>
      <c r="Y133" s="152" t="str">
        <f t="shared" si="53"/>
        <v xml:space="preserve">   22.55 </v>
      </c>
      <c r="Z133" s="136"/>
      <c r="AA133" s="50">
        <f t="shared" si="69"/>
        <v>46</v>
      </c>
      <c r="AB133" s="129">
        <f t="shared" si="70"/>
        <v>26521</v>
      </c>
      <c r="AC133" s="58" t="str">
        <f t="shared" si="54"/>
        <v/>
      </c>
      <c r="AD133" s="58" t="str">
        <f t="shared" si="55"/>
        <v>MDagenham 88 Runners</v>
      </c>
      <c r="AE133" s="60">
        <f>IF(AD133="","",COUNTIF($AD$2:AD133,AD133))</f>
        <v>6</v>
      </c>
      <c r="AF133" s="62">
        <f>IF(AD133="","",SUMIF(AD$2:AD133,AD133,G$2:G133))</f>
        <v>529</v>
      </c>
      <c r="AG133" s="62" t="str">
        <f>IF(AK133&lt;&gt;"",COUNTIF($AK$1:AK132,AK133)+AK133,IF(AL133&lt;&gt;"",COUNTIF($AL$1:AL132,AL133)+AL133,""))</f>
        <v/>
      </c>
      <c r="AH133" s="62" t="str">
        <f t="shared" si="56"/>
        <v>Dagenham 88 Runners</v>
      </c>
      <c r="AI133" s="62" t="str">
        <f>IF(AND(J133="M", AH133&lt;&gt;"U/A",AE133=Prizewinners!$J$1),AF133,"")</f>
        <v/>
      </c>
      <c r="AJ133" s="58" t="str">
        <f>IF(AND(J133="F",  AH133&lt;&gt;"U/A",AE133=Prizewinners!$J$16),AF133,"")</f>
        <v/>
      </c>
      <c r="AK133" s="58" t="str">
        <f t="shared" si="57"/>
        <v/>
      </c>
      <c r="AL133" s="58" t="str">
        <f t="shared" si="58"/>
        <v/>
      </c>
      <c r="AM133" s="58" t="str">
        <f t="shared" si="59"/>
        <v>MDagenham 88 Runners6</v>
      </c>
      <c r="AN133" s="58" t="str">
        <f t="shared" si="60"/>
        <v/>
      </c>
      <c r="AO133" s="58" t="str">
        <f t="shared" si="61"/>
        <v/>
      </c>
      <c r="AP133" s="58" t="str">
        <f t="shared" si="62"/>
        <v/>
      </c>
      <c r="AQ133" s="58" t="str">
        <f t="shared" si="63"/>
        <v>Nils Hollmann</v>
      </c>
    </row>
    <row r="134" spans="1:43" x14ac:dyDescent="0.25">
      <c r="A134" s="12" t="str">
        <f t="shared" si="49"/>
        <v>VF45,3</v>
      </c>
      <c r="B134" s="12" t="str">
        <f t="shared" si="50"/>
        <v>F,19</v>
      </c>
      <c r="C134" s="11">
        <f t="shared" si="71"/>
        <v>133</v>
      </c>
      <c r="D134" s="171">
        <v>6</v>
      </c>
      <c r="E134" s="12">
        <f t="shared" si="48"/>
        <v>1</v>
      </c>
      <c r="F134" s="12">
        <f>COUNTIF(H$2:H134,H134)</f>
        <v>3</v>
      </c>
      <c r="G134" s="12">
        <f>COUNTIF(J$2:J134,J134)</f>
        <v>19</v>
      </c>
      <c r="H134" s="12" t="str">
        <f t="shared" si="64"/>
        <v>VF45</v>
      </c>
      <c r="I134" s="50" t="str">
        <f t="shared" si="65"/>
        <v>VF45</v>
      </c>
      <c r="J134" s="50" t="str">
        <f t="shared" si="66"/>
        <v>F</v>
      </c>
      <c r="K134" s="64" t="str">
        <f t="shared" si="67"/>
        <v>Amanda Heslegrave</v>
      </c>
      <c r="L134" s="64" t="str">
        <f t="shared" si="68"/>
        <v>Barking Road Runners</v>
      </c>
      <c r="M134" s="171">
        <v>0</v>
      </c>
      <c r="N134" s="178">
        <v>23</v>
      </c>
      <c r="O134" s="178">
        <v>5</v>
      </c>
      <c r="P134" s="138">
        <f t="shared" si="51"/>
        <v>0</v>
      </c>
      <c r="Q134" s="137">
        <f t="shared" si="52"/>
        <v>23</v>
      </c>
      <c r="R134" s="143"/>
      <c r="S134" s="143"/>
      <c r="T134" s="143"/>
      <c r="U134" s="144"/>
      <c r="V134" s="144"/>
      <c r="W134" s="144"/>
      <c r="X134" s="145"/>
      <c r="Y134" s="152" t="str">
        <f t="shared" si="53"/>
        <v xml:space="preserve">   23.05 </v>
      </c>
      <c r="Z134" s="136"/>
      <c r="AA134" s="50">
        <f t="shared" si="69"/>
        <v>48</v>
      </c>
      <c r="AB134" s="129">
        <f t="shared" si="70"/>
        <v>25547</v>
      </c>
      <c r="AC134" s="58" t="str">
        <f t="shared" si="54"/>
        <v/>
      </c>
      <c r="AD134" s="58" t="str">
        <f t="shared" si="55"/>
        <v>FBarking Road Runners</v>
      </c>
      <c r="AE134" s="60">
        <f>IF(AD134="","",COUNTIF($AD$2:AD134,AD134))</f>
        <v>1</v>
      </c>
      <c r="AF134" s="62">
        <f>IF(AD134="","",SUMIF(AD$2:AD134,AD134,G$2:G134))</f>
        <v>19</v>
      </c>
      <c r="AG134" s="62" t="str">
        <f>IF(AK134&lt;&gt;"",COUNTIF($AK$1:AK133,AK134)+AK134,IF(AL134&lt;&gt;"",COUNTIF($AL$1:AL133,AL134)+AL134,""))</f>
        <v/>
      </c>
      <c r="AH134" s="62" t="str">
        <f t="shared" si="56"/>
        <v>Barking Road Runners</v>
      </c>
      <c r="AI134" s="62" t="str">
        <f>IF(AND(J134="M", AH134&lt;&gt;"U/A",AE134=Prizewinners!$J$1),AF134,"")</f>
        <v/>
      </c>
      <c r="AJ134" s="58" t="str">
        <f>IF(AND(J134="F",  AH134&lt;&gt;"U/A",AE134=Prizewinners!$J$16),AF134,"")</f>
        <v/>
      </c>
      <c r="AK134" s="58" t="str">
        <f t="shared" si="57"/>
        <v/>
      </c>
      <c r="AL134" s="58" t="str">
        <f t="shared" si="58"/>
        <v/>
      </c>
      <c r="AM134" s="58" t="str">
        <f t="shared" si="59"/>
        <v>FBarking Road Runners1</v>
      </c>
      <c r="AN134" s="58" t="str">
        <f t="shared" si="60"/>
        <v/>
      </c>
      <c r="AO134" s="58" t="str">
        <f t="shared" si="61"/>
        <v/>
      </c>
      <c r="AP134" s="58" t="str">
        <f t="shared" si="62"/>
        <v/>
      </c>
      <c r="AQ134" s="58" t="str">
        <f t="shared" si="63"/>
        <v>Amanda Heslegrave</v>
      </c>
    </row>
    <row r="135" spans="1:43" x14ac:dyDescent="0.25">
      <c r="A135" s="12" t="str">
        <f t="shared" si="49"/>
        <v>SM,52</v>
      </c>
      <c r="B135" s="12" t="str">
        <f t="shared" si="50"/>
        <v>M,115</v>
      </c>
      <c r="C135" s="11">
        <f t="shared" si="71"/>
        <v>134</v>
      </c>
      <c r="D135" s="171">
        <v>104</v>
      </c>
      <c r="E135" s="12">
        <f t="shared" si="48"/>
        <v>1</v>
      </c>
      <c r="F135" s="12">
        <f>COUNTIF(H$2:H135,H135)</f>
        <v>52</v>
      </c>
      <c r="G135" s="12">
        <f>COUNTIF(J$2:J135,J135)</f>
        <v>115</v>
      </c>
      <c r="H135" s="12" t="str">
        <f t="shared" si="64"/>
        <v>SM</v>
      </c>
      <c r="I135" s="50" t="str">
        <f t="shared" si="65"/>
        <v>SM</v>
      </c>
      <c r="J135" s="50" t="str">
        <f t="shared" si="66"/>
        <v>M</v>
      </c>
      <c r="K135" s="64" t="str">
        <f t="shared" si="67"/>
        <v>Daniel Carroll</v>
      </c>
      <c r="L135" s="64" t="str">
        <f t="shared" si="68"/>
        <v>Orion Harriers</v>
      </c>
      <c r="M135" s="171">
        <v>0</v>
      </c>
      <c r="N135" s="178">
        <v>23</v>
      </c>
      <c r="O135" s="178">
        <v>12</v>
      </c>
      <c r="P135" s="138">
        <f t="shared" si="51"/>
        <v>0</v>
      </c>
      <c r="Q135" s="137">
        <f t="shared" si="52"/>
        <v>23</v>
      </c>
      <c r="R135" s="143"/>
      <c r="S135" s="143"/>
      <c r="T135" s="143"/>
      <c r="U135" s="144"/>
      <c r="V135" s="144"/>
      <c r="W135" s="144"/>
      <c r="X135" s="145"/>
      <c r="Y135" s="152" t="str">
        <f t="shared" si="53"/>
        <v xml:space="preserve">   23.12 </v>
      </c>
      <c r="Z135" s="136"/>
      <c r="AA135" s="50">
        <f t="shared" si="69"/>
        <v>37</v>
      </c>
      <c r="AB135" s="129">
        <f t="shared" si="70"/>
        <v>29475</v>
      </c>
      <c r="AC135" s="58" t="str">
        <f t="shared" si="54"/>
        <v/>
      </c>
      <c r="AD135" s="58" t="str">
        <f t="shared" si="55"/>
        <v>MOrion Harriers</v>
      </c>
      <c r="AE135" s="60">
        <f>IF(AD135="","",COUNTIF($AD$2:AD135,AD135))</f>
        <v>9</v>
      </c>
      <c r="AF135" s="62">
        <f>IF(AD135="","",SUMIF(AD$2:AD135,AD135,G$2:G135))</f>
        <v>649</v>
      </c>
      <c r="AG135" s="62" t="str">
        <f>IF(AK135&lt;&gt;"",COUNTIF($AK$1:AK134,AK135)+AK135,IF(AL135&lt;&gt;"",COUNTIF($AL$1:AL134,AL135)+AL135,""))</f>
        <v/>
      </c>
      <c r="AH135" s="62" t="str">
        <f t="shared" si="56"/>
        <v>Orion Harriers</v>
      </c>
      <c r="AI135" s="62" t="str">
        <f>IF(AND(J135="M", AH135&lt;&gt;"U/A",AE135=Prizewinners!$J$1),AF135,"")</f>
        <v/>
      </c>
      <c r="AJ135" s="58" t="str">
        <f>IF(AND(J135="F",  AH135&lt;&gt;"U/A",AE135=Prizewinners!$J$16),AF135,"")</f>
        <v/>
      </c>
      <c r="AK135" s="58" t="str">
        <f t="shared" si="57"/>
        <v/>
      </c>
      <c r="AL135" s="58" t="str">
        <f t="shared" si="58"/>
        <v/>
      </c>
      <c r="AM135" s="58" t="str">
        <f t="shared" si="59"/>
        <v>MOrion Harriers9</v>
      </c>
      <c r="AN135" s="58" t="str">
        <f t="shared" si="60"/>
        <v/>
      </c>
      <c r="AO135" s="58" t="str">
        <f t="shared" si="61"/>
        <v/>
      </c>
      <c r="AP135" s="58" t="str">
        <f t="shared" si="62"/>
        <v/>
      </c>
      <c r="AQ135" s="58" t="str">
        <f t="shared" si="63"/>
        <v>Daniel Carroll</v>
      </c>
    </row>
    <row r="136" spans="1:43" x14ac:dyDescent="0.25">
      <c r="A136" s="12" t="str">
        <f t="shared" si="49"/>
        <v>VM40,34</v>
      </c>
      <c r="B136" s="12" t="str">
        <f t="shared" si="50"/>
        <v>M,116</v>
      </c>
      <c r="C136" s="11">
        <f t="shared" si="71"/>
        <v>135</v>
      </c>
      <c r="D136" s="171">
        <v>375</v>
      </c>
      <c r="E136" s="12">
        <f t="shared" si="48"/>
        <v>1</v>
      </c>
      <c r="F136" s="12">
        <f>COUNTIF(H$2:H136,H136)</f>
        <v>34</v>
      </c>
      <c r="G136" s="12">
        <f>COUNTIF(J$2:J136,J136)</f>
        <v>116</v>
      </c>
      <c r="H136" s="12" t="str">
        <f t="shared" si="64"/>
        <v>VM40</v>
      </c>
      <c r="I136" s="50" t="str">
        <f t="shared" si="65"/>
        <v>VM40</v>
      </c>
      <c r="J136" s="50" t="str">
        <f t="shared" si="66"/>
        <v>M</v>
      </c>
      <c r="K136" s="64" t="str">
        <f t="shared" si="67"/>
        <v>Brian Parish</v>
      </c>
      <c r="L136" s="64" t="str">
        <f t="shared" si="68"/>
        <v>Havering 90 Joggers</v>
      </c>
      <c r="M136" s="171">
        <v>0</v>
      </c>
      <c r="N136" s="178">
        <v>23</v>
      </c>
      <c r="O136" s="178">
        <v>13</v>
      </c>
      <c r="P136" s="138">
        <f t="shared" si="51"/>
        <v>0</v>
      </c>
      <c r="Q136" s="137">
        <f t="shared" si="52"/>
        <v>23</v>
      </c>
      <c r="R136" s="143"/>
      <c r="S136" s="143"/>
      <c r="T136" s="143"/>
      <c r="U136" s="144"/>
      <c r="V136" s="144"/>
      <c r="W136" s="144"/>
      <c r="X136" s="145"/>
      <c r="Y136" s="152" t="str">
        <f t="shared" si="53"/>
        <v xml:space="preserve">   23.13 </v>
      </c>
      <c r="Z136" s="136"/>
      <c r="AA136" s="50">
        <f t="shared" si="69"/>
        <v>44</v>
      </c>
      <c r="AB136" s="129">
        <f t="shared" si="70"/>
        <v>26981</v>
      </c>
      <c r="AC136" s="58" t="str">
        <f t="shared" si="54"/>
        <v/>
      </c>
      <c r="AD136" s="58" t="str">
        <f t="shared" si="55"/>
        <v>MHavering 90 Joggers</v>
      </c>
      <c r="AE136" s="60">
        <f>IF(AD136="","",COUNTIF($AD$2:AD136,AD136))</f>
        <v>6</v>
      </c>
      <c r="AF136" s="62">
        <f>IF(AD136="","",SUMIF(AD$2:AD136,AD136,G$2:G136))</f>
        <v>506</v>
      </c>
      <c r="AG136" s="62" t="str">
        <f>IF(AK136&lt;&gt;"",COUNTIF($AK$1:AK135,AK136)+AK136,IF(AL136&lt;&gt;"",COUNTIF($AL$1:AL135,AL136)+AL136,""))</f>
        <v/>
      </c>
      <c r="AH136" s="62" t="str">
        <f t="shared" si="56"/>
        <v>Havering 90 Joggers</v>
      </c>
      <c r="AI136" s="62" t="str">
        <f>IF(AND(J136="M", AH136&lt;&gt;"U/A",AE136=Prizewinners!$J$1),AF136,"")</f>
        <v/>
      </c>
      <c r="AJ136" s="58" t="str">
        <f>IF(AND(J136="F",  AH136&lt;&gt;"U/A",AE136=Prizewinners!$J$16),AF136,"")</f>
        <v/>
      </c>
      <c r="AK136" s="58" t="str">
        <f t="shared" si="57"/>
        <v/>
      </c>
      <c r="AL136" s="58" t="str">
        <f t="shared" si="58"/>
        <v/>
      </c>
      <c r="AM136" s="58" t="str">
        <f t="shared" si="59"/>
        <v>MHavering 90 Joggers6</v>
      </c>
      <c r="AN136" s="58" t="str">
        <f t="shared" si="60"/>
        <v/>
      </c>
      <c r="AO136" s="58" t="str">
        <f t="shared" si="61"/>
        <v/>
      </c>
      <c r="AP136" s="58" t="str">
        <f t="shared" si="62"/>
        <v/>
      </c>
      <c r="AQ136" s="58" t="str">
        <f t="shared" si="63"/>
        <v>Brian Parish</v>
      </c>
    </row>
    <row r="137" spans="1:43" x14ac:dyDescent="0.25">
      <c r="A137" s="12" t="str">
        <f t="shared" si="49"/>
        <v>VM40,35</v>
      </c>
      <c r="B137" s="12" t="str">
        <f t="shared" si="50"/>
        <v>M,117</v>
      </c>
      <c r="C137" s="11">
        <f t="shared" si="71"/>
        <v>136</v>
      </c>
      <c r="D137" s="171">
        <v>135</v>
      </c>
      <c r="E137" s="12">
        <f t="shared" si="48"/>
        <v>1</v>
      </c>
      <c r="F137" s="12">
        <f>COUNTIF(H$2:H137,H137)</f>
        <v>35</v>
      </c>
      <c r="G137" s="12">
        <f>COUNTIF(J$2:J137,J137)</f>
        <v>117</v>
      </c>
      <c r="H137" s="12" t="str">
        <f t="shared" si="64"/>
        <v>VM40</v>
      </c>
      <c r="I137" s="50" t="str">
        <f t="shared" si="65"/>
        <v>VM40</v>
      </c>
      <c r="J137" s="50" t="str">
        <f t="shared" si="66"/>
        <v>M</v>
      </c>
      <c r="K137" s="64" t="str">
        <f t="shared" si="67"/>
        <v>Remi Kubar</v>
      </c>
      <c r="L137" s="64" t="str">
        <f t="shared" si="68"/>
        <v>East End Road Runners</v>
      </c>
      <c r="M137" s="171">
        <v>0</v>
      </c>
      <c r="N137" s="178">
        <v>23</v>
      </c>
      <c r="O137" s="178">
        <v>18</v>
      </c>
      <c r="P137" s="138">
        <f t="shared" si="51"/>
        <v>0</v>
      </c>
      <c r="Q137" s="137">
        <f t="shared" si="52"/>
        <v>23</v>
      </c>
      <c r="R137" s="143"/>
      <c r="S137" s="143"/>
      <c r="T137" s="143"/>
      <c r="U137" s="144"/>
      <c r="V137" s="144"/>
      <c r="W137" s="144"/>
      <c r="X137" s="145"/>
      <c r="Y137" s="152" t="str">
        <f t="shared" si="53"/>
        <v xml:space="preserve">   23.18 </v>
      </c>
      <c r="Z137" s="136"/>
      <c r="AA137" s="50">
        <f t="shared" si="69"/>
        <v>40</v>
      </c>
      <c r="AB137" s="129">
        <f t="shared" si="70"/>
        <v>28520</v>
      </c>
      <c r="AC137" s="58" t="str">
        <f t="shared" si="54"/>
        <v/>
      </c>
      <c r="AD137" s="58" t="str">
        <f t="shared" si="55"/>
        <v>MEast End Road Runners</v>
      </c>
      <c r="AE137" s="60">
        <f>IF(AD137="","",COUNTIF($AD$2:AD137,AD137))</f>
        <v>10</v>
      </c>
      <c r="AF137" s="62">
        <f>IF(AD137="","",SUMIF(AD$2:AD137,AD137,G$2:G137))</f>
        <v>720</v>
      </c>
      <c r="AG137" s="62" t="str">
        <f>IF(AK137&lt;&gt;"",COUNTIF($AK$1:AK136,AK137)+AK137,IF(AL137&lt;&gt;"",COUNTIF($AL$1:AL136,AL137)+AL137,""))</f>
        <v/>
      </c>
      <c r="AH137" s="62" t="str">
        <f t="shared" si="56"/>
        <v>East End Road Runners</v>
      </c>
      <c r="AI137" s="62" t="str">
        <f>IF(AND(J137="M", AH137&lt;&gt;"U/A",AE137=Prizewinners!$J$1),AF137,"")</f>
        <v/>
      </c>
      <c r="AJ137" s="58" t="str">
        <f>IF(AND(J137="F",  AH137&lt;&gt;"U/A",AE137=Prizewinners!$J$16),AF137,"")</f>
        <v/>
      </c>
      <c r="AK137" s="58" t="str">
        <f t="shared" si="57"/>
        <v/>
      </c>
      <c r="AL137" s="58" t="str">
        <f t="shared" si="58"/>
        <v/>
      </c>
      <c r="AM137" s="58" t="str">
        <f t="shared" si="59"/>
        <v>MEast End Road Runners10</v>
      </c>
      <c r="AN137" s="58" t="str">
        <f t="shared" si="60"/>
        <v/>
      </c>
      <c r="AO137" s="58" t="str">
        <f t="shared" si="61"/>
        <v/>
      </c>
      <c r="AP137" s="58" t="str">
        <f t="shared" si="62"/>
        <v/>
      </c>
      <c r="AQ137" s="58" t="str">
        <f t="shared" si="63"/>
        <v>Remi Kubar</v>
      </c>
    </row>
    <row r="138" spans="1:43" x14ac:dyDescent="0.25">
      <c r="A138" s="12" t="str">
        <f t="shared" si="49"/>
        <v>VF35,5</v>
      </c>
      <c r="B138" s="12" t="str">
        <f t="shared" si="50"/>
        <v>F,20</v>
      </c>
      <c r="C138" s="11">
        <f t="shared" si="71"/>
        <v>137</v>
      </c>
      <c r="D138" s="171">
        <v>100</v>
      </c>
      <c r="E138" s="12">
        <f t="shared" si="48"/>
        <v>1</v>
      </c>
      <c r="F138" s="12">
        <f>COUNTIF(H$2:H138,H138)</f>
        <v>5</v>
      </c>
      <c r="G138" s="12">
        <f>COUNTIF(J$2:J138,J138)</f>
        <v>20</v>
      </c>
      <c r="H138" s="12" t="str">
        <f t="shared" si="64"/>
        <v>VF35</v>
      </c>
      <c r="I138" s="50" t="str">
        <f t="shared" si="65"/>
        <v>VF35</v>
      </c>
      <c r="J138" s="50" t="str">
        <f t="shared" si="66"/>
        <v>F</v>
      </c>
      <c r="K138" s="64" t="str">
        <f t="shared" si="67"/>
        <v>Sarah Burns</v>
      </c>
      <c r="L138" s="64" t="str">
        <f t="shared" si="68"/>
        <v>East London Runners</v>
      </c>
      <c r="M138" s="171">
        <v>0</v>
      </c>
      <c r="N138" s="178">
        <v>23</v>
      </c>
      <c r="O138" s="178">
        <v>21</v>
      </c>
      <c r="P138" s="138">
        <f t="shared" si="51"/>
        <v>0</v>
      </c>
      <c r="Q138" s="137">
        <f t="shared" si="52"/>
        <v>23</v>
      </c>
      <c r="R138" s="143"/>
      <c r="S138" s="143"/>
      <c r="T138" s="143"/>
      <c r="U138" s="144"/>
      <c r="V138" s="144"/>
      <c r="W138" s="144"/>
      <c r="X138" s="145"/>
      <c r="Y138" s="152" t="str">
        <f t="shared" si="53"/>
        <v xml:space="preserve">   23.21 </v>
      </c>
      <c r="Z138" s="136"/>
      <c r="AA138" s="50">
        <f t="shared" si="69"/>
        <v>42</v>
      </c>
      <c r="AB138" s="129">
        <f t="shared" si="70"/>
        <v>27771</v>
      </c>
      <c r="AC138" s="58" t="str">
        <f t="shared" si="54"/>
        <v/>
      </c>
      <c r="AD138" s="58" t="str">
        <f t="shared" si="55"/>
        <v>FEast London Runners</v>
      </c>
      <c r="AE138" s="60">
        <f>IF(AD138="","",COUNTIF($AD$2:AD138,AD138))</f>
        <v>5</v>
      </c>
      <c r="AF138" s="62">
        <f>IF(AD138="","",SUMIF(AD$2:AD138,AD138,G$2:G138))</f>
        <v>47</v>
      </c>
      <c r="AG138" s="62" t="str">
        <f>IF(AK138&lt;&gt;"",COUNTIF($AK$1:AK137,AK138)+AK138,IF(AL138&lt;&gt;"",COUNTIF($AL$1:AL137,AL138)+AL138,""))</f>
        <v/>
      </c>
      <c r="AH138" s="62" t="str">
        <f t="shared" si="56"/>
        <v>East London Runners</v>
      </c>
      <c r="AI138" s="62" t="str">
        <f>IF(AND(J138="M", AH138&lt;&gt;"U/A",AE138=Prizewinners!$J$1),AF138,"")</f>
        <v/>
      </c>
      <c r="AJ138" s="58" t="str">
        <f>IF(AND(J138="F",  AH138&lt;&gt;"U/A",AE138=Prizewinners!$J$16),AF138,"")</f>
        <v/>
      </c>
      <c r="AK138" s="58" t="str">
        <f t="shared" si="57"/>
        <v/>
      </c>
      <c r="AL138" s="58" t="str">
        <f t="shared" si="58"/>
        <v/>
      </c>
      <c r="AM138" s="58" t="str">
        <f t="shared" si="59"/>
        <v>FEast London Runners5</v>
      </c>
      <c r="AN138" s="58" t="str">
        <f t="shared" si="60"/>
        <v/>
      </c>
      <c r="AO138" s="58" t="str">
        <f t="shared" si="61"/>
        <v/>
      </c>
      <c r="AP138" s="58" t="str">
        <f t="shared" si="62"/>
        <v/>
      </c>
      <c r="AQ138" s="58" t="str">
        <f t="shared" si="63"/>
        <v>Sarah Burns</v>
      </c>
    </row>
    <row r="139" spans="1:43" x14ac:dyDescent="0.25">
      <c r="A139" s="12" t="str">
        <f t="shared" si="49"/>
        <v>VF35,6</v>
      </c>
      <c r="B139" s="12" t="str">
        <f t="shared" si="50"/>
        <v>F,21</v>
      </c>
      <c r="C139" s="11">
        <f t="shared" si="71"/>
        <v>138</v>
      </c>
      <c r="D139" s="171">
        <v>26</v>
      </c>
      <c r="E139" s="12">
        <f t="shared" si="48"/>
        <v>1</v>
      </c>
      <c r="F139" s="12">
        <f>COUNTIF(H$2:H139,H139)</f>
        <v>6</v>
      </c>
      <c r="G139" s="12">
        <f>COUNTIF(J$2:J139,J139)</f>
        <v>21</v>
      </c>
      <c r="H139" s="12" t="str">
        <f t="shared" si="64"/>
        <v>VF35</v>
      </c>
      <c r="I139" s="50" t="str">
        <f t="shared" si="65"/>
        <v>VF35</v>
      </c>
      <c r="J139" s="50" t="str">
        <f t="shared" si="66"/>
        <v>F</v>
      </c>
      <c r="K139" s="64" t="str">
        <f t="shared" si="67"/>
        <v>Ruth Quince</v>
      </c>
      <c r="L139" s="64" t="str">
        <f t="shared" si="68"/>
        <v>Harold Wood Running Club</v>
      </c>
      <c r="M139" s="171">
        <v>0</v>
      </c>
      <c r="N139" s="178">
        <v>23</v>
      </c>
      <c r="O139" s="178">
        <v>23</v>
      </c>
      <c r="P139" s="138">
        <f t="shared" si="51"/>
        <v>0</v>
      </c>
      <c r="Q139" s="137">
        <f t="shared" si="52"/>
        <v>23</v>
      </c>
      <c r="R139" s="143"/>
      <c r="S139" s="143"/>
      <c r="T139" s="143"/>
      <c r="U139" s="144"/>
      <c r="V139" s="144"/>
      <c r="W139" s="144"/>
      <c r="X139" s="145"/>
      <c r="Y139" s="152" t="str">
        <f t="shared" si="53"/>
        <v xml:space="preserve">   23.23 </v>
      </c>
      <c r="Z139" s="136"/>
      <c r="AA139" s="50">
        <f t="shared" si="69"/>
        <v>41</v>
      </c>
      <c r="AB139" s="129">
        <f t="shared" si="70"/>
        <v>28149</v>
      </c>
      <c r="AC139" s="58" t="str">
        <f t="shared" si="54"/>
        <v>F5</v>
      </c>
      <c r="AD139" s="58" t="str">
        <f t="shared" si="55"/>
        <v>FHarold Wood Running Club</v>
      </c>
      <c r="AE139" s="60">
        <f>IF(AD139="","",COUNTIF($AD$2:AD139,AD139))</f>
        <v>3</v>
      </c>
      <c r="AF139" s="62">
        <f>IF(AD139="","",SUMIF(AD$2:AD139,AD139,G$2:G139))</f>
        <v>46</v>
      </c>
      <c r="AG139" s="62">
        <f>IF(AK139&lt;&gt;"",COUNTIF($AK$1:AK138,AK139)+AK139,IF(AL139&lt;&gt;"",COUNTIF($AL$1:AL138,AL139)+AL139,""))</f>
        <v>5</v>
      </c>
      <c r="AH139" s="62" t="str">
        <f t="shared" si="56"/>
        <v>Harold Wood Running Club</v>
      </c>
      <c r="AI139" s="62" t="str">
        <f>IF(AND(J139="M", AH139&lt;&gt;"U/A",AE139=Prizewinners!$J$1),AF139,"")</f>
        <v/>
      </c>
      <c r="AJ139" s="58">
        <f>IF(AND(J139="F",  AH139&lt;&gt;"U/A",AE139=Prizewinners!$J$16),AF139,"")</f>
        <v>46</v>
      </c>
      <c r="AK139" s="58" t="str">
        <f t="shared" si="57"/>
        <v/>
      </c>
      <c r="AL139" s="58">
        <f t="shared" si="58"/>
        <v>5</v>
      </c>
      <c r="AM139" s="58" t="str">
        <f t="shared" si="59"/>
        <v>FHarold Wood Running Club3</v>
      </c>
      <c r="AN139" s="58" t="str">
        <f t="shared" si="60"/>
        <v>Linda Day</v>
      </c>
      <c r="AO139" s="58" t="str">
        <f t="shared" si="61"/>
        <v>Rosie Hatch</v>
      </c>
      <c r="AP139" s="58" t="str">
        <f t="shared" si="62"/>
        <v>Ruth Quince</v>
      </c>
      <c r="AQ139" s="58" t="str">
        <f t="shared" si="63"/>
        <v>Ruth Quince</v>
      </c>
    </row>
    <row r="140" spans="1:43" x14ac:dyDescent="0.25">
      <c r="A140" s="12" t="str">
        <f t="shared" si="49"/>
        <v>SM,53</v>
      </c>
      <c r="B140" s="12" t="str">
        <f t="shared" si="50"/>
        <v>M,118</v>
      </c>
      <c r="C140" s="11">
        <f t="shared" si="71"/>
        <v>139</v>
      </c>
      <c r="D140" s="171">
        <v>141</v>
      </c>
      <c r="E140" s="12">
        <f t="shared" si="48"/>
        <v>1</v>
      </c>
      <c r="F140" s="12">
        <f>COUNTIF(H$2:H140,H140)</f>
        <v>53</v>
      </c>
      <c r="G140" s="12">
        <f>COUNTIF(J$2:J140,J140)</f>
        <v>118</v>
      </c>
      <c r="H140" s="12" t="str">
        <f t="shared" si="64"/>
        <v>SM</v>
      </c>
      <c r="I140" s="50" t="str">
        <f t="shared" si="65"/>
        <v>SM</v>
      </c>
      <c r="J140" s="50" t="str">
        <f t="shared" si="66"/>
        <v>M</v>
      </c>
      <c r="K140" s="64" t="str">
        <f t="shared" si="67"/>
        <v>Nick Wilson</v>
      </c>
      <c r="L140" s="64" t="str">
        <f t="shared" si="68"/>
        <v>Orion Harriers</v>
      </c>
      <c r="M140" s="171">
        <v>0</v>
      </c>
      <c r="N140" s="178">
        <v>23</v>
      </c>
      <c r="O140" s="178">
        <v>26</v>
      </c>
      <c r="P140" s="138">
        <f t="shared" si="51"/>
        <v>0</v>
      </c>
      <c r="Q140" s="137">
        <f t="shared" si="52"/>
        <v>23</v>
      </c>
      <c r="R140" s="143"/>
      <c r="S140" s="143"/>
      <c r="T140" s="143"/>
      <c r="U140" s="144"/>
      <c r="V140" s="144"/>
      <c r="W140" s="144"/>
      <c r="X140" s="145"/>
      <c r="Y140" s="152" t="str">
        <f t="shared" si="53"/>
        <v xml:space="preserve">   23.26 </v>
      </c>
      <c r="Z140" s="136"/>
      <c r="AA140" s="50">
        <f t="shared" si="69"/>
        <v>30</v>
      </c>
      <c r="AB140" s="129">
        <f t="shared" si="70"/>
        <v>32226</v>
      </c>
      <c r="AC140" s="58" t="str">
        <f t="shared" si="54"/>
        <v/>
      </c>
      <c r="AD140" s="58" t="str">
        <f t="shared" si="55"/>
        <v>MOrion Harriers</v>
      </c>
      <c r="AE140" s="60">
        <f>IF(AD140="","",COUNTIF($AD$2:AD140,AD140))</f>
        <v>10</v>
      </c>
      <c r="AF140" s="62">
        <f>IF(AD140="","",SUMIF(AD$2:AD140,AD140,G$2:G140))</f>
        <v>767</v>
      </c>
      <c r="AG140" s="62" t="str">
        <f>IF(AK140&lt;&gt;"",COUNTIF($AK$1:AK139,AK140)+AK140,IF(AL140&lt;&gt;"",COUNTIF($AL$1:AL139,AL140)+AL140,""))</f>
        <v/>
      </c>
      <c r="AH140" s="62" t="str">
        <f t="shared" si="56"/>
        <v>Orion Harriers</v>
      </c>
      <c r="AI140" s="62" t="str">
        <f>IF(AND(J140="M", AH140&lt;&gt;"U/A",AE140=Prizewinners!$J$1),AF140,"")</f>
        <v/>
      </c>
      <c r="AJ140" s="58" t="str">
        <f>IF(AND(J140="F",  AH140&lt;&gt;"U/A",AE140=Prizewinners!$J$16),AF140,"")</f>
        <v/>
      </c>
      <c r="AK140" s="58" t="str">
        <f t="shared" si="57"/>
        <v/>
      </c>
      <c r="AL140" s="58" t="str">
        <f t="shared" si="58"/>
        <v/>
      </c>
      <c r="AM140" s="58" t="str">
        <f t="shared" si="59"/>
        <v>MOrion Harriers10</v>
      </c>
      <c r="AN140" s="58" t="str">
        <f t="shared" si="60"/>
        <v/>
      </c>
      <c r="AO140" s="58" t="str">
        <f t="shared" si="61"/>
        <v/>
      </c>
      <c r="AP140" s="58" t="str">
        <f t="shared" si="62"/>
        <v/>
      </c>
      <c r="AQ140" s="58" t="str">
        <f t="shared" si="63"/>
        <v>Nick Wilson</v>
      </c>
    </row>
    <row r="141" spans="1:43" x14ac:dyDescent="0.25">
      <c r="A141" s="12" t="str">
        <f t="shared" si="49"/>
        <v>VF45,4</v>
      </c>
      <c r="B141" s="12" t="str">
        <f t="shared" si="50"/>
        <v>F,22</v>
      </c>
      <c r="C141" s="11">
        <f t="shared" si="71"/>
        <v>140</v>
      </c>
      <c r="D141" s="171">
        <v>469</v>
      </c>
      <c r="E141" s="12">
        <f t="shared" si="48"/>
        <v>1</v>
      </c>
      <c r="F141" s="12">
        <f>COUNTIF(H$2:H141,H141)</f>
        <v>4</v>
      </c>
      <c r="G141" s="12">
        <f>COUNTIF(J$2:J141,J141)</f>
        <v>22</v>
      </c>
      <c r="H141" s="12" t="str">
        <f t="shared" si="64"/>
        <v>VF45</v>
      </c>
      <c r="I141" s="50" t="str">
        <f t="shared" si="65"/>
        <v>VF45</v>
      </c>
      <c r="J141" s="50" t="str">
        <f t="shared" si="66"/>
        <v>F</v>
      </c>
      <c r="K141" s="64" t="str">
        <f t="shared" si="67"/>
        <v>Hannah Sheikh</v>
      </c>
      <c r="L141" s="64" t="str">
        <f t="shared" si="68"/>
        <v>Dagenham 88 Runners</v>
      </c>
      <c r="M141" s="171">
        <v>0</v>
      </c>
      <c r="N141" s="178">
        <v>23</v>
      </c>
      <c r="O141" s="178">
        <v>31</v>
      </c>
      <c r="P141" s="138">
        <f t="shared" si="51"/>
        <v>0</v>
      </c>
      <c r="Q141" s="137">
        <f t="shared" si="52"/>
        <v>23</v>
      </c>
      <c r="R141" s="143"/>
      <c r="S141" s="143"/>
      <c r="T141" s="143"/>
      <c r="U141" s="144"/>
      <c r="V141" s="144"/>
      <c r="W141" s="144"/>
      <c r="X141" s="145"/>
      <c r="Y141" s="152" t="str">
        <f t="shared" si="53"/>
        <v xml:space="preserve">   23.31 </v>
      </c>
      <c r="Z141" s="136"/>
      <c r="AA141" s="50">
        <f t="shared" si="69"/>
        <v>45</v>
      </c>
      <c r="AB141" s="129">
        <f t="shared" si="70"/>
        <v>26793</v>
      </c>
      <c r="AC141" s="58" t="str">
        <f t="shared" si="54"/>
        <v/>
      </c>
      <c r="AD141" s="58" t="str">
        <f t="shared" si="55"/>
        <v>FDagenham 88 Runners</v>
      </c>
      <c r="AE141" s="60">
        <f>IF(AD141="","",COUNTIF($AD$2:AD141,AD141))</f>
        <v>1</v>
      </c>
      <c r="AF141" s="62">
        <f>IF(AD141="","",SUMIF(AD$2:AD141,AD141,G$2:G141))</f>
        <v>22</v>
      </c>
      <c r="AG141" s="62" t="str">
        <f>IF(AK141&lt;&gt;"",COUNTIF($AK$1:AK140,AK141)+AK141,IF(AL141&lt;&gt;"",COUNTIF($AL$1:AL140,AL141)+AL141,""))</f>
        <v/>
      </c>
      <c r="AH141" s="62" t="str">
        <f t="shared" si="56"/>
        <v>Dagenham 88 Runners</v>
      </c>
      <c r="AI141" s="62" t="str">
        <f>IF(AND(J141="M", AH141&lt;&gt;"U/A",AE141=Prizewinners!$J$1),AF141,"")</f>
        <v/>
      </c>
      <c r="AJ141" s="58" t="str">
        <f>IF(AND(J141="F",  AH141&lt;&gt;"U/A",AE141=Prizewinners!$J$16),AF141,"")</f>
        <v/>
      </c>
      <c r="AK141" s="58" t="str">
        <f t="shared" si="57"/>
        <v/>
      </c>
      <c r="AL141" s="58" t="str">
        <f t="shared" si="58"/>
        <v/>
      </c>
      <c r="AM141" s="58" t="str">
        <f t="shared" si="59"/>
        <v>FDagenham 88 Runners1</v>
      </c>
      <c r="AN141" s="58" t="str">
        <f t="shared" si="60"/>
        <v/>
      </c>
      <c r="AO141" s="58" t="str">
        <f t="shared" si="61"/>
        <v/>
      </c>
      <c r="AP141" s="58" t="str">
        <f t="shared" si="62"/>
        <v/>
      </c>
      <c r="AQ141" s="58" t="str">
        <f t="shared" si="63"/>
        <v>Hannah Sheikh</v>
      </c>
    </row>
    <row r="142" spans="1:43" x14ac:dyDescent="0.25">
      <c r="A142" s="12" t="str">
        <f t="shared" si="49"/>
        <v>VF45,5</v>
      </c>
      <c r="B142" s="12" t="str">
        <f t="shared" si="50"/>
        <v>F,23</v>
      </c>
      <c r="C142" s="11">
        <f t="shared" si="71"/>
        <v>141</v>
      </c>
      <c r="D142" s="171">
        <v>349</v>
      </c>
      <c r="E142" s="12">
        <f t="shared" si="48"/>
        <v>1</v>
      </c>
      <c r="F142" s="12">
        <f>COUNTIF(H$2:H142,H142)</f>
        <v>5</v>
      </c>
      <c r="G142" s="12">
        <f>COUNTIF(J$2:J142,J142)</f>
        <v>23</v>
      </c>
      <c r="H142" s="12" t="str">
        <f t="shared" si="64"/>
        <v>VF45</v>
      </c>
      <c r="I142" s="50" t="str">
        <f t="shared" si="65"/>
        <v>VF45</v>
      </c>
      <c r="J142" s="50" t="str">
        <f t="shared" si="66"/>
        <v>F</v>
      </c>
      <c r="K142" s="64" t="str">
        <f t="shared" si="67"/>
        <v>Frances Wilson</v>
      </c>
      <c r="L142" s="64" t="str">
        <f t="shared" si="68"/>
        <v>Orion Harriers</v>
      </c>
      <c r="M142" s="171">
        <v>0</v>
      </c>
      <c r="N142" s="178">
        <v>23</v>
      </c>
      <c r="O142" s="178">
        <v>33</v>
      </c>
      <c r="P142" s="138">
        <f t="shared" si="51"/>
        <v>0</v>
      </c>
      <c r="Q142" s="137">
        <f t="shared" si="52"/>
        <v>23</v>
      </c>
      <c r="R142" s="143"/>
      <c r="S142" s="143"/>
      <c r="T142" s="143"/>
      <c r="U142" s="144"/>
      <c r="V142" s="144"/>
      <c r="W142" s="144"/>
      <c r="X142" s="145"/>
      <c r="Y142" s="152" t="str">
        <f t="shared" si="53"/>
        <v xml:space="preserve">   23.33 </v>
      </c>
      <c r="Z142" s="136"/>
      <c r="AA142" s="50">
        <f t="shared" si="69"/>
        <v>54</v>
      </c>
      <c r="AB142" s="129">
        <f t="shared" si="70"/>
        <v>23373</v>
      </c>
      <c r="AC142" s="58" t="str">
        <f t="shared" si="54"/>
        <v/>
      </c>
      <c r="AD142" s="58" t="str">
        <f t="shared" si="55"/>
        <v>FOrion Harriers</v>
      </c>
      <c r="AE142" s="60">
        <f>IF(AD142="","",COUNTIF($AD$2:AD142,AD142))</f>
        <v>4</v>
      </c>
      <c r="AF142" s="62">
        <f>IF(AD142="","",SUMIF(AD$2:AD142,AD142,G$2:G142))</f>
        <v>59</v>
      </c>
      <c r="AG142" s="62" t="str">
        <f>IF(AK142&lt;&gt;"",COUNTIF($AK$1:AK141,AK142)+AK142,IF(AL142&lt;&gt;"",COUNTIF($AL$1:AL141,AL142)+AL142,""))</f>
        <v/>
      </c>
      <c r="AH142" s="62" t="str">
        <f t="shared" si="56"/>
        <v>Orion Harriers</v>
      </c>
      <c r="AI142" s="62" t="str">
        <f>IF(AND(J142="M", AH142&lt;&gt;"U/A",AE142=Prizewinners!$J$1),AF142,"")</f>
        <v/>
      </c>
      <c r="AJ142" s="58" t="str">
        <f>IF(AND(J142="F",  AH142&lt;&gt;"U/A",AE142=Prizewinners!$J$16),AF142,"")</f>
        <v/>
      </c>
      <c r="AK142" s="58" t="str">
        <f t="shared" si="57"/>
        <v/>
      </c>
      <c r="AL142" s="58" t="str">
        <f t="shared" si="58"/>
        <v/>
      </c>
      <c r="AM142" s="58" t="str">
        <f t="shared" si="59"/>
        <v>FOrion Harriers4</v>
      </c>
      <c r="AN142" s="58" t="str">
        <f t="shared" si="60"/>
        <v/>
      </c>
      <c r="AO142" s="58" t="str">
        <f t="shared" si="61"/>
        <v/>
      </c>
      <c r="AP142" s="58" t="str">
        <f t="shared" si="62"/>
        <v/>
      </c>
      <c r="AQ142" s="58" t="str">
        <f t="shared" si="63"/>
        <v>Frances Wilson</v>
      </c>
    </row>
    <row r="143" spans="1:43" x14ac:dyDescent="0.25">
      <c r="A143" s="12" t="str">
        <f t="shared" si="49"/>
        <v>VF45,6</v>
      </c>
      <c r="B143" s="12" t="str">
        <f t="shared" si="50"/>
        <v>F,24</v>
      </c>
      <c r="C143" s="11">
        <f t="shared" si="71"/>
        <v>142</v>
      </c>
      <c r="D143" s="171">
        <v>126</v>
      </c>
      <c r="E143" s="12">
        <f t="shared" si="48"/>
        <v>1</v>
      </c>
      <c r="F143" s="12">
        <f>COUNTIF(H$2:H143,H143)</f>
        <v>6</v>
      </c>
      <c r="G143" s="12">
        <f>COUNTIF(J$2:J143,J143)</f>
        <v>24</v>
      </c>
      <c r="H143" s="12" t="str">
        <f t="shared" si="64"/>
        <v>VF45</v>
      </c>
      <c r="I143" s="50" t="str">
        <f t="shared" si="65"/>
        <v>VF45</v>
      </c>
      <c r="J143" s="50" t="str">
        <f t="shared" si="66"/>
        <v>F</v>
      </c>
      <c r="K143" s="64" t="str">
        <f t="shared" si="67"/>
        <v>Sunander Sarker-Bell</v>
      </c>
      <c r="L143" s="64" t="str">
        <f t="shared" si="68"/>
        <v>U/A</v>
      </c>
      <c r="M143" s="171">
        <v>0</v>
      </c>
      <c r="N143" s="178">
        <v>23</v>
      </c>
      <c r="O143" s="178">
        <v>36</v>
      </c>
      <c r="P143" s="138">
        <f t="shared" si="51"/>
        <v>0</v>
      </c>
      <c r="Q143" s="137">
        <f t="shared" si="52"/>
        <v>23</v>
      </c>
      <c r="R143" s="143"/>
      <c r="S143" s="143"/>
      <c r="T143" s="143"/>
      <c r="U143" s="144"/>
      <c r="V143" s="144"/>
      <c r="W143" s="144"/>
      <c r="X143" s="145"/>
      <c r="Y143" s="152" t="str">
        <f t="shared" si="53"/>
        <v xml:space="preserve">   23.36 </v>
      </c>
      <c r="Z143" s="136"/>
      <c r="AA143" s="50">
        <f t="shared" si="69"/>
        <v>53</v>
      </c>
      <c r="AB143" s="129">
        <f t="shared" si="70"/>
        <v>23959</v>
      </c>
      <c r="AC143" s="58" t="str">
        <f t="shared" si="54"/>
        <v/>
      </c>
      <c r="AD143" s="58" t="str">
        <f t="shared" si="55"/>
        <v>FU/A</v>
      </c>
      <c r="AE143" s="60">
        <f>IF(AD143="","",COUNTIF($AD$2:AD143,AD143))</f>
        <v>1</v>
      </c>
      <c r="AF143" s="62">
        <f>IF(AD143="","",SUMIF(AD$2:AD143,AD143,G$2:G143))</f>
        <v>24</v>
      </c>
      <c r="AG143" s="62" t="str">
        <f>IF(AK143&lt;&gt;"",COUNTIF($AK$1:AK142,AK143)+AK143,IF(AL143&lt;&gt;"",COUNTIF($AL$1:AL142,AL143)+AL143,""))</f>
        <v/>
      </c>
      <c r="AH143" s="62" t="str">
        <f t="shared" si="56"/>
        <v>U/A</v>
      </c>
      <c r="AI143" s="62" t="str">
        <f>IF(AND(J143="M", AH143&lt;&gt;"U/A",AE143=Prizewinners!$J$1),AF143,"")</f>
        <v/>
      </c>
      <c r="AJ143" s="58" t="str">
        <f>IF(AND(J143="F",  AH143&lt;&gt;"U/A",AE143=Prizewinners!$J$16),AF143,"")</f>
        <v/>
      </c>
      <c r="AK143" s="58" t="str">
        <f t="shared" si="57"/>
        <v/>
      </c>
      <c r="AL143" s="58" t="str">
        <f t="shared" si="58"/>
        <v/>
      </c>
      <c r="AM143" s="58" t="str">
        <f t="shared" si="59"/>
        <v>FU/A1</v>
      </c>
      <c r="AN143" s="58" t="str">
        <f t="shared" si="60"/>
        <v/>
      </c>
      <c r="AO143" s="58" t="str">
        <f t="shared" si="61"/>
        <v/>
      </c>
      <c r="AP143" s="58" t="str">
        <f t="shared" si="62"/>
        <v/>
      </c>
      <c r="AQ143" s="58" t="str">
        <f t="shared" si="63"/>
        <v>Sunander Sarker-Bell</v>
      </c>
    </row>
    <row r="144" spans="1:43" x14ac:dyDescent="0.25">
      <c r="A144" s="12" t="str">
        <f t="shared" si="49"/>
        <v>VM70,2</v>
      </c>
      <c r="B144" s="12" t="str">
        <f t="shared" si="50"/>
        <v>M,119</v>
      </c>
      <c r="C144" s="11">
        <f t="shared" si="71"/>
        <v>143</v>
      </c>
      <c r="D144" s="171">
        <v>327</v>
      </c>
      <c r="E144" s="12">
        <f t="shared" si="48"/>
        <v>1</v>
      </c>
      <c r="F144" s="12">
        <f>COUNTIF(H$2:H144,H144)</f>
        <v>2</v>
      </c>
      <c r="G144" s="12">
        <f>COUNTIF(J$2:J144,J144)</f>
        <v>119</v>
      </c>
      <c r="H144" s="12" t="str">
        <f t="shared" si="64"/>
        <v>VM70</v>
      </c>
      <c r="I144" s="50" t="str">
        <f t="shared" si="65"/>
        <v>VM70</v>
      </c>
      <c r="J144" s="50" t="str">
        <f t="shared" si="66"/>
        <v>M</v>
      </c>
      <c r="K144" s="64" t="str">
        <f t="shared" si="67"/>
        <v>Bob Jousiffe</v>
      </c>
      <c r="L144" s="64" t="str">
        <f t="shared" si="68"/>
        <v>Orion Harriers</v>
      </c>
      <c r="M144" s="171">
        <v>0</v>
      </c>
      <c r="N144" s="178">
        <v>23</v>
      </c>
      <c r="O144" s="178">
        <v>37</v>
      </c>
      <c r="P144" s="138">
        <f t="shared" si="51"/>
        <v>0</v>
      </c>
      <c r="Q144" s="137">
        <f t="shared" si="52"/>
        <v>23</v>
      </c>
      <c r="R144" s="143"/>
      <c r="S144" s="143"/>
      <c r="T144" s="143"/>
      <c r="U144" s="144"/>
      <c r="V144" s="144"/>
      <c r="W144" s="144"/>
      <c r="X144" s="145"/>
      <c r="Y144" s="152" t="str">
        <f t="shared" si="53"/>
        <v xml:space="preserve">   23.37 </v>
      </c>
      <c r="Z144" s="136"/>
      <c r="AA144" s="50">
        <f t="shared" si="69"/>
        <v>70</v>
      </c>
      <c r="AB144" s="129">
        <f t="shared" si="70"/>
        <v>17501</v>
      </c>
      <c r="AC144" s="58" t="str">
        <f t="shared" si="54"/>
        <v/>
      </c>
      <c r="AD144" s="58" t="str">
        <f t="shared" si="55"/>
        <v>MOrion Harriers</v>
      </c>
      <c r="AE144" s="60">
        <f>IF(AD144="","",COUNTIF($AD$2:AD144,AD144))</f>
        <v>11</v>
      </c>
      <c r="AF144" s="62">
        <f>IF(AD144="","",SUMIF(AD$2:AD144,AD144,G$2:G144))</f>
        <v>886</v>
      </c>
      <c r="AG144" s="62" t="str">
        <f>IF(AK144&lt;&gt;"",COUNTIF($AK$1:AK143,AK144)+AK144,IF(AL144&lt;&gt;"",COUNTIF($AL$1:AL143,AL144)+AL144,""))</f>
        <v/>
      </c>
      <c r="AH144" s="62" t="str">
        <f t="shared" si="56"/>
        <v>Orion Harriers</v>
      </c>
      <c r="AI144" s="62" t="str">
        <f>IF(AND(J144="M", AH144&lt;&gt;"U/A",AE144=Prizewinners!$J$1),AF144,"")</f>
        <v/>
      </c>
      <c r="AJ144" s="58" t="str">
        <f>IF(AND(J144="F",  AH144&lt;&gt;"U/A",AE144=Prizewinners!$J$16),AF144,"")</f>
        <v/>
      </c>
      <c r="AK144" s="58" t="str">
        <f t="shared" si="57"/>
        <v/>
      </c>
      <c r="AL144" s="58" t="str">
        <f t="shared" si="58"/>
        <v/>
      </c>
      <c r="AM144" s="58" t="str">
        <f t="shared" si="59"/>
        <v>MOrion Harriers11</v>
      </c>
      <c r="AN144" s="58" t="str">
        <f t="shared" si="60"/>
        <v/>
      </c>
      <c r="AO144" s="58" t="str">
        <f t="shared" si="61"/>
        <v/>
      </c>
      <c r="AP144" s="58" t="str">
        <f t="shared" si="62"/>
        <v/>
      </c>
      <c r="AQ144" s="58" t="str">
        <f t="shared" si="63"/>
        <v>Bob Jousiffe</v>
      </c>
    </row>
    <row r="145" spans="1:43" x14ac:dyDescent="0.25">
      <c r="A145" s="12" t="str">
        <f t="shared" si="49"/>
        <v>VM40,36</v>
      </c>
      <c r="B145" s="12" t="str">
        <f t="shared" si="50"/>
        <v>M,120</v>
      </c>
      <c r="C145" s="11">
        <f t="shared" si="71"/>
        <v>144</v>
      </c>
      <c r="D145" s="171">
        <v>352</v>
      </c>
      <c r="E145" s="12">
        <f t="shared" si="48"/>
        <v>1</v>
      </c>
      <c r="F145" s="12">
        <f>COUNTIF(H$2:H145,H145)</f>
        <v>36</v>
      </c>
      <c r="G145" s="12">
        <f>COUNTIF(J$2:J145,J145)</f>
        <v>120</v>
      </c>
      <c r="H145" s="12" t="str">
        <f t="shared" si="64"/>
        <v>VM40</v>
      </c>
      <c r="I145" s="50" t="str">
        <f t="shared" si="65"/>
        <v>VM40</v>
      </c>
      <c r="J145" s="50" t="str">
        <f t="shared" si="66"/>
        <v>M</v>
      </c>
      <c r="K145" s="64" t="str">
        <f t="shared" si="67"/>
        <v>John Healy</v>
      </c>
      <c r="L145" s="64" t="str">
        <f t="shared" si="68"/>
        <v>East London Runners</v>
      </c>
      <c r="M145" s="171">
        <v>0</v>
      </c>
      <c r="N145" s="178">
        <v>23</v>
      </c>
      <c r="O145" s="178">
        <v>38</v>
      </c>
      <c r="P145" s="138">
        <f t="shared" si="51"/>
        <v>0</v>
      </c>
      <c r="Q145" s="137">
        <f t="shared" si="52"/>
        <v>23</v>
      </c>
      <c r="R145" s="143"/>
      <c r="S145" s="143"/>
      <c r="T145" s="143"/>
      <c r="U145" s="144"/>
      <c r="V145" s="144"/>
      <c r="W145" s="144"/>
      <c r="X145" s="145"/>
      <c r="Y145" s="152" t="str">
        <f t="shared" si="53"/>
        <v xml:space="preserve">   23.38 </v>
      </c>
      <c r="Z145" s="136"/>
      <c r="AA145" s="50">
        <f t="shared" si="69"/>
        <v>44</v>
      </c>
      <c r="AB145" s="129">
        <f t="shared" si="70"/>
        <v>27150</v>
      </c>
      <c r="AC145" s="58" t="str">
        <f t="shared" si="54"/>
        <v/>
      </c>
      <c r="AD145" s="58" t="str">
        <f t="shared" si="55"/>
        <v>MEast London Runners</v>
      </c>
      <c r="AE145" s="60">
        <f>IF(AD145="","",COUNTIF($AD$2:AD145,AD145))</f>
        <v>38</v>
      </c>
      <c r="AF145" s="62">
        <f>IF(AD145="","",SUMIF(AD$2:AD145,AD145,G$2:G145))</f>
        <v>2073</v>
      </c>
      <c r="AG145" s="62" t="str">
        <f>IF(AK145&lt;&gt;"",COUNTIF($AK$1:AK144,AK145)+AK145,IF(AL145&lt;&gt;"",COUNTIF($AL$1:AL144,AL145)+AL145,""))</f>
        <v/>
      </c>
      <c r="AH145" s="62" t="str">
        <f t="shared" si="56"/>
        <v>East London Runners</v>
      </c>
      <c r="AI145" s="62" t="str">
        <f>IF(AND(J145="M", AH145&lt;&gt;"U/A",AE145=Prizewinners!$J$1),AF145,"")</f>
        <v/>
      </c>
      <c r="AJ145" s="58" t="str">
        <f>IF(AND(J145="F",  AH145&lt;&gt;"U/A",AE145=Prizewinners!$J$16),AF145,"")</f>
        <v/>
      </c>
      <c r="AK145" s="58" t="str">
        <f t="shared" si="57"/>
        <v/>
      </c>
      <c r="AL145" s="58" t="str">
        <f t="shared" si="58"/>
        <v/>
      </c>
      <c r="AM145" s="58" t="str">
        <f t="shared" si="59"/>
        <v>MEast London Runners38</v>
      </c>
      <c r="AN145" s="58" t="str">
        <f t="shared" si="60"/>
        <v/>
      </c>
      <c r="AO145" s="58" t="str">
        <f t="shared" si="61"/>
        <v/>
      </c>
      <c r="AP145" s="58" t="str">
        <f t="shared" si="62"/>
        <v/>
      </c>
      <c r="AQ145" s="58" t="str">
        <f t="shared" si="63"/>
        <v>John Healy</v>
      </c>
    </row>
    <row r="146" spans="1:43" x14ac:dyDescent="0.25">
      <c r="A146" s="12" t="str">
        <f t="shared" si="49"/>
        <v>VM60,9</v>
      </c>
      <c r="B146" s="12" t="str">
        <f t="shared" si="50"/>
        <v>M,121</v>
      </c>
      <c r="C146" s="11">
        <f t="shared" si="71"/>
        <v>145</v>
      </c>
      <c r="D146" s="171">
        <v>113</v>
      </c>
      <c r="E146" s="12">
        <f t="shared" si="48"/>
        <v>1</v>
      </c>
      <c r="F146" s="12">
        <f>COUNTIF(H$2:H146,H146)</f>
        <v>9</v>
      </c>
      <c r="G146" s="12">
        <f>COUNTIF(J$2:J146,J146)</f>
        <v>121</v>
      </c>
      <c r="H146" s="12" t="str">
        <f t="shared" si="64"/>
        <v>VM60</v>
      </c>
      <c r="I146" s="50" t="str">
        <f t="shared" si="65"/>
        <v>VM60</v>
      </c>
      <c r="J146" s="50" t="str">
        <f t="shared" si="66"/>
        <v>M</v>
      </c>
      <c r="K146" s="64" t="str">
        <f t="shared" si="67"/>
        <v>David Godfrey</v>
      </c>
      <c r="L146" s="64" t="str">
        <f t="shared" si="68"/>
        <v>drax allstars</v>
      </c>
      <c r="M146" s="171">
        <v>0</v>
      </c>
      <c r="N146" s="178">
        <v>23</v>
      </c>
      <c r="O146" s="178">
        <v>39</v>
      </c>
      <c r="P146" s="138">
        <f t="shared" si="51"/>
        <v>0</v>
      </c>
      <c r="Q146" s="137">
        <f t="shared" si="52"/>
        <v>23</v>
      </c>
      <c r="R146" s="143"/>
      <c r="S146" s="143"/>
      <c r="T146" s="143"/>
      <c r="U146" s="144"/>
      <c r="V146" s="144"/>
      <c r="W146" s="144"/>
      <c r="X146" s="145"/>
      <c r="Y146" s="152" t="str">
        <f t="shared" si="53"/>
        <v xml:space="preserve">   23.39 </v>
      </c>
      <c r="Z146" s="136"/>
      <c r="AA146" s="50">
        <f t="shared" si="69"/>
        <v>61</v>
      </c>
      <c r="AB146" s="129">
        <f t="shared" si="70"/>
        <v>20840</v>
      </c>
      <c r="AC146" s="58" t="str">
        <f t="shared" si="54"/>
        <v/>
      </c>
      <c r="AD146" s="58" t="str">
        <f t="shared" si="55"/>
        <v>Mdrax allstars</v>
      </c>
      <c r="AE146" s="60">
        <f>IF(AD146="","",COUNTIF($AD$2:AD146,AD146))</f>
        <v>1</v>
      </c>
      <c r="AF146" s="62">
        <f>IF(AD146="","",SUMIF(AD$2:AD146,AD146,G$2:G146))</f>
        <v>121</v>
      </c>
      <c r="AG146" s="62" t="str">
        <f>IF(AK146&lt;&gt;"",COUNTIF($AK$1:AK145,AK146)+AK146,IF(AL146&lt;&gt;"",COUNTIF($AL$1:AL145,AL146)+AL146,""))</f>
        <v/>
      </c>
      <c r="AH146" s="62" t="str">
        <f t="shared" si="56"/>
        <v>drax allstars</v>
      </c>
      <c r="AI146" s="62" t="str">
        <f>IF(AND(J146="M", AH146&lt;&gt;"U/A",AE146=Prizewinners!$J$1),AF146,"")</f>
        <v/>
      </c>
      <c r="AJ146" s="58" t="str">
        <f>IF(AND(J146="F",  AH146&lt;&gt;"U/A",AE146=Prizewinners!$J$16),AF146,"")</f>
        <v/>
      </c>
      <c r="AK146" s="58" t="str">
        <f t="shared" si="57"/>
        <v/>
      </c>
      <c r="AL146" s="58" t="str">
        <f t="shared" si="58"/>
        <v/>
      </c>
      <c r="AM146" s="58" t="str">
        <f t="shared" si="59"/>
        <v>Mdrax allstars1</v>
      </c>
      <c r="AN146" s="58" t="str">
        <f t="shared" si="60"/>
        <v/>
      </c>
      <c r="AO146" s="58" t="str">
        <f t="shared" si="61"/>
        <v/>
      </c>
      <c r="AP146" s="58" t="str">
        <f t="shared" si="62"/>
        <v/>
      </c>
      <c r="AQ146" s="58" t="str">
        <f t="shared" si="63"/>
        <v>David Godfrey</v>
      </c>
    </row>
    <row r="147" spans="1:43" x14ac:dyDescent="0.25">
      <c r="A147" s="12" t="str">
        <f t="shared" si="49"/>
        <v>SF,6</v>
      </c>
      <c r="B147" s="12" t="str">
        <f t="shared" si="50"/>
        <v>F,25</v>
      </c>
      <c r="C147" s="11">
        <f t="shared" si="71"/>
        <v>146</v>
      </c>
      <c r="D147" s="171">
        <v>52</v>
      </c>
      <c r="E147" s="12">
        <f t="shared" si="48"/>
        <v>1</v>
      </c>
      <c r="F147" s="12">
        <f>COUNTIF(H$2:H147,H147)</f>
        <v>6</v>
      </c>
      <c r="G147" s="12">
        <f>COUNTIF(J$2:J147,J147)</f>
        <v>25</v>
      </c>
      <c r="H147" s="12" t="str">
        <f t="shared" si="64"/>
        <v>SF</v>
      </c>
      <c r="I147" s="50" t="str">
        <f t="shared" si="65"/>
        <v>SF</v>
      </c>
      <c r="J147" s="50" t="str">
        <f t="shared" si="66"/>
        <v>F</v>
      </c>
      <c r="K147" s="64" t="str">
        <f t="shared" si="67"/>
        <v>Chloe Millan</v>
      </c>
      <c r="L147" s="64" t="str">
        <f t="shared" si="68"/>
        <v>East London Runners</v>
      </c>
      <c r="M147" s="171">
        <v>0</v>
      </c>
      <c r="N147" s="178">
        <v>23</v>
      </c>
      <c r="O147" s="178">
        <v>41</v>
      </c>
      <c r="P147" s="138">
        <f t="shared" si="51"/>
        <v>0</v>
      </c>
      <c r="Q147" s="137">
        <f t="shared" si="52"/>
        <v>23</v>
      </c>
      <c r="R147" s="143"/>
      <c r="S147" s="143"/>
      <c r="T147" s="143"/>
      <c r="U147" s="144"/>
      <c r="V147" s="144"/>
      <c r="W147" s="144"/>
      <c r="X147" s="145"/>
      <c r="Y147" s="152" t="str">
        <f t="shared" si="53"/>
        <v xml:space="preserve">   23.41 </v>
      </c>
      <c r="Z147" s="136"/>
      <c r="AA147" s="50">
        <f t="shared" si="69"/>
        <v>28</v>
      </c>
      <c r="AB147" s="129">
        <f t="shared" si="70"/>
        <v>32941</v>
      </c>
      <c r="AC147" s="58" t="str">
        <f t="shared" si="54"/>
        <v/>
      </c>
      <c r="AD147" s="58" t="str">
        <f t="shared" si="55"/>
        <v>FEast London Runners</v>
      </c>
      <c r="AE147" s="60">
        <f>IF(AD147="","",COUNTIF($AD$2:AD147,AD147))</f>
        <v>6</v>
      </c>
      <c r="AF147" s="62">
        <f>IF(AD147="","",SUMIF(AD$2:AD147,AD147,G$2:G147))</f>
        <v>72</v>
      </c>
      <c r="AG147" s="62" t="str">
        <f>IF(AK147&lt;&gt;"",COUNTIF($AK$1:AK146,AK147)+AK147,IF(AL147&lt;&gt;"",COUNTIF($AL$1:AL146,AL147)+AL147,""))</f>
        <v/>
      </c>
      <c r="AH147" s="62" t="str">
        <f t="shared" si="56"/>
        <v>East London Runners</v>
      </c>
      <c r="AI147" s="62" t="str">
        <f>IF(AND(J147="M", AH147&lt;&gt;"U/A",AE147=Prizewinners!$J$1),AF147,"")</f>
        <v/>
      </c>
      <c r="AJ147" s="58" t="str">
        <f>IF(AND(J147="F",  AH147&lt;&gt;"U/A",AE147=Prizewinners!$J$16),AF147,"")</f>
        <v/>
      </c>
      <c r="AK147" s="58" t="str">
        <f t="shared" si="57"/>
        <v/>
      </c>
      <c r="AL147" s="58" t="str">
        <f t="shared" si="58"/>
        <v/>
      </c>
      <c r="AM147" s="58" t="str">
        <f t="shared" si="59"/>
        <v>FEast London Runners6</v>
      </c>
      <c r="AN147" s="58" t="str">
        <f t="shared" si="60"/>
        <v/>
      </c>
      <c r="AO147" s="58" t="str">
        <f t="shared" si="61"/>
        <v/>
      </c>
      <c r="AP147" s="58" t="str">
        <f t="shared" si="62"/>
        <v/>
      </c>
      <c r="AQ147" s="58" t="str">
        <f t="shared" si="63"/>
        <v>Chloe Millan</v>
      </c>
    </row>
    <row r="148" spans="1:43" x14ac:dyDescent="0.25">
      <c r="A148" s="12" t="str">
        <f t="shared" si="49"/>
        <v>VF35,7</v>
      </c>
      <c r="B148" s="12" t="str">
        <f t="shared" si="50"/>
        <v>F,26</v>
      </c>
      <c r="C148" s="11">
        <f t="shared" si="71"/>
        <v>147</v>
      </c>
      <c r="D148" s="171">
        <v>116</v>
      </c>
      <c r="E148" s="12">
        <f t="shared" si="48"/>
        <v>1</v>
      </c>
      <c r="F148" s="12">
        <f>COUNTIF(H$2:H148,H148)</f>
        <v>7</v>
      </c>
      <c r="G148" s="12">
        <f>COUNTIF(J$2:J148,J148)</f>
        <v>26</v>
      </c>
      <c r="H148" s="12" t="str">
        <f t="shared" si="64"/>
        <v>VF35</v>
      </c>
      <c r="I148" s="50" t="str">
        <f t="shared" si="65"/>
        <v>VF35</v>
      </c>
      <c r="J148" s="50" t="str">
        <f t="shared" si="66"/>
        <v>F</v>
      </c>
      <c r="K148" s="64" t="str">
        <f t="shared" si="67"/>
        <v>Sally Bridge</v>
      </c>
      <c r="L148" s="64" t="str">
        <f t="shared" si="68"/>
        <v>Barking Road Runners</v>
      </c>
      <c r="M148" s="171">
        <v>0</v>
      </c>
      <c r="N148" s="178">
        <v>23</v>
      </c>
      <c r="O148" s="178">
        <v>42</v>
      </c>
      <c r="P148" s="138">
        <f t="shared" si="51"/>
        <v>0</v>
      </c>
      <c r="Q148" s="137">
        <f t="shared" si="52"/>
        <v>23</v>
      </c>
      <c r="R148" s="143"/>
      <c r="S148" s="143"/>
      <c r="T148" s="143"/>
      <c r="U148" s="144"/>
      <c r="V148" s="144"/>
      <c r="W148" s="144"/>
      <c r="X148" s="145"/>
      <c r="Y148" s="152" t="str">
        <f t="shared" si="53"/>
        <v xml:space="preserve">   23.42 </v>
      </c>
      <c r="Z148" s="136"/>
      <c r="AA148" s="50">
        <f t="shared" si="69"/>
        <v>40</v>
      </c>
      <c r="AB148" s="129">
        <f t="shared" si="70"/>
        <v>28627</v>
      </c>
      <c r="AC148" s="58" t="str">
        <f t="shared" si="54"/>
        <v/>
      </c>
      <c r="AD148" s="58" t="str">
        <f t="shared" si="55"/>
        <v>FBarking Road Runners</v>
      </c>
      <c r="AE148" s="60">
        <f>IF(AD148="","",COUNTIF($AD$2:AD148,AD148))</f>
        <v>2</v>
      </c>
      <c r="AF148" s="62">
        <f>IF(AD148="","",SUMIF(AD$2:AD148,AD148,G$2:G148))</f>
        <v>45</v>
      </c>
      <c r="AG148" s="62" t="str">
        <f>IF(AK148&lt;&gt;"",COUNTIF($AK$1:AK147,AK148)+AK148,IF(AL148&lt;&gt;"",COUNTIF($AL$1:AL147,AL148)+AL148,""))</f>
        <v/>
      </c>
      <c r="AH148" s="62" t="str">
        <f t="shared" si="56"/>
        <v>Barking Road Runners</v>
      </c>
      <c r="AI148" s="62" t="str">
        <f>IF(AND(J148="M", AH148&lt;&gt;"U/A",AE148=Prizewinners!$J$1),AF148,"")</f>
        <v/>
      </c>
      <c r="AJ148" s="58" t="str">
        <f>IF(AND(J148="F",  AH148&lt;&gt;"U/A",AE148=Prizewinners!$J$16),AF148,"")</f>
        <v/>
      </c>
      <c r="AK148" s="58" t="str">
        <f t="shared" si="57"/>
        <v/>
      </c>
      <c r="AL148" s="58" t="str">
        <f t="shared" si="58"/>
        <v/>
      </c>
      <c r="AM148" s="58" t="str">
        <f t="shared" si="59"/>
        <v>FBarking Road Runners2</v>
      </c>
      <c r="AN148" s="58" t="str">
        <f t="shared" si="60"/>
        <v/>
      </c>
      <c r="AO148" s="58" t="str">
        <f t="shared" si="61"/>
        <v/>
      </c>
      <c r="AP148" s="58" t="str">
        <f t="shared" si="62"/>
        <v/>
      </c>
      <c r="AQ148" s="58" t="str">
        <f t="shared" si="63"/>
        <v>Sally Bridge</v>
      </c>
    </row>
    <row r="149" spans="1:43" x14ac:dyDescent="0.25">
      <c r="A149" s="12" t="str">
        <f t="shared" si="49"/>
        <v>SM,54</v>
      </c>
      <c r="B149" s="12" t="str">
        <f t="shared" si="50"/>
        <v>M,122</v>
      </c>
      <c r="C149" s="11">
        <f t="shared" si="71"/>
        <v>148</v>
      </c>
      <c r="D149" s="171">
        <v>145</v>
      </c>
      <c r="E149" s="12">
        <f t="shared" si="48"/>
        <v>1</v>
      </c>
      <c r="F149" s="12">
        <f>COUNTIF(H$2:H149,H149)</f>
        <v>54</v>
      </c>
      <c r="G149" s="12">
        <f>COUNTIF(J$2:J149,J149)</f>
        <v>122</v>
      </c>
      <c r="H149" s="12" t="str">
        <f t="shared" si="64"/>
        <v>SM</v>
      </c>
      <c r="I149" s="50" t="str">
        <f t="shared" si="65"/>
        <v>SM</v>
      </c>
      <c r="J149" s="50" t="str">
        <f t="shared" si="66"/>
        <v>M</v>
      </c>
      <c r="K149" s="64" t="str">
        <f t="shared" si="67"/>
        <v>Ryan Holeyman</v>
      </c>
      <c r="L149" s="64" t="str">
        <f t="shared" si="68"/>
        <v>ilford A.C.</v>
      </c>
      <c r="M149" s="171">
        <v>0</v>
      </c>
      <c r="N149" s="178">
        <v>23</v>
      </c>
      <c r="O149" s="178">
        <v>43</v>
      </c>
      <c r="P149" s="138">
        <f t="shared" si="51"/>
        <v>0</v>
      </c>
      <c r="Q149" s="137">
        <f t="shared" si="52"/>
        <v>23</v>
      </c>
      <c r="R149" s="143"/>
      <c r="S149" s="143"/>
      <c r="T149" s="143"/>
      <c r="U149" s="144"/>
      <c r="V149" s="144"/>
      <c r="W149" s="144"/>
      <c r="X149" s="145"/>
      <c r="Y149" s="152" t="str">
        <f t="shared" si="53"/>
        <v xml:space="preserve">   23.43 </v>
      </c>
      <c r="Z149" s="136"/>
      <c r="AA149" s="50">
        <f t="shared" si="69"/>
        <v>17</v>
      </c>
      <c r="AB149" s="129">
        <f t="shared" si="70"/>
        <v>36973</v>
      </c>
      <c r="AC149" s="58" t="str">
        <f t="shared" si="54"/>
        <v/>
      </c>
      <c r="AD149" s="58" t="str">
        <f t="shared" si="55"/>
        <v>Milford A.C.</v>
      </c>
      <c r="AE149" s="60">
        <f>IF(AD149="","",COUNTIF($AD$2:AD149,AD149))</f>
        <v>1</v>
      </c>
      <c r="AF149" s="62">
        <f>IF(AD149="","",SUMIF(AD$2:AD149,AD149,G$2:G149))</f>
        <v>122</v>
      </c>
      <c r="AG149" s="62" t="str">
        <f>IF(AK149&lt;&gt;"",COUNTIF($AK$1:AK148,AK149)+AK149,IF(AL149&lt;&gt;"",COUNTIF($AL$1:AL148,AL149)+AL149,""))</f>
        <v/>
      </c>
      <c r="AH149" s="62" t="str">
        <f t="shared" si="56"/>
        <v>ilford A.C.</v>
      </c>
      <c r="AI149" s="62" t="str">
        <f>IF(AND(J149="M", AH149&lt;&gt;"U/A",AE149=Prizewinners!$J$1),AF149,"")</f>
        <v/>
      </c>
      <c r="AJ149" s="58" t="str">
        <f>IF(AND(J149="F",  AH149&lt;&gt;"U/A",AE149=Prizewinners!$J$16),AF149,"")</f>
        <v/>
      </c>
      <c r="AK149" s="58" t="str">
        <f t="shared" si="57"/>
        <v/>
      </c>
      <c r="AL149" s="58" t="str">
        <f t="shared" si="58"/>
        <v/>
      </c>
      <c r="AM149" s="58" t="str">
        <f t="shared" si="59"/>
        <v>Milford A.C.1</v>
      </c>
      <c r="AN149" s="58" t="str">
        <f t="shared" si="60"/>
        <v/>
      </c>
      <c r="AO149" s="58" t="str">
        <f t="shared" si="61"/>
        <v/>
      </c>
      <c r="AP149" s="58" t="str">
        <f t="shared" si="62"/>
        <v/>
      </c>
      <c r="AQ149" s="58" t="str">
        <f t="shared" si="63"/>
        <v>Ryan Holeyman</v>
      </c>
    </row>
    <row r="150" spans="1:43" x14ac:dyDescent="0.25">
      <c r="A150" s="12" t="str">
        <f t="shared" si="49"/>
        <v>VM60,10</v>
      </c>
      <c r="B150" s="12" t="str">
        <f t="shared" si="50"/>
        <v>M,123</v>
      </c>
      <c r="C150" s="11">
        <f t="shared" si="71"/>
        <v>149</v>
      </c>
      <c r="D150" s="171">
        <v>382</v>
      </c>
      <c r="E150" s="12">
        <f t="shared" si="48"/>
        <v>1</v>
      </c>
      <c r="F150" s="12">
        <f>COUNTIF(H$2:H150,H150)</f>
        <v>10</v>
      </c>
      <c r="G150" s="12">
        <f>COUNTIF(J$2:J150,J150)</f>
        <v>123</v>
      </c>
      <c r="H150" s="12" t="str">
        <f t="shared" si="64"/>
        <v>VM60</v>
      </c>
      <c r="I150" s="50" t="str">
        <f t="shared" si="65"/>
        <v>VM60</v>
      </c>
      <c r="J150" s="50" t="str">
        <f t="shared" si="66"/>
        <v>M</v>
      </c>
      <c r="K150" s="64" t="str">
        <f t="shared" si="67"/>
        <v>Gary Cardnell</v>
      </c>
      <c r="L150" s="64" t="str">
        <f t="shared" si="68"/>
        <v>Dagenham 88 Runners</v>
      </c>
      <c r="M150" s="171">
        <v>0</v>
      </c>
      <c r="N150" s="178">
        <v>23</v>
      </c>
      <c r="O150" s="178">
        <v>44</v>
      </c>
      <c r="P150" s="138">
        <f t="shared" si="51"/>
        <v>0</v>
      </c>
      <c r="Q150" s="137">
        <f t="shared" si="52"/>
        <v>23</v>
      </c>
      <c r="R150" s="143"/>
      <c r="S150" s="143"/>
      <c r="T150" s="143"/>
      <c r="U150" s="144"/>
      <c r="V150" s="144"/>
      <c r="W150" s="144"/>
      <c r="X150" s="145"/>
      <c r="Y150" s="152" t="str">
        <f t="shared" si="53"/>
        <v xml:space="preserve">   23.44 </v>
      </c>
      <c r="Z150" s="136"/>
      <c r="AA150" s="50">
        <f t="shared" si="69"/>
        <v>61</v>
      </c>
      <c r="AB150" s="129">
        <f t="shared" si="70"/>
        <v>21037</v>
      </c>
      <c r="AC150" s="58" t="str">
        <f t="shared" si="54"/>
        <v/>
      </c>
      <c r="AD150" s="58" t="str">
        <f t="shared" si="55"/>
        <v>MDagenham 88 Runners</v>
      </c>
      <c r="AE150" s="60">
        <f>IF(AD150="","",COUNTIF($AD$2:AD150,AD150))</f>
        <v>7</v>
      </c>
      <c r="AF150" s="62">
        <f>IF(AD150="","",SUMIF(AD$2:AD150,AD150,G$2:G150))</f>
        <v>652</v>
      </c>
      <c r="AG150" s="62" t="str">
        <f>IF(AK150&lt;&gt;"",COUNTIF($AK$1:AK149,AK150)+AK150,IF(AL150&lt;&gt;"",COUNTIF($AL$1:AL149,AL150)+AL150,""))</f>
        <v/>
      </c>
      <c r="AH150" s="62" t="str">
        <f t="shared" si="56"/>
        <v>Dagenham 88 Runners</v>
      </c>
      <c r="AI150" s="62" t="str">
        <f>IF(AND(J150="M", AH150&lt;&gt;"U/A",AE150=Prizewinners!$J$1),AF150,"")</f>
        <v/>
      </c>
      <c r="AJ150" s="58" t="str">
        <f>IF(AND(J150="F",  AH150&lt;&gt;"U/A",AE150=Prizewinners!$J$16),AF150,"")</f>
        <v/>
      </c>
      <c r="AK150" s="58" t="str">
        <f t="shared" si="57"/>
        <v/>
      </c>
      <c r="AL150" s="58" t="str">
        <f t="shared" si="58"/>
        <v/>
      </c>
      <c r="AM150" s="58" t="str">
        <f t="shared" si="59"/>
        <v>MDagenham 88 Runners7</v>
      </c>
      <c r="AN150" s="58" t="str">
        <f t="shared" si="60"/>
        <v/>
      </c>
      <c r="AO150" s="58" t="str">
        <f t="shared" si="61"/>
        <v/>
      </c>
      <c r="AP150" s="58" t="str">
        <f t="shared" si="62"/>
        <v/>
      </c>
      <c r="AQ150" s="58" t="str">
        <f t="shared" si="63"/>
        <v>Gary Cardnell</v>
      </c>
    </row>
    <row r="151" spans="1:43" x14ac:dyDescent="0.25">
      <c r="A151" s="12" t="str">
        <f t="shared" si="49"/>
        <v>VF35,8</v>
      </c>
      <c r="B151" s="12" t="str">
        <f t="shared" si="50"/>
        <v>F,27</v>
      </c>
      <c r="C151" s="11">
        <f t="shared" si="71"/>
        <v>150</v>
      </c>
      <c r="D151" s="171">
        <v>424</v>
      </c>
      <c r="E151" s="12">
        <f t="shared" si="48"/>
        <v>1</v>
      </c>
      <c r="F151" s="12">
        <f>COUNTIF(H$2:H151,H151)</f>
        <v>8</v>
      </c>
      <c r="G151" s="12">
        <f>COUNTIF(J$2:J151,J151)</f>
        <v>27</v>
      </c>
      <c r="H151" s="12" t="str">
        <f t="shared" si="64"/>
        <v>VF35</v>
      </c>
      <c r="I151" s="50" t="str">
        <f t="shared" si="65"/>
        <v>VF35</v>
      </c>
      <c r="J151" s="50" t="str">
        <f t="shared" si="66"/>
        <v>F</v>
      </c>
      <c r="K151" s="64" t="str">
        <f t="shared" si="67"/>
        <v>Sarah Giles</v>
      </c>
      <c r="L151" s="64" t="str">
        <f t="shared" si="68"/>
        <v>Eton Manor AC</v>
      </c>
      <c r="M151" s="171">
        <v>0</v>
      </c>
      <c r="N151" s="178">
        <v>23</v>
      </c>
      <c r="O151" s="178">
        <v>45</v>
      </c>
      <c r="P151" s="138">
        <f t="shared" si="51"/>
        <v>0</v>
      </c>
      <c r="Q151" s="137">
        <f t="shared" si="52"/>
        <v>23</v>
      </c>
      <c r="R151" s="143"/>
      <c r="S151" s="143"/>
      <c r="T151" s="143"/>
      <c r="U151" s="144"/>
      <c r="V151" s="144"/>
      <c r="W151" s="144"/>
      <c r="X151" s="145"/>
      <c r="Y151" s="152" t="str">
        <f t="shared" si="53"/>
        <v xml:space="preserve">   23.45 </v>
      </c>
      <c r="Z151" s="136"/>
      <c r="AA151" s="50">
        <f t="shared" si="69"/>
        <v>35</v>
      </c>
      <c r="AB151" s="129">
        <f t="shared" si="70"/>
        <v>30221</v>
      </c>
      <c r="AC151" s="58" t="str">
        <f t="shared" si="54"/>
        <v/>
      </c>
      <c r="AD151" s="58" t="str">
        <f t="shared" si="55"/>
        <v>FEton Manor AC</v>
      </c>
      <c r="AE151" s="60">
        <f>IF(AD151="","",COUNTIF($AD$2:AD151,AD151))</f>
        <v>4</v>
      </c>
      <c r="AF151" s="62">
        <f>IF(AD151="","",SUMIF(AD$2:AD151,AD151,G$2:G151))</f>
        <v>60</v>
      </c>
      <c r="AG151" s="62" t="str">
        <f>IF(AK151&lt;&gt;"",COUNTIF($AK$1:AK150,AK151)+AK151,IF(AL151&lt;&gt;"",COUNTIF($AL$1:AL150,AL151)+AL151,""))</f>
        <v/>
      </c>
      <c r="AH151" s="62" t="str">
        <f t="shared" si="56"/>
        <v>Eton Manor AC</v>
      </c>
      <c r="AI151" s="62" t="str">
        <f>IF(AND(J151="M", AH151&lt;&gt;"U/A",AE151=Prizewinners!$J$1),AF151,"")</f>
        <v/>
      </c>
      <c r="AJ151" s="58" t="str">
        <f>IF(AND(J151="F",  AH151&lt;&gt;"U/A",AE151=Prizewinners!$J$16),AF151,"")</f>
        <v/>
      </c>
      <c r="AK151" s="58" t="str">
        <f t="shared" si="57"/>
        <v/>
      </c>
      <c r="AL151" s="58" t="str">
        <f t="shared" si="58"/>
        <v/>
      </c>
      <c r="AM151" s="58" t="str">
        <f t="shared" si="59"/>
        <v>FEton Manor AC4</v>
      </c>
      <c r="AN151" s="58" t="str">
        <f t="shared" si="60"/>
        <v/>
      </c>
      <c r="AO151" s="58" t="str">
        <f t="shared" si="61"/>
        <v/>
      </c>
      <c r="AP151" s="58" t="str">
        <f t="shared" si="62"/>
        <v/>
      </c>
      <c r="AQ151" s="58" t="str">
        <f t="shared" si="63"/>
        <v>Sarah Giles</v>
      </c>
    </row>
    <row r="152" spans="1:43" x14ac:dyDescent="0.25">
      <c r="A152" s="12" t="str">
        <f t="shared" si="49"/>
        <v>VM40,37</v>
      </c>
      <c r="B152" s="12" t="str">
        <f t="shared" si="50"/>
        <v>M,124</v>
      </c>
      <c r="C152" s="11">
        <f t="shared" si="71"/>
        <v>151</v>
      </c>
      <c r="D152" s="171">
        <v>397</v>
      </c>
      <c r="E152" s="12">
        <f t="shared" si="48"/>
        <v>1</v>
      </c>
      <c r="F152" s="12">
        <f>COUNTIF(H$2:H152,H152)</f>
        <v>37</v>
      </c>
      <c r="G152" s="12">
        <f>COUNTIF(J$2:J152,J152)</f>
        <v>124</v>
      </c>
      <c r="H152" s="12" t="str">
        <f t="shared" si="64"/>
        <v>VM40</v>
      </c>
      <c r="I152" s="50" t="str">
        <f t="shared" si="65"/>
        <v>VM40</v>
      </c>
      <c r="J152" s="50" t="str">
        <f t="shared" si="66"/>
        <v>M</v>
      </c>
      <c r="K152" s="64" t="str">
        <f t="shared" si="67"/>
        <v>Marc Akers</v>
      </c>
      <c r="L152" s="64" t="str">
        <f t="shared" si="68"/>
        <v>East London Runners</v>
      </c>
      <c r="M152" s="171">
        <v>0</v>
      </c>
      <c r="N152" s="178">
        <v>23</v>
      </c>
      <c r="O152" s="178">
        <v>46</v>
      </c>
      <c r="P152" s="138">
        <f t="shared" si="51"/>
        <v>0</v>
      </c>
      <c r="Q152" s="137">
        <f t="shared" si="52"/>
        <v>23</v>
      </c>
      <c r="R152" s="143"/>
      <c r="S152" s="143"/>
      <c r="T152" s="143"/>
      <c r="U152" s="144"/>
      <c r="V152" s="144"/>
      <c r="W152" s="144"/>
      <c r="X152" s="145"/>
      <c r="Y152" s="152" t="str">
        <f t="shared" si="53"/>
        <v xml:space="preserve">   23.46 </v>
      </c>
      <c r="Z152" s="136"/>
      <c r="AA152" s="50">
        <f t="shared" si="69"/>
        <v>45</v>
      </c>
      <c r="AB152" s="129">
        <f t="shared" si="70"/>
        <v>26569</v>
      </c>
      <c r="AC152" s="58" t="str">
        <f t="shared" si="54"/>
        <v/>
      </c>
      <c r="AD152" s="58" t="str">
        <f t="shared" si="55"/>
        <v>MEast London Runners</v>
      </c>
      <c r="AE152" s="60">
        <f>IF(AD152="","",COUNTIF($AD$2:AD152,AD152))</f>
        <v>39</v>
      </c>
      <c r="AF152" s="62">
        <f>IF(AD152="","",SUMIF(AD$2:AD152,AD152,G$2:G152))</f>
        <v>2197</v>
      </c>
      <c r="AG152" s="62" t="str">
        <f>IF(AK152&lt;&gt;"",COUNTIF($AK$1:AK151,AK152)+AK152,IF(AL152&lt;&gt;"",COUNTIF($AL$1:AL151,AL152)+AL152,""))</f>
        <v/>
      </c>
      <c r="AH152" s="62" t="str">
        <f t="shared" si="56"/>
        <v>East London Runners</v>
      </c>
      <c r="AI152" s="62" t="str">
        <f>IF(AND(J152="M", AH152&lt;&gt;"U/A",AE152=Prizewinners!$J$1),AF152,"")</f>
        <v/>
      </c>
      <c r="AJ152" s="58" t="str">
        <f>IF(AND(J152="F",  AH152&lt;&gt;"U/A",AE152=Prizewinners!$J$16),AF152,"")</f>
        <v/>
      </c>
      <c r="AK152" s="58" t="str">
        <f t="shared" si="57"/>
        <v/>
      </c>
      <c r="AL152" s="58" t="str">
        <f t="shared" si="58"/>
        <v/>
      </c>
      <c r="AM152" s="58" t="str">
        <f t="shared" si="59"/>
        <v>MEast London Runners39</v>
      </c>
      <c r="AN152" s="58" t="str">
        <f t="shared" si="60"/>
        <v/>
      </c>
      <c r="AO152" s="58" t="str">
        <f t="shared" si="61"/>
        <v/>
      </c>
      <c r="AP152" s="58" t="str">
        <f t="shared" si="62"/>
        <v/>
      </c>
      <c r="AQ152" s="58" t="str">
        <f t="shared" si="63"/>
        <v>Marc Akers</v>
      </c>
    </row>
    <row r="153" spans="1:43" x14ac:dyDescent="0.25">
      <c r="A153" s="12" t="str">
        <f t="shared" si="49"/>
        <v>VF55,5</v>
      </c>
      <c r="B153" s="12" t="str">
        <f t="shared" si="50"/>
        <v>F,28</v>
      </c>
      <c r="C153" s="11">
        <f t="shared" si="71"/>
        <v>152</v>
      </c>
      <c r="D153" s="171">
        <v>415</v>
      </c>
      <c r="E153" s="12">
        <f t="shared" si="48"/>
        <v>1</v>
      </c>
      <c r="F153" s="12">
        <f>COUNTIF(H$2:H153,H153)</f>
        <v>5</v>
      </c>
      <c r="G153" s="12">
        <f>COUNTIF(J$2:J153,J153)</f>
        <v>28</v>
      </c>
      <c r="H153" s="12" t="str">
        <f t="shared" si="64"/>
        <v>VF55</v>
      </c>
      <c r="I153" s="50" t="str">
        <f t="shared" si="65"/>
        <v>VF55</v>
      </c>
      <c r="J153" s="50" t="str">
        <f t="shared" si="66"/>
        <v>F</v>
      </c>
      <c r="K153" s="64" t="str">
        <f t="shared" si="67"/>
        <v>Nicola Hopkinson</v>
      </c>
      <c r="L153" s="64" t="str">
        <f t="shared" si="68"/>
        <v>Ilford AC</v>
      </c>
      <c r="M153" s="171">
        <v>0</v>
      </c>
      <c r="N153" s="178">
        <v>23</v>
      </c>
      <c r="O153" s="178">
        <v>49</v>
      </c>
      <c r="P153" s="138">
        <f t="shared" si="51"/>
        <v>0</v>
      </c>
      <c r="Q153" s="137">
        <f t="shared" si="52"/>
        <v>23</v>
      </c>
      <c r="R153" s="143"/>
      <c r="S153" s="143"/>
      <c r="T153" s="143"/>
      <c r="U153" s="144"/>
      <c r="V153" s="144"/>
      <c r="W153" s="144"/>
      <c r="X153" s="145"/>
      <c r="Y153" s="152" t="str">
        <f t="shared" si="53"/>
        <v xml:space="preserve">   23.49 </v>
      </c>
      <c r="Z153" s="136"/>
      <c r="AA153" s="50">
        <f t="shared" si="69"/>
        <v>56</v>
      </c>
      <c r="AB153" s="129">
        <f t="shared" si="70"/>
        <v>22745</v>
      </c>
      <c r="AC153" s="58" t="str">
        <f t="shared" si="54"/>
        <v/>
      </c>
      <c r="AD153" s="58" t="str">
        <f t="shared" si="55"/>
        <v>FIlford AC</v>
      </c>
      <c r="AE153" s="60">
        <f>IF(AD153="","",COUNTIF($AD$2:AD153,AD153))</f>
        <v>4</v>
      </c>
      <c r="AF153" s="62">
        <f>IF(AD153="","",SUMIF(AD$2:AD153,AD153,G$2:G153))</f>
        <v>58</v>
      </c>
      <c r="AG153" s="62" t="str">
        <f>IF(AK153&lt;&gt;"",COUNTIF($AK$1:AK152,AK153)+AK153,IF(AL153&lt;&gt;"",COUNTIF($AL$1:AL152,AL153)+AL153,""))</f>
        <v/>
      </c>
      <c r="AH153" s="62" t="str">
        <f t="shared" si="56"/>
        <v>Ilford AC</v>
      </c>
      <c r="AI153" s="62" t="str">
        <f>IF(AND(J153="M", AH153&lt;&gt;"U/A",AE153=Prizewinners!$J$1),AF153,"")</f>
        <v/>
      </c>
      <c r="AJ153" s="58" t="str">
        <f>IF(AND(J153="F",  AH153&lt;&gt;"U/A",AE153=Prizewinners!$J$16),AF153,"")</f>
        <v/>
      </c>
      <c r="AK153" s="58" t="str">
        <f t="shared" si="57"/>
        <v/>
      </c>
      <c r="AL153" s="58" t="str">
        <f t="shared" si="58"/>
        <v/>
      </c>
      <c r="AM153" s="58" t="str">
        <f t="shared" si="59"/>
        <v>FIlford AC4</v>
      </c>
      <c r="AN153" s="58" t="str">
        <f t="shared" si="60"/>
        <v/>
      </c>
      <c r="AO153" s="58" t="str">
        <f t="shared" si="61"/>
        <v/>
      </c>
      <c r="AP153" s="58" t="str">
        <f t="shared" si="62"/>
        <v/>
      </c>
      <c r="AQ153" s="58" t="str">
        <f t="shared" si="63"/>
        <v>Nicola Hopkinson</v>
      </c>
    </row>
    <row r="154" spans="1:43" x14ac:dyDescent="0.25">
      <c r="A154" s="12" t="str">
        <f t="shared" si="49"/>
        <v>VM40,38</v>
      </c>
      <c r="B154" s="12" t="str">
        <f t="shared" si="50"/>
        <v>M,125</v>
      </c>
      <c r="C154" s="11">
        <f t="shared" si="71"/>
        <v>153</v>
      </c>
      <c r="D154" s="171">
        <v>400</v>
      </c>
      <c r="E154" s="12">
        <f t="shared" si="48"/>
        <v>1</v>
      </c>
      <c r="F154" s="12">
        <f>COUNTIF(H$2:H154,H154)</f>
        <v>38</v>
      </c>
      <c r="G154" s="12">
        <f>COUNTIF(J$2:J154,J154)</f>
        <v>125</v>
      </c>
      <c r="H154" s="12" t="str">
        <f t="shared" si="64"/>
        <v>VM40</v>
      </c>
      <c r="I154" s="50" t="str">
        <f t="shared" si="65"/>
        <v>VM40</v>
      </c>
      <c r="J154" s="50" t="str">
        <f t="shared" si="66"/>
        <v>M</v>
      </c>
      <c r="K154" s="64" t="str">
        <f t="shared" si="67"/>
        <v>David Hallybone</v>
      </c>
      <c r="L154" s="64" t="str">
        <f t="shared" si="68"/>
        <v>East London Runners</v>
      </c>
      <c r="M154" s="171">
        <v>0</v>
      </c>
      <c r="N154" s="178">
        <v>23</v>
      </c>
      <c r="O154" s="178">
        <v>57</v>
      </c>
      <c r="P154" s="138">
        <f t="shared" si="51"/>
        <v>0</v>
      </c>
      <c r="Q154" s="137">
        <f t="shared" si="52"/>
        <v>23</v>
      </c>
      <c r="R154" s="143"/>
      <c r="S154" s="143"/>
      <c r="T154" s="143"/>
      <c r="U154" s="144"/>
      <c r="V154" s="144"/>
      <c r="W154" s="144"/>
      <c r="X154" s="145"/>
      <c r="Y154" s="152" t="str">
        <f t="shared" si="53"/>
        <v xml:space="preserve">   23.57 </v>
      </c>
      <c r="Z154" s="136"/>
      <c r="AA154" s="50">
        <f t="shared" si="69"/>
        <v>43</v>
      </c>
      <c r="AB154" s="129">
        <f t="shared" si="70"/>
        <v>27618</v>
      </c>
      <c r="AC154" s="58" t="str">
        <f t="shared" si="54"/>
        <v/>
      </c>
      <c r="AD154" s="58" t="str">
        <f t="shared" si="55"/>
        <v>MEast London Runners</v>
      </c>
      <c r="AE154" s="60">
        <f>IF(AD154="","",COUNTIF($AD$2:AD154,AD154))</f>
        <v>40</v>
      </c>
      <c r="AF154" s="62">
        <f>IF(AD154="","",SUMIF(AD$2:AD154,AD154,G$2:G154))</f>
        <v>2322</v>
      </c>
      <c r="AG154" s="62" t="str">
        <f>IF(AK154&lt;&gt;"",COUNTIF($AK$1:AK153,AK154)+AK154,IF(AL154&lt;&gt;"",COUNTIF($AL$1:AL153,AL154)+AL154,""))</f>
        <v/>
      </c>
      <c r="AH154" s="62" t="str">
        <f t="shared" si="56"/>
        <v>East London Runners</v>
      </c>
      <c r="AI154" s="62" t="str">
        <f>IF(AND(J154="M", AH154&lt;&gt;"U/A",AE154=Prizewinners!$J$1),AF154,"")</f>
        <v/>
      </c>
      <c r="AJ154" s="58" t="str">
        <f>IF(AND(J154="F",  AH154&lt;&gt;"U/A",AE154=Prizewinners!$J$16),AF154,"")</f>
        <v/>
      </c>
      <c r="AK154" s="58" t="str">
        <f t="shared" si="57"/>
        <v/>
      </c>
      <c r="AL154" s="58" t="str">
        <f t="shared" si="58"/>
        <v/>
      </c>
      <c r="AM154" s="58" t="str">
        <f t="shared" si="59"/>
        <v>MEast London Runners40</v>
      </c>
      <c r="AN154" s="58" t="str">
        <f t="shared" si="60"/>
        <v/>
      </c>
      <c r="AO154" s="58" t="str">
        <f t="shared" si="61"/>
        <v/>
      </c>
      <c r="AP154" s="58" t="str">
        <f t="shared" si="62"/>
        <v/>
      </c>
      <c r="AQ154" s="58" t="str">
        <f t="shared" si="63"/>
        <v>David Hallybone</v>
      </c>
    </row>
    <row r="155" spans="1:43" x14ac:dyDescent="0.25">
      <c r="A155" s="12" t="str">
        <f t="shared" si="49"/>
        <v>SM,55</v>
      </c>
      <c r="B155" s="12" t="str">
        <f t="shared" si="50"/>
        <v>M,126</v>
      </c>
      <c r="C155" s="11">
        <f t="shared" si="71"/>
        <v>154</v>
      </c>
      <c r="D155" s="171">
        <v>481</v>
      </c>
      <c r="E155" s="12">
        <f t="shared" si="48"/>
        <v>1</v>
      </c>
      <c r="F155" s="12">
        <f>COUNTIF(H$2:H155,H155)</f>
        <v>55</v>
      </c>
      <c r="G155" s="12">
        <f>COUNTIF(J$2:J155,J155)</f>
        <v>126</v>
      </c>
      <c r="H155" s="12" t="str">
        <f t="shared" si="64"/>
        <v>SM</v>
      </c>
      <c r="I155" s="50" t="str">
        <f t="shared" si="65"/>
        <v>SM</v>
      </c>
      <c r="J155" s="50" t="str">
        <f t="shared" si="66"/>
        <v>M</v>
      </c>
      <c r="K155" s="64" t="str">
        <f t="shared" si="67"/>
        <v>Imran Patel</v>
      </c>
      <c r="L155" s="64" t="str">
        <f t="shared" si="68"/>
        <v>East End Road Runners</v>
      </c>
      <c r="M155" s="171">
        <v>0</v>
      </c>
      <c r="N155" s="178">
        <v>24</v>
      </c>
      <c r="O155" s="178">
        <v>1</v>
      </c>
      <c r="P155" s="138">
        <f t="shared" si="51"/>
        <v>0</v>
      </c>
      <c r="Q155" s="137">
        <f t="shared" si="52"/>
        <v>24</v>
      </c>
      <c r="R155" s="143"/>
      <c r="S155" s="143"/>
      <c r="T155" s="143"/>
      <c r="U155" s="144"/>
      <c r="V155" s="144"/>
      <c r="W155" s="144"/>
      <c r="X155" s="145"/>
      <c r="Y155" s="152" t="str">
        <f t="shared" si="53"/>
        <v xml:space="preserve">   24.01 </v>
      </c>
      <c r="Z155" s="136"/>
      <c r="AA155" s="50">
        <f t="shared" si="69"/>
        <v>39</v>
      </c>
      <c r="AB155" s="129">
        <f t="shared" si="70"/>
        <v>28962</v>
      </c>
      <c r="AC155" s="58" t="str">
        <f t="shared" si="54"/>
        <v/>
      </c>
      <c r="AD155" s="58" t="str">
        <f t="shared" si="55"/>
        <v>MEast End Road Runners</v>
      </c>
      <c r="AE155" s="60">
        <f>IF(AD155="","",COUNTIF($AD$2:AD155,AD155))</f>
        <v>11</v>
      </c>
      <c r="AF155" s="62">
        <f>IF(AD155="","",SUMIF(AD$2:AD155,AD155,G$2:G155))</f>
        <v>846</v>
      </c>
      <c r="AG155" s="62" t="str">
        <f>IF(AK155&lt;&gt;"",COUNTIF($AK$1:AK154,AK155)+AK155,IF(AL155&lt;&gt;"",COUNTIF($AL$1:AL154,AL155)+AL155,""))</f>
        <v/>
      </c>
      <c r="AH155" s="62" t="str">
        <f t="shared" si="56"/>
        <v>East End Road Runners</v>
      </c>
      <c r="AI155" s="62" t="str">
        <f>IF(AND(J155="M", AH155&lt;&gt;"U/A",AE155=Prizewinners!$J$1),AF155,"")</f>
        <v/>
      </c>
      <c r="AJ155" s="58" t="str">
        <f>IF(AND(J155="F",  AH155&lt;&gt;"U/A",AE155=Prizewinners!$J$16),AF155,"")</f>
        <v/>
      </c>
      <c r="AK155" s="58" t="str">
        <f t="shared" si="57"/>
        <v/>
      </c>
      <c r="AL155" s="58" t="str">
        <f t="shared" si="58"/>
        <v/>
      </c>
      <c r="AM155" s="58" t="str">
        <f t="shared" si="59"/>
        <v>MEast End Road Runners11</v>
      </c>
      <c r="AN155" s="58" t="str">
        <f t="shared" si="60"/>
        <v/>
      </c>
      <c r="AO155" s="58" t="str">
        <f t="shared" si="61"/>
        <v/>
      </c>
      <c r="AP155" s="58" t="str">
        <f t="shared" si="62"/>
        <v/>
      </c>
      <c r="AQ155" s="58" t="str">
        <f t="shared" si="63"/>
        <v>Imran Patel</v>
      </c>
    </row>
    <row r="156" spans="1:43" x14ac:dyDescent="0.25">
      <c r="A156" s="12" t="str">
        <f t="shared" si="49"/>
        <v>SF,7</v>
      </c>
      <c r="B156" s="12" t="str">
        <f t="shared" si="50"/>
        <v>F,29</v>
      </c>
      <c r="C156" s="11">
        <f t="shared" si="71"/>
        <v>155</v>
      </c>
      <c r="D156" s="171">
        <v>112</v>
      </c>
      <c r="E156" s="12">
        <f t="shared" si="48"/>
        <v>1</v>
      </c>
      <c r="F156" s="12">
        <f>COUNTIF(H$2:H156,H156)</f>
        <v>7</v>
      </c>
      <c r="G156" s="12">
        <f>COUNTIF(J$2:J156,J156)</f>
        <v>29</v>
      </c>
      <c r="H156" s="12" t="str">
        <f t="shared" si="64"/>
        <v>SF</v>
      </c>
      <c r="I156" s="50" t="str">
        <f t="shared" si="65"/>
        <v>SF</v>
      </c>
      <c r="J156" s="50" t="str">
        <f t="shared" si="66"/>
        <v>F</v>
      </c>
      <c r="K156" s="64" t="str">
        <f t="shared" si="67"/>
        <v>Kathryn Hertzberg</v>
      </c>
      <c r="L156" s="64" t="str">
        <f t="shared" si="68"/>
        <v>East London Runners</v>
      </c>
      <c r="M156" s="171">
        <v>0</v>
      </c>
      <c r="N156" s="178">
        <v>24</v>
      </c>
      <c r="O156" s="178">
        <v>1</v>
      </c>
      <c r="P156" s="138">
        <f t="shared" si="51"/>
        <v>0</v>
      </c>
      <c r="Q156" s="137">
        <f t="shared" si="52"/>
        <v>24</v>
      </c>
      <c r="R156" s="143"/>
      <c r="S156" s="143"/>
      <c r="T156" s="143"/>
      <c r="U156" s="144"/>
      <c r="V156" s="144"/>
      <c r="W156" s="144"/>
      <c r="X156" s="145"/>
      <c r="Y156" s="152" t="str">
        <f t="shared" si="53"/>
        <v xml:space="preserve">   24.01 </v>
      </c>
      <c r="Z156" s="136"/>
      <c r="AA156" s="50">
        <f t="shared" si="69"/>
        <v>33</v>
      </c>
      <c r="AB156" s="129">
        <f t="shared" si="70"/>
        <v>31172</v>
      </c>
      <c r="AC156" s="58" t="str">
        <f t="shared" si="54"/>
        <v/>
      </c>
      <c r="AD156" s="58" t="str">
        <f t="shared" si="55"/>
        <v>FEast London Runners</v>
      </c>
      <c r="AE156" s="60">
        <f>IF(AD156="","",COUNTIF($AD$2:AD156,AD156))</f>
        <v>7</v>
      </c>
      <c r="AF156" s="62">
        <f>IF(AD156="","",SUMIF(AD$2:AD156,AD156,G$2:G156))</f>
        <v>101</v>
      </c>
      <c r="AG156" s="62" t="str">
        <f>IF(AK156&lt;&gt;"",COUNTIF($AK$1:AK155,AK156)+AK156,IF(AL156&lt;&gt;"",COUNTIF($AL$1:AL155,AL156)+AL156,""))</f>
        <v/>
      </c>
      <c r="AH156" s="62" t="str">
        <f t="shared" si="56"/>
        <v>East London Runners</v>
      </c>
      <c r="AI156" s="62" t="str">
        <f>IF(AND(J156="M", AH156&lt;&gt;"U/A",AE156=Prizewinners!$J$1),AF156,"")</f>
        <v/>
      </c>
      <c r="AJ156" s="58" t="str">
        <f>IF(AND(J156="F",  AH156&lt;&gt;"U/A",AE156=Prizewinners!$J$16),AF156,"")</f>
        <v/>
      </c>
      <c r="AK156" s="58" t="str">
        <f t="shared" si="57"/>
        <v/>
      </c>
      <c r="AL156" s="58" t="str">
        <f t="shared" si="58"/>
        <v/>
      </c>
      <c r="AM156" s="58" t="str">
        <f t="shared" si="59"/>
        <v>FEast London Runners7</v>
      </c>
      <c r="AN156" s="58" t="str">
        <f t="shared" si="60"/>
        <v/>
      </c>
      <c r="AO156" s="58" t="str">
        <f t="shared" si="61"/>
        <v/>
      </c>
      <c r="AP156" s="58" t="str">
        <f t="shared" si="62"/>
        <v/>
      </c>
      <c r="AQ156" s="58" t="str">
        <f t="shared" si="63"/>
        <v>Kathryn Hertzberg</v>
      </c>
    </row>
    <row r="157" spans="1:43" x14ac:dyDescent="0.25">
      <c r="A157" s="12" t="str">
        <f t="shared" si="49"/>
        <v>VF45,7</v>
      </c>
      <c r="B157" s="12" t="str">
        <f t="shared" si="50"/>
        <v>F,30</v>
      </c>
      <c r="C157" s="11">
        <f t="shared" si="71"/>
        <v>156</v>
      </c>
      <c r="D157" s="171">
        <v>498</v>
      </c>
      <c r="E157" s="12">
        <f t="shared" si="48"/>
        <v>1</v>
      </c>
      <c r="F157" s="12">
        <f>COUNTIF(H$2:H157,H157)</f>
        <v>7</v>
      </c>
      <c r="G157" s="12">
        <f>COUNTIF(J$2:J157,J157)</f>
        <v>30</v>
      </c>
      <c r="H157" s="12" t="str">
        <f t="shared" si="64"/>
        <v>VF45</v>
      </c>
      <c r="I157" s="50" t="str">
        <f t="shared" si="65"/>
        <v>VF45</v>
      </c>
      <c r="J157" s="50" t="str">
        <f t="shared" si="66"/>
        <v>F</v>
      </c>
      <c r="K157" s="64" t="str">
        <f t="shared" si="67"/>
        <v>Jane Pannell</v>
      </c>
      <c r="L157" s="64" t="str">
        <f t="shared" si="68"/>
        <v>Eton Manor AC</v>
      </c>
      <c r="M157" s="171">
        <v>0</v>
      </c>
      <c r="N157" s="178">
        <v>24</v>
      </c>
      <c r="O157" s="178">
        <v>2</v>
      </c>
      <c r="P157" s="138">
        <f t="shared" si="51"/>
        <v>0</v>
      </c>
      <c r="Q157" s="137">
        <f t="shared" si="52"/>
        <v>24</v>
      </c>
      <c r="R157" s="143"/>
      <c r="S157" s="143"/>
      <c r="T157" s="143"/>
      <c r="U157" s="144"/>
      <c r="V157" s="144"/>
      <c r="W157" s="144"/>
      <c r="X157" s="145"/>
      <c r="Y157" s="152" t="str">
        <f t="shared" si="53"/>
        <v xml:space="preserve">   24.02 </v>
      </c>
      <c r="Z157" s="136"/>
      <c r="AA157" s="50">
        <f t="shared" si="69"/>
        <v>47</v>
      </c>
      <c r="AB157" s="129">
        <f t="shared" si="70"/>
        <v>26004</v>
      </c>
      <c r="AC157" s="58" t="str">
        <f t="shared" si="54"/>
        <v/>
      </c>
      <c r="AD157" s="58" t="str">
        <f t="shared" si="55"/>
        <v>FEton Manor AC</v>
      </c>
      <c r="AE157" s="60">
        <f>IF(AD157="","",COUNTIF($AD$2:AD157,AD157))</f>
        <v>5</v>
      </c>
      <c r="AF157" s="62">
        <f>IF(AD157="","",SUMIF(AD$2:AD157,AD157,G$2:G157))</f>
        <v>90</v>
      </c>
      <c r="AG157" s="62" t="str">
        <f>IF(AK157&lt;&gt;"",COUNTIF($AK$1:AK156,AK157)+AK157,IF(AL157&lt;&gt;"",COUNTIF($AL$1:AL156,AL157)+AL157,""))</f>
        <v/>
      </c>
      <c r="AH157" s="62" t="str">
        <f t="shared" si="56"/>
        <v>Eton Manor AC</v>
      </c>
      <c r="AI157" s="62" t="str">
        <f>IF(AND(J157="M", AH157&lt;&gt;"U/A",AE157=Prizewinners!$J$1),AF157,"")</f>
        <v/>
      </c>
      <c r="AJ157" s="58" t="str">
        <f>IF(AND(J157="F",  AH157&lt;&gt;"U/A",AE157=Prizewinners!$J$16),AF157,"")</f>
        <v/>
      </c>
      <c r="AK157" s="58" t="str">
        <f t="shared" si="57"/>
        <v/>
      </c>
      <c r="AL157" s="58" t="str">
        <f t="shared" si="58"/>
        <v/>
      </c>
      <c r="AM157" s="58" t="str">
        <f t="shared" si="59"/>
        <v>FEton Manor AC5</v>
      </c>
      <c r="AN157" s="58" t="str">
        <f t="shared" si="60"/>
        <v/>
      </c>
      <c r="AO157" s="58" t="str">
        <f t="shared" si="61"/>
        <v/>
      </c>
      <c r="AP157" s="58" t="str">
        <f t="shared" si="62"/>
        <v/>
      </c>
      <c r="AQ157" s="58" t="str">
        <f t="shared" si="63"/>
        <v>Jane Pannell</v>
      </c>
    </row>
    <row r="158" spans="1:43" x14ac:dyDescent="0.25">
      <c r="A158" s="12" t="str">
        <f t="shared" si="49"/>
        <v>VF45,8</v>
      </c>
      <c r="B158" s="12" t="str">
        <f t="shared" si="50"/>
        <v>F,31</v>
      </c>
      <c r="C158" s="11">
        <f t="shared" si="71"/>
        <v>157</v>
      </c>
      <c r="D158" s="171">
        <v>343</v>
      </c>
      <c r="E158" s="12">
        <f t="shared" si="48"/>
        <v>1</v>
      </c>
      <c r="F158" s="12">
        <f>COUNTIF(H$2:H158,H158)</f>
        <v>8</v>
      </c>
      <c r="G158" s="12">
        <f>COUNTIF(J$2:J158,J158)</f>
        <v>31</v>
      </c>
      <c r="H158" s="12" t="str">
        <f t="shared" si="64"/>
        <v>VF45</v>
      </c>
      <c r="I158" s="50" t="str">
        <f t="shared" si="65"/>
        <v>VF45</v>
      </c>
      <c r="J158" s="50" t="str">
        <f t="shared" si="66"/>
        <v>F</v>
      </c>
      <c r="K158" s="64" t="str">
        <f t="shared" si="67"/>
        <v>Maud Hodson</v>
      </c>
      <c r="L158" s="64" t="str">
        <f t="shared" si="68"/>
        <v>East London Runners</v>
      </c>
      <c r="M158" s="171">
        <v>0</v>
      </c>
      <c r="N158" s="178">
        <v>24</v>
      </c>
      <c r="O158" s="178">
        <v>3</v>
      </c>
      <c r="P158" s="138">
        <f t="shared" si="51"/>
        <v>0</v>
      </c>
      <c r="Q158" s="137">
        <f t="shared" si="52"/>
        <v>24</v>
      </c>
      <c r="R158" s="143"/>
      <c r="S158" s="143"/>
      <c r="T158" s="143"/>
      <c r="U158" s="144"/>
      <c r="V158" s="144"/>
      <c r="W158" s="144"/>
      <c r="X158" s="145"/>
      <c r="Y158" s="152" t="str">
        <f t="shared" si="53"/>
        <v xml:space="preserve">   24.03 </v>
      </c>
      <c r="Z158" s="136"/>
      <c r="AA158" s="50">
        <f t="shared" si="69"/>
        <v>46</v>
      </c>
      <c r="AB158" s="129">
        <f t="shared" si="70"/>
        <v>26412</v>
      </c>
      <c r="AC158" s="58" t="str">
        <f t="shared" si="54"/>
        <v/>
      </c>
      <c r="AD158" s="58" t="str">
        <f t="shared" si="55"/>
        <v>FEast London Runners</v>
      </c>
      <c r="AE158" s="60">
        <f>IF(AD158="","",COUNTIF($AD$2:AD158,AD158))</f>
        <v>8</v>
      </c>
      <c r="AF158" s="62">
        <f>IF(AD158="","",SUMIF(AD$2:AD158,AD158,G$2:G158))</f>
        <v>132</v>
      </c>
      <c r="AG158" s="62" t="str">
        <f>IF(AK158&lt;&gt;"",COUNTIF($AK$1:AK157,AK158)+AK158,IF(AL158&lt;&gt;"",COUNTIF($AL$1:AL157,AL158)+AL158,""))</f>
        <v/>
      </c>
      <c r="AH158" s="62" t="str">
        <f t="shared" si="56"/>
        <v>East London Runners</v>
      </c>
      <c r="AI158" s="62" t="str">
        <f>IF(AND(J158="M", AH158&lt;&gt;"U/A",AE158=Prizewinners!$J$1),AF158,"")</f>
        <v/>
      </c>
      <c r="AJ158" s="58" t="str">
        <f>IF(AND(J158="F",  AH158&lt;&gt;"U/A",AE158=Prizewinners!$J$16),AF158,"")</f>
        <v/>
      </c>
      <c r="AK158" s="58" t="str">
        <f t="shared" si="57"/>
        <v/>
      </c>
      <c r="AL158" s="58" t="str">
        <f t="shared" si="58"/>
        <v/>
      </c>
      <c r="AM158" s="58" t="str">
        <f t="shared" si="59"/>
        <v>FEast London Runners8</v>
      </c>
      <c r="AN158" s="58" t="str">
        <f t="shared" si="60"/>
        <v/>
      </c>
      <c r="AO158" s="58" t="str">
        <f t="shared" si="61"/>
        <v/>
      </c>
      <c r="AP158" s="58" t="str">
        <f t="shared" si="62"/>
        <v/>
      </c>
      <c r="AQ158" s="58" t="str">
        <f t="shared" si="63"/>
        <v>Maud Hodson</v>
      </c>
    </row>
    <row r="159" spans="1:43" x14ac:dyDescent="0.25">
      <c r="A159" s="12" t="str">
        <f t="shared" si="49"/>
        <v>SF,8</v>
      </c>
      <c r="B159" s="12" t="str">
        <f t="shared" si="50"/>
        <v>F,32</v>
      </c>
      <c r="C159" s="11">
        <f t="shared" si="71"/>
        <v>158</v>
      </c>
      <c r="D159" s="171">
        <v>127</v>
      </c>
      <c r="E159" s="12">
        <f t="shared" si="48"/>
        <v>1</v>
      </c>
      <c r="F159" s="12">
        <f>COUNTIF(H$2:H159,H159)</f>
        <v>8</v>
      </c>
      <c r="G159" s="12">
        <f>COUNTIF(J$2:J159,J159)</f>
        <v>32</v>
      </c>
      <c r="H159" s="12" t="str">
        <f t="shared" si="64"/>
        <v>SF</v>
      </c>
      <c r="I159" s="50" t="str">
        <f t="shared" si="65"/>
        <v>SF</v>
      </c>
      <c r="J159" s="50" t="str">
        <f t="shared" si="66"/>
        <v>F</v>
      </c>
      <c r="K159" s="64" t="str">
        <f t="shared" si="67"/>
        <v>Jasmine Bell</v>
      </c>
      <c r="L159" s="64" t="str">
        <f t="shared" si="68"/>
        <v>U/A</v>
      </c>
      <c r="M159" s="171">
        <v>0</v>
      </c>
      <c r="N159" s="178">
        <v>24</v>
      </c>
      <c r="O159" s="178">
        <v>5</v>
      </c>
      <c r="P159" s="138">
        <f t="shared" si="51"/>
        <v>0</v>
      </c>
      <c r="Q159" s="137">
        <f t="shared" si="52"/>
        <v>24</v>
      </c>
      <c r="R159" s="143"/>
      <c r="S159" s="143"/>
      <c r="T159" s="143"/>
      <c r="U159" s="144"/>
      <c r="V159" s="144"/>
      <c r="W159" s="144"/>
      <c r="X159" s="145"/>
      <c r="Y159" s="152" t="str">
        <f t="shared" si="53"/>
        <v xml:space="preserve">   24.05 </v>
      </c>
      <c r="Z159" s="136"/>
      <c r="AA159" s="50">
        <f t="shared" si="69"/>
        <v>21</v>
      </c>
      <c r="AB159" s="129">
        <f t="shared" si="70"/>
        <v>35426</v>
      </c>
      <c r="AC159" s="58" t="str">
        <f t="shared" si="54"/>
        <v/>
      </c>
      <c r="AD159" s="58" t="str">
        <f t="shared" si="55"/>
        <v>FU/A</v>
      </c>
      <c r="AE159" s="60">
        <f>IF(AD159="","",COUNTIF($AD$2:AD159,AD159))</f>
        <v>2</v>
      </c>
      <c r="AF159" s="62">
        <f>IF(AD159="","",SUMIF(AD$2:AD159,AD159,G$2:G159))</f>
        <v>56</v>
      </c>
      <c r="AG159" s="62" t="str">
        <f>IF(AK159&lt;&gt;"",COUNTIF($AK$1:AK158,AK159)+AK159,IF(AL159&lt;&gt;"",COUNTIF($AL$1:AL158,AL159)+AL159,""))</f>
        <v/>
      </c>
      <c r="AH159" s="62" t="str">
        <f t="shared" si="56"/>
        <v>U/A</v>
      </c>
      <c r="AI159" s="62" t="str">
        <f>IF(AND(J159="M", AH159&lt;&gt;"U/A",AE159=Prizewinners!$J$1),AF159,"")</f>
        <v/>
      </c>
      <c r="AJ159" s="58" t="str">
        <f>IF(AND(J159="F",  AH159&lt;&gt;"U/A",AE159=Prizewinners!$J$16),AF159,"")</f>
        <v/>
      </c>
      <c r="AK159" s="58" t="str">
        <f t="shared" si="57"/>
        <v/>
      </c>
      <c r="AL159" s="58" t="str">
        <f t="shared" si="58"/>
        <v/>
      </c>
      <c r="AM159" s="58" t="str">
        <f t="shared" si="59"/>
        <v>FU/A2</v>
      </c>
      <c r="AN159" s="58" t="str">
        <f t="shared" si="60"/>
        <v/>
      </c>
      <c r="AO159" s="58" t="str">
        <f t="shared" si="61"/>
        <v/>
      </c>
      <c r="AP159" s="58" t="str">
        <f t="shared" si="62"/>
        <v/>
      </c>
      <c r="AQ159" s="58" t="str">
        <f t="shared" si="63"/>
        <v>Jasmine Bell</v>
      </c>
    </row>
    <row r="160" spans="1:43" x14ac:dyDescent="0.25">
      <c r="A160" s="12" t="str">
        <f t="shared" si="49"/>
        <v>VM40,39</v>
      </c>
      <c r="B160" s="12" t="str">
        <f t="shared" si="50"/>
        <v>M,127</v>
      </c>
      <c r="C160" s="11">
        <f t="shared" si="71"/>
        <v>159</v>
      </c>
      <c r="D160" s="171">
        <v>428</v>
      </c>
      <c r="E160" s="12">
        <f t="shared" si="48"/>
        <v>1</v>
      </c>
      <c r="F160" s="12">
        <f>COUNTIF(H$2:H160,H160)</f>
        <v>39</v>
      </c>
      <c r="G160" s="12">
        <f>COUNTIF(J$2:J160,J160)</f>
        <v>127</v>
      </c>
      <c r="H160" s="12" t="str">
        <f t="shared" si="64"/>
        <v>VM40</v>
      </c>
      <c r="I160" s="50" t="str">
        <f t="shared" si="65"/>
        <v>VM40</v>
      </c>
      <c r="J160" s="50" t="str">
        <f t="shared" si="66"/>
        <v>M</v>
      </c>
      <c r="K160" s="64" t="str">
        <f t="shared" si="67"/>
        <v>Steve Constantinou</v>
      </c>
      <c r="L160" s="64" t="str">
        <f t="shared" si="68"/>
        <v>Havering 90 Joggers</v>
      </c>
      <c r="M160" s="171">
        <v>0</v>
      </c>
      <c r="N160" s="178">
        <v>24</v>
      </c>
      <c r="O160" s="178">
        <v>7</v>
      </c>
      <c r="P160" s="138">
        <f t="shared" si="51"/>
        <v>0</v>
      </c>
      <c r="Q160" s="137">
        <f t="shared" si="52"/>
        <v>24</v>
      </c>
      <c r="R160" s="143"/>
      <c r="S160" s="143"/>
      <c r="T160" s="143"/>
      <c r="U160" s="144"/>
      <c r="V160" s="144"/>
      <c r="W160" s="144"/>
      <c r="X160" s="145"/>
      <c r="Y160" s="152" t="str">
        <f t="shared" si="53"/>
        <v xml:space="preserve">   24.07 </v>
      </c>
      <c r="Z160" s="136"/>
      <c r="AA160" s="50">
        <f t="shared" si="69"/>
        <v>46</v>
      </c>
      <c r="AB160" s="129">
        <f t="shared" si="70"/>
        <v>26381</v>
      </c>
      <c r="AC160" s="58" t="str">
        <f t="shared" si="54"/>
        <v/>
      </c>
      <c r="AD160" s="58" t="str">
        <f t="shared" si="55"/>
        <v>MHavering 90 Joggers</v>
      </c>
      <c r="AE160" s="60">
        <f>IF(AD160="","",COUNTIF($AD$2:AD160,AD160))</f>
        <v>7</v>
      </c>
      <c r="AF160" s="62">
        <f>IF(AD160="","",SUMIF(AD$2:AD160,AD160,G$2:G160))</f>
        <v>633</v>
      </c>
      <c r="AG160" s="62" t="str">
        <f>IF(AK160&lt;&gt;"",COUNTIF($AK$1:AK159,AK160)+AK160,IF(AL160&lt;&gt;"",COUNTIF($AL$1:AL159,AL160)+AL160,""))</f>
        <v/>
      </c>
      <c r="AH160" s="62" t="str">
        <f t="shared" si="56"/>
        <v>Havering 90 Joggers</v>
      </c>
      <c r="AI160" s="62" t="str">
        <f>IF(AND(J160="M", AH160&lt;&gt;"U/A",AE160=Prizewinners!$J$1),AF160,"")</f>
        <v/>
      </c>
      <c r="AJ160" s="58" t="str">
        <f>IF(AND(J160="F",  AH160&lt;&gt;"U/A",AE160=Prizewinners!$J$16),AF160,"")</f>
        <v/>
      </c>
      <c r="AK160" s="58" t="str">
        <f t="shared" si="57"/>
        <v/>
      </c>
      <c r="AL160" s="58" t="str">
        <f t="shared" si="58"/>
        <v/>
      </c>
      <c r="AM160" s="58" t="str">
        <f t="shared" si="59"/>
        <v>MHavering 90 Joggers7</v>
      </c>
      <c r="AN160" s="58" t="str">
        <f t="shared" si="60"/>
        <v/>
      </c>
      <c r="AO160" s="58" t="str">
        <f t="shared" si="61"/>
        <v/>
      </c>
      <c r="AP160" s="58" t="str">
        <f t="shared" si="62"/>
        <v/>
      </c>
      <c r="AQ160" s="58" t="str">
        <f t="shared" si="63"/>
        <v>Steve Constantinou</v>
      </c>
    </row>
    <row r="161" spans="1:43" x14ac:dyDescent="0.25">
      <c r="A161" s="12" t="str">
        <f t="shared" si="49"/>
        <v>SF,9</v>
      </c>
      <c r="B161" s="12" t="str">
        <f t="shared" si="50"/>
        <v>F,33</v>
      </c>
      <c r="C161" s="11">
        <f t="shared" si="71"/>
        <v>160</v>
      </c>
      <c r="D161" s="171">
        <v>408</v>
      </c>
      <c r="E161" s="12">
        <f t="shared" si="48"/>
        <v>1</v>
      </c>
      <c r="F161" s="12">
        <f>COUNTIF(H$2:H161,H161)</f>
        <v>9</v>
      </c>
      <c r="G161" s="12">
        <f>COUNTIF(J$2:J161,J161)</f>
        <v>33</v>
      </c>
      <c r="H161" s="12" t="str">
        <f t="shared" si="64"/>
        <v>SF</v>
      </c>
      <c r="I161" s="50" t="str">
        <f t="shared" si="65"/>
        <v>SF</v>
      </c>
      <c r="J161" s="50" t="str">
        <f t="shared" si="66"/>
        <v>F</v>
      </c>
      <c r="K161" s="64" t="str">
        <f t="shared" si="67"/>
        <v>Natalie Crisp</v>
      </c>
      <c r="L161" s="64" t="str">
        <f t="shared" si="68"/>
        <v>Ilford AC</v>
      </c>
      <c r="M161" s="171">
        <v>0</v>
      </c>
      <c r="N161" s="178">
        <v>24</v>
      </c>
      <c r="O161" s="178">
        <v>8</v>
      </c>
      <c r="P161" s="138">
        <f t="shared" si="51"/>
        <v>0</v>
      </c>
      <c r="Q161" s="137">
        <f t="shared" si="52"/>
        <v>24</v>
      </c>
      <c r="R161" s="143"/>
      <c r="S161" s="143"/>
      <c r="T161" s="143"/>
      <c r="U161" s="144"/>
      <c r="V161" s="144"/>
      <c r="W161" s="144"/>
      <c r="X161" s="145"/>
      <c r="Y161" s="152" t="str">
        <f t="shared" si="53"/>
        <v xml:space="preserve">   24.08 </v>
      </c>
      <c r="Z161" s="136"/>
      <c r="AA161" s="50">
        <f t="shared" si="69"/>
        <v>26</v>
      </c>
      <c r="AB161" s="129">
        <f t="shared" si="70"/>
        <v>33585</v>
      </c>
      <c r="AC161" s="58" t="str">
        <f t="shared" si="54"/>
        <v/>
      </c>
      <c r="AD161" s="58" t="str">
        <f t="shared" si="55"/>
        <v>FIlford AC</v>
      </c>
      <c r="AE161" s="60">
        <f>IF(AD161="","",COUNTIF($AD$2:AD161,AD161))</f>
        <v>5</v>
      </c>
      <c r="AF161" s="62">
        <f>IF(AD161="","",SUMIF(AD$2:AD161,AD161,G$2:G161))</f>
        <v>91</v>
      </c>
      <c r="AG161" s="62" t="str">
        <f>IF(AK161&lt;&gt;"",COUNTIF($AK$1:AK160,AK161)+AK161,IF(AL161&lt;&gt;"",COUNTIF($AL$1:AL160,AL161)+AL161,""))</f>
        <v/>
      </c>
      <c r="AH161" s="62" t="str">
        <f t="shared" si="56"/>
        <v>Ilford AC</v>
      </c>
      <c r="AI161" s="62" t="str">
        <f>IF(AND(J161="M", AH161&lt;&gt;"U/A",AE161=Prizewinners!$J$1),AF161,"")</f>
        <v/>
      </c>
      <c r="AJ161" s="58" t="str">
        <f>IF(AND(J161="F",  AH161&lt;&gt;"U/A",AE161=Prizewinners!$J$16),AF161,"")</f>
        <v/>
      </c>
      <c r="AK161" s="58" t="str">
        <f t="shared" si="57"/>
        <v/>
      </c>
      <c r="AL161" s="58" t="str">
        <f t="shared" si="58"/>
        <v/>
      </c>
      <c r="AM161" s="58" t="str">
        <f t="shared" si="59"/>
        <v>FIlford AC5</v>
      </c>
      <c r="AN161" s="58" t="str">
        <f t="shared" si="60"/>
        <v/>
      </c>
      <c r="AO161" s="58" t="str">
        <f t="shared" si="61"/>
        <v/>
      </c>
      <c r="AP161" s="58" t="str">
        <f t="shared" si="62"/>
        <v/>
      </c>
      <c r="AQ161" s="58" t="str">
        <f t="shared" si="63"/>
        <v>Natalie Crisp</v>
      </c>
    </row>
    <row r="162" spans="1:43" x14ac:dyDescent="0.25">
      <c r="A162" s="12" t="str">
        <f t="shared" si="49"/>
        <v>VF35,9</v>
      </c>
      <c r="B162" s="12" t="str">
        <f t="shared" si="50"/>
        <v>F,34</v>
      </c>
      <c r="C162" s="11">
        <f t="shared" si="71"/>
        <v>161</v>
      </c>
      <c r="D162" s="171">
        <v>442</v>
      </c>
      <c r="E162" s="12">
        <f t="shared" si="48"/>
        <v>1</v>
      </c>
      <c r="F162" s="12">
        <f>COUNTIF(H$2:H162,H162)</f>
        <v>9</v>
      </c>
      <c r="G162" s="12">
        <f>COUNTIF(J$2:J162,J162)</f>
        <v>34</v>
      </c>
      <c r="H162" s="12" t="str">
        <f t="shared" si="64"/>
        <v>VF35</v>
      </c>
      <c r="I162" s="50" t="str">
        <f t="shared" si="65"/>
        <v>VF35</v>
      </c>
      <c r="J162" s="50" t="str">
        <f t="shared" si="66"/>
        <v>F</v>
      </c>
      <c r="K162" s="64" t="str">
        <f t="shared" si="67"/>
        <v>Kate Aldersey</v>
      </c>
      <c r="L162" s="64" t="str">
        <f t="shared" si="68"/>
        <v>Eton Manor AC</v>
      </c>
      <c r="M162" s="171">
        <v>0</v>
      </c>
      <c r="N162" s="178">
        <v>24</v>
      </c>
      <c r="O162" s="178">
        <v>8</v>
      </c>
      <c r="P162" s="138">
        <f t="shared" si="51"/>
        <v>0</v>
      </c>
      <c r="Q162" s="137">
        <f t="shared" si="52"/>
        <v>24</v>
      </c>
      <c r="R162" s="143"/>
      <c r="S162" s="143"/>
      <c r="T162" s="143"/>
      <c r="U162" s="144"/>
      <c r="V162" s="144"/>
      <c r="W162" s="144"/>
      <c r="X162" s="145"/>
      <c r="Y162" s="152" t="str">
        <f t="shared" si="53"/>
        <v xml:space="preserve">   24.08 </v>
      </c>
      <c r="Z162" s="136"/>
      <c r="AA162" s="50">
        <f t="shared" si="69"/>
        <v>39</v>
      </c>
      <c r="AB162" s="129">
        <f t="shared" si="70"/>
        <v>29055</v>
      </c>
      <c r="AC162" s="58" t="str">
        <f t="shared" si="54"/>
        <v/>
      </c>
      <c r="AD162" s="58" t="str">
        <f t="shared" si="55"/>
        <v>FEton Manor AC</v>
      </c>
      <c r="AE162" s="60">
        <f>IF(AD162="","",COUNTIF($AD$2:AD162,AD162))</f>
        <v>6</v>
      </c>
      <c r="AF162" s="62">
        <f>IF(AD162="","",SUMIF(AD$2:AD162,AD162,G$2:G162))</f>
        <v>124</v>
      </c>
      <c r="AG162" s="62" t="str">
        <f>IF(AK162&lt;&gt;"",COUNTIF($AK$1:AK161,AK162)+AK162,IF(AL162&lt;&gt;"",COUNTIF($AL$1:AL161,AL162)+AL162,""))</f>
        <v/>
      </c>
      <c r="AH162" s="62" t="str">
        <f t="shared" si="56"/>
        <v>Eton Manor AC</v>
      </c>
      <c r="AI162" s="62" t="str">
        <f>IF(AND(J162="M", AH162&lt;&gt;"U/A",AE162=Prizewinners!$J$1),AF162,"")</f>
        <v/>
      </c>
      <c r="AJ162" s="58" t="str">
        <f>IF(AND(J162="F",  AH162&lt;&gt;"U/A",AE162=Prizewinners!$J$16),AF162,"")</f>
        <v/>
      </c>
      <c r="AK162" s="58" t="str">
        <f t="shared" si="57"/>
        <v/>
      </c>
      <c r="AL162" s="58" t="str">
        <f t="shared" si="58"/>
        <v/>
      </c>
      <c r="AM162" s="58" t="str">
        <f t="shared" si="59"/>
        <v>FEton Manor AC6</v>
      </c>
      <c r="AN162" s="58" t="str">
        <f t="shared" si="60"/>
        <v/>
      </c>
      <c r="AO162" s="58" t="str">
        <f t="shared" si="61"/>
        <v/>
      </c>
      <c r="AP162" s="58" t="str">
        <f t="shared" si="62"/>
        <v/>
      </c>
      <c r="AQ162" s="58" t="str">
        <f t="shared" si="63"/>
        <v>Kate Aldersey</v>
      </c>
    </row>
    <row r="163" spans="1:43" x14ac:dyDescent="0.25">
      <c r="A163" s="12" t="str">
        <f t="shared" si="49"/>
        <v>VF35,10</v>
      </c>
      <c r="B163" s="12" t="str">
        <f t="shared" si="50"/>
        <v>F,35</v>
      </c>
      <c r="C163" s="11">
        <f t="shared" si="71"/>
        <v>162</v>
      </c>
      <c r="D163" s="171">
        <v>5</v>
      </c>
      <c r="E163" s="12">
        <f t="shared" si="48"/>
        <v>1</v>
      </c>
      <c r="F163" s="12">
        <f>COUNTIF(H$2:H163,H163)</f>
        <v>10</v>
      </c>
      <c r="G163" s="12">
        <f>COUNTIF(J$2:J163,J163)</f>
        <v>35</v>
      </c>
      <c r="H163" s="12" t="str">
        <f t="shared" si="64"/>
        <v>VF35</v>
      </c>
      <c r="I163" s="50" t="str">
        <f t="shared" si="65"/>
        <v>VF35</v>
      </c>
      <c r="J163" s="50" t="str">
        <f t="shared" si="66"/>
        <v>F</v>
      </c>
      <c r="K163" s="64" t="str">
        <f t="shared" si="67"/>
        <v>Faye Spooner</v>
      </c>
      <c r="L163" s="64" t="str">
        <f t="shared" si="68"/>
        <v>Barking Road Runners</v>
      </c>
      <c r="M163" s="171">
        <v>0</v>
      </c>
      <c r="N163" s="178">
        <v>24</v>
      </c>
      <c r="O163" s="178">
        <v>9</v>
      </c>
      <c r="P163" s="138">
        <f t="shared" si="51"/>
        <v>0</v>
      </c>
      <c r="Q163" s="137">
        <f t="shared" si="52"/>
        <v>24</v>
      </c>
      <c r="R163" s="143"/>
      <c r="S163" s="143"/>
      <c r="T163" s="143"/>
      <c r="U163" s="144"/>
      <c r="V163" s="144"/>
      <c r="W163" s="144"/>
      <c r="X163" s="145"/>
      <c r="Y163" s="152" t="str">
        <f t="shared" si="53"/>
        <v xml:space="preserve">   24.09 </v>
      </c>
      <c r="Z163" s="136"/>
      <c r="AA163" s="50">
        <f t="shared" si="69"/>
        <v>39</v>
      </c>
      <c r="AB163" s="129">
        <f t="shared" si="70"/>
        <v>28876</v>
      </c>
      <c r="AC163" s="58" t="str">
        <f t="shared" si="54"/>
        <v>F6</v>
      </c>
      <c r="AD163" s="58" t="str">
        <f t="shared" si="55"/>
        <v>FBarking Road Runners</v>
      </c>
      <c r="AE163" s="60">
        <f>IF(AD163="","",COUNTIF($AD$2:AD163,AD163))</f>
        <v>3</v>
      </c>
      <c r="AF163" s="62">
        <f>IF(AD163="","",SUMIF(AD$2:AD163,AD163,G$2:G163))</f>
        <v>80</v>
      </c>
      <c r="AG163" s="62">
        <f>IF(AK163&lt;&gt;"",COUNTIF($AK$1:AK162,AK163)+AK163,IF(AL163&lt;&gt;"",COUNTIF($AL$1:AL162,AL163)+AL163,""))</f>
        <v>6</v>
      </c>
      <c r="AH163" s="62" t="str">
        <f t="shared" si="56"/>
        <v>Barking Road Runners</v>
      </c>
      <c r="AI163" s="62" t="str">
        <f>IF(AND(J163="M", AH163&lt;&gt;"U/A",AE163=Prizewinners!$J$1),AF163,"")</f>
        <v/>
      </c>
      <c r="AJ163" s="58">
        <f>IF(AND(J163="F",  AH163&lt;&gt;"U/A",AE163=Prizewinners!$J$16),AF163,"")</f>
        <v>80</v>
      </c>
      <c r="AK163" s="58" t="str">
        <f t="shared" si="57"/>
        <v/>
      </c>
      <c r="AL163" s="58">
        <f t="shared" si="58"/>
        <v>6</v>
      </c>
      <c r="AM163" s="58" t="str">
        <f t="shared" si="59"/>
        <v>FBarking Road Runners3</v>
      </c>
      <c r="AN163" s="58" t="str">
        <f t="shared" si="60"/>
        <v>Amanda Heslegrave</v>
      </c>
      <c r="AO163" s="58" t="str">
        <f t="shared" si="61"/>
        <v>Sally Bridge</v>
      </c>
      <c r="AP163" s="58" t="str">
        <f t="shared" si="62"/>
        <v>Faye Spooner</v>
      </c>
      <c r="AQ163" s="58" t="str">
        <f t="shared" si="63"/>
        <v>Faye Spooner</v>
      </c>
    </row>
    <row r="164" spans="1:43" x14ac:dyDescent="0.25">
      <c r="A164" s="12" t="str">
        <f t="shared" si="49"/>
        <v>VM50,19</v>
      </c>
      <c r="B164" s="12" t="str">
        <f t="shared" si="50"/>
        <v>M,128</v>
      </c>
      <c r="C164" s="11">
        <f t="shared" si="71"/>
        <v>163</v>
      </c>
      <c r="D164" s="171">
        <v>33</v>
      </c>
      <c r="E164" s="12">
        <f t="shared" si="48"/>
        <v>1</v>
      </c>
      <c r="F164" s="12">
        <f>COUNTIF(H$2:H164,H164)</f>
        <v>19</v>
      </c>
      <c r="G164" s="12">
        <f>COUNTIF(J$2:J164,J164)</f>
        <v>128</v>
      </c>
      <c r="H164" s="12" t="str">
        <f t="shared" si="64"/>
        <v>VM50</v>
      </c>
      <c r="I164" s="50" t="str">
        <f t="shared" si="65"/>
        <v>VM50</v>
      </c>
      <c r="J164" s="50" t="str">
        <f t="shared" si="66"/>
        <v>M</v>
      </c>
      <c r="K164" s="64" t="str">
        <f t="shared" si="67"/>
        <v>Dave Mills</v>
      </c>
      <c r="L164" s="64" t="str">
        <f t="shared" si="68"/>
        <v>Orion Harriers</v>
      </c>
      <c r="M164" s="171">
        <v>0</v>
      </c>
      <c r="N164" s="178">
        <v>24</v>
      </c>
      <c r="O164" s="178">
        <v>15</v>
      </c>
      <c r="P164" s="138">
        <f t="shared" si="51"/>
        <v>0</v>
      </c>
      <c r="Q164" s="137">
        <f t="shared" si="52"/>
        <v>24</v>
      </c>
      <c r="R164" s="143"/>
      <c r="S164" s="143"/>
      <c r="T164" s="143"/>
      <c r="U164" s="144"/>
      <c r="V164" s="144"/>
      <c r="W164" s="144"/>
      <c r="X164" s="145"/>
      <c r="Y164" s="152" t="str">
        <f t="shared" si="53"/>
        <v xml:space="preserve">   24.15 </v>
      </c>
      <c r="Z164" s="136"/>
      <c r="AA164" s="50">
        <f t="shared" si="69"/>
        <v>59</v>
      </c>
      <c r="AB164" s="129">
        <f t="shared" si="70"/>
        <v>21642</v>
      </c>
      <c r="AC164" s="58" t="str">
        <f t="shared" si="54"/>
        <v/>
      </c>
      <c r="AD164" s="58" t="str">
        <f t="shared" si="55"/>
        <v>MOrion Harriers</v>
      </c>
      <c r="AE164" s="60">
        <f>IF(AD164="","",COUNTIF($AD$2:AD164,AD164))</f>
        <v>12</v>
      </c>
      <c r="AF164" s="62">
        <f>IF(AD164="","",SUMIF(AD$2:AD164,AD164,G$2:G164))</f>
        <v>1014</v>
      </c>
      <c r="AG164" s="62" t="str">
        <f>IF(AK164&lt;&gt;"",COUNTIF($AK$1:AK163,AK164)+AK164,IF(AL164&lt;&gt;"",COUNTIF($AL$1:AL163,AL164)+AL164,""))</f>
        <v/>
      </c>
      <c r="AH164" s="62" t="str">
        <f t="shared" si="56"/>
        <v>Orion Harriers</v>
      </c>
      <c r="AI164" s="62" t="str">
        <f>IF(AND(J164="M", AH164&lt;&gt;"U/A",AE164=Prizewinners!$J$1),AF164,"")</f>
        <v/>
      </c>
      <c r="AJ164" s="58" t="str">
        <f>IF(AND(J164="F",  AH164&lt;&gt;"U/A",AE164=Prizewinners!$J$16),AF164,"")</f>
        <v/>
      </c>
      <c r="AK164" s="58" t="str">
        <f t="shared" si="57"/>
        <v/>
      </c>
      <c r="AL164" s="58" t="str">
        <f t="shared" si="58"/>
        <v/>
      </c>
      <c r="AM164" s="58" t="str">
        <f t="shared" si="59"/>
        <v>MOrion Harriers12</v>
      </c>
      <c r="AN164" s="58" t="str">
        <f t="shared" si="60"/>
        <v/>
      </c>
      <c r="AO164" s="58" t="str">
        <f t="shared" si="61"/>
        <v/>
      </c>
      <c r="AP164" s="58" t="str">
        <f t="shared" si="62"/>
        <v/>
      </c>
      <c r="AQ164" s="58" t="str">
        <f t="shared" si="63"/>
        <v>Dave Mills</v>
      </c>
    </row>
    <row r="165" spans="1:43" x14ac:dyDescent="0.25">
      <c r="A165" s="12" t="str">
        <f t="shared" si="49"/>
        <v>VM40,40</v>
      </c>
      <c r="B165" s="12" t="str">
        <f t="shared" si="50"/>
        <v>M,129</v>
      </c>
      <c r="C165" s="11">
        <f t="shared" si="71"/>
        <v>164</v>
      </c>
      <c r="D165" s="171">
        <v>82</v>
      </c>
      <c r="E165" s="12">
        <f t="shared" si="48"/>
        <v>1</v>
      </c>
      <c r="F165" s="12">
        <f>COUNTIF(H$2:H165,H165)</f>
        <v>40</v>
      </c>
      <c r="G165" s="12">
        <f>COUNTIF(J$2:J165,J165)</f>
        <v>129</v>
      </c>
      <c r="H165" s="12" t="str">
        <f t="shared" si="64"/>
        <v>VM40</v>
      </c>
      <c r="I165" s="50" t="str">
        <f t="shared" si="65"/>
        <v>VM40</v>
      </c>
      <c r="J165" s="50" t="str">
        <f t="shared" si="66"/>
        <v>M</v>
      </c>
      <c r="K165" s="64" t="str">
        <f t="shared" si="67"/>
        <v>Marc Taffy Upton</v>
      </c>
      <c r="L165" s="64" t="str">
        <f t="shared" si="68"/>
        <v>East End Road Runners</v>
      </c>
      <c r="M165" s="171">
        <v>0</v>
      </c>
      <c r="N165" s="178">
        <v>24</v>
      </c>
      <c r="O165" s="178">
        <v>22</v>
      </c>
      <c r="P165" s="138">
        <f t="shared" si="51"/>
        <v>0</v>
      </c>
      <c r="Q165" s="137">
        <f t="shared" si="52"/>
        <v>24</v>
      </c>
      <c r="R165" s="143"/>
      <c r="S165" s="143"/>
      <c r="T165" s="143"/>
      <c r="U165" s="144"/>
      <c r="V165" s="144"/>
      <c r="W165" s="144"/>
      <c r="X165" s="145"/>
      <c r="Y165" s="152" t="str">
        <f t="shared" si="53"/>
        <v xml:space="preserve">   24.22 </v>
      </c>
      <c r="Z165" s="136"/>
      <c r="AA165" s="50">
        <f t="shared" si="69"/>
        <v>48</v>
      </c>
      <c r="AB165" s="129">
        <f t="shared" si="70"/>
        <v>25807</v>
      </c>
      <c r="AC165" s="58" t="str">
        <f t="shared" si="54"/>
        <v/>
      </c>
      <c r="AD165" s="58" t="str">
        <f t="shared" si="55"/>
        <v>MEast End Road Runners</v>
      </c>
      <c r="AE165" s="60">
        <f>IF(AD165="","",COUNTIF($AD$2:AD165,AD165))</f>
        <v>12</v>
      </c>
      <c r="AF165" s="62">
        <f>IF(AD165="","",SUMIF(AD$2:AD165,AD165,G$2:G165))</f>
        <v>975</v>
      </c>
      <c r="AG165" s="62" t="str">
        <f>IF(AK165&lt;&gt;"",COUNTIF($AK$1:AK164,AK165)+AK165,IF(AL165&lt;&gt;"",COUNTIF($AL$1:AL164,AL165)+AL165,""))</f>
        <v/>
      </c>
      <c r="AH165" s="62" t="str">
        <f t="shared" si="56"/>
        <v>East End Road Runners</v>
      </c>
      <c r="AI165" s="62" t="str">
        <f>IF(AND(J165="M", AH165&lt;&gt;"U/A",AE165=Prizewinners!$J$1),AF165,"")</f>
        <v/>
      </c>
      <c r="AJ165" s="58" t="str">
        <f>IF(AND(J165="F",  AH165&lt;&gt;"U/A",AE165=Prizewinners!$J$16),AF165,"")</f>
        <v/>
      </c>
      <c r="AK165" s="58" t="str">
        <f t="shared" si="57"/>
        <v/>
      </c>
      <c r="AL165" s="58" t="str">
        <f t="shared" si="58"/>
        <v/>
      </c>
      <c r="AM165" s="58" t="str">
        <f t="shared" si="59"/>
        <v>MEast End Road Runners12</v>
      </c>
      <c r="AN165" s="58" t="str">
        <f t="shared" si="60"/>
        <v/>
      </c>
      <c r="AO165" s="58" t="str">
        <f t="shared" si="61"/>
        <v/>
      </c>
      <c r="AP165" s="58" t="str">
        <f t="shared" si="62"/>
        <v/>
      </c>
      <c r="AQ165" s="58" t="str">
        <f t="shared" si="63"/>
        <v>Marc Taffy Upton</v>
      </c>
    </row>
    <row r="166" spans="1:43" x14ac:dyDescent="0.25">
      <c r="A166" s="12" t="str">
        <f t="shared" si="49"/>
        <v>VM50,20</v>
      </c>
      <c r="B166" s="12" t="str">
        <f t="shared" si="50"/>
        <v>M,130</v>
      </c>
      <c r="C166" s="11">
        <f t="shared" si="71"/>
        <v>165</v>
      </c>
      <c r="D166" s="171">
        <v>64</v>
      </c>
      <c r="E166" s="12">
        <f t="shared" si="48"/>
        <v>1</v>
      </c>
      <c r="F166" s="12">
        <f>COUNTIF(H$2:H166,H166)</f>
        <v>20</v>
      </c>
      <c r="G166" s="12">
        <f>COUNTIF(J$2:J166,J166)</f>
        <v>130</v>
      </c>
      <c r="H166" s="12" t="str">
        <f t="shared" si="64"/>
        <v>VM50</v>
      </c>
      <c r="I166" s="50" t="str">
        <f t="shared" si="65"/>
        <v>VM50</v>
      </c>
      <c r="J166" s="50" t="str">
        <f t="shared" si="66"/>
        <v>M</v>
      </c>
      <c r="K166" s="64" t="str">
        <f t="shared" si="67"/>
        <v>Lance Fuller</v>
      </c>
      <c r="L166" s="64" t="str">
        <f t="shared" si="68"/>
        <v>East London Runners</v>
      </c>
      <c r="M166" s="171">
        <v>0</v>
      </c>
      <c r="N166" s="178">
        <v>24</v>
      </c>
      <c r="O166" s="178">
        <v>23</v>
      </c>
      <c r="P166" s="138">
        <f t="shared" si="51"/>
        <v>0</v>
      </c>
      <c r="Q166" s="137">
        <f t="shared" si="52"/>
        <v>24</v>
      </c>
      <c r="R166" s="143"/>
      <c r="S166" s="143"/>
      <c r="T166" s="143"/>
      <c r="U166" s="144"/>
      <c r="V166" s="144"/>
      <c r="W166" s="144"/>
      <c r="X166" s="145"/>
      <c r="Y166" s="152" t="str">
        <f t="shared" si="53"/>
        <v xml:space="preserve">   24.23 </v>
      </c>
      <c r="Z166" s="136"/>
      <c r="AA166" s="50">
        <f t="shared" si="69"/>
        <v>56</v>
      </c>
      <c r="AB166" s="129">
        <f t="shared" si="70"/>
        <v>22797</v>
      </c>
      <c r="AC166" s="58" t="str">
        <f t="shared" si="54"/>
        <v/>
      </c>
      <c r="AD166" s="58" t="str">
        <f t="shared" si="55"/>
        <v>MEast London Runners</v>
      </c>
      <c r="AE166" s="60">
        <f>IF(AD166="","",COUNTIF($AD$2:AD166,AD166))</f>
        <v>41</v>
      </c>
      <c r="AF166" s="62">
        <f>IF(AD166="","",SUMIF(AD$2:AD166,AD166,G$2:G166))</f>
        <v>2452</v>
      </c>
      <c r="AG166" s="62" t="str">
        <f>IF(AK166&lt;&gt;"",COUNTIF($AK$1:AK165,AK166)+AK166,IF(AL166&lt;&gt;"",COUNTIF($AL$1:AL165,AL166)+AL166,""))</f>
        <v/>
      </c>
      <c r="AH166" s="62" t="str">
        <f t="shared" si="56"/>
        <v>East London Runners</v>
      </c>
      <c r="AI166" s="62" t="str">
        <f>IF(AND(J166="M", AH166&lt;&gt;"U/A",AE166=Prizewinners!$J$1),AF166,"")</f>
        <v/>
      </c>
      <c r="AJ166" s="58" t="str">
        <f>IF(AND(J166="F",  AH166&lt;&gt;"U/A",AE166=Prizewinners!$J$16),AF166,"")</f>
        <v/>
      </c>
      <c r="AK166" s="58" t="str">
        <f t="shared" si="57"/>
        <v/>
      </c>
      <c r="AL166" s="58" t="str">
        <f t="shared" si="58"/>
        <v/>
      </c>
      <c r="AM166" s="58" t="str">
        <f t="shared" si="59"/>
        <v>MEast London Runners41</v>
      </c>
      <c r="AN166" s="58" t="str">
        <f t="shared" si="60"/>
        <v/>
      </c>
      <c r="AO166" s="58" t="str">
        <f t="shared" si="61"/>
        <v/>
      </c>
      <c r="AP166" s="58" t="str">
        <f t="shared" si="62"/>
        <v/>
      </c>
      <c r="AQ166" s="58" t="str">
        <f t="shared" si="63"/>
        <v>Lance Fuller</v>
      </c>
    </row>
    <row r="167" spans="1:43" x14ac:dyDescent="0.25">
      <c r="A167" s="12" t="str">
        <f t="shared" si="49"/>
        <v>VM50,21</v>
      </c>
      <c r="B167" s="12" t="str">
        <f t="shared" si="50"/>
        <v>M,131</v>
      </c>
      <c r="C167" s="11">
        <f t="shared" si="71"/>
        <v>166</v>
      </c>
      <c r="D167" s="171">
        <v>414</v>
      </c>
      <c r="E167" s="12">
        <f t="shared" si="48"/>
        <v>1</v>
      </c>
      <c r="F167" s="12">
        <f>COUNTIF(H$2:H167,H167)</f>
        <v>21</v>
      </c>
      <c r="G167" s="12">
        <f>COUNTIF(J$2:J167,J167)</f>
        <v>131</v>
      </c>
      <c r="H167" s="12" t="str">
        <f t="shared" si="64"/>
        <v>VM50</v>
      </c>
      <c r="I167" s="50" t="str">
        <f t="shared" si="65"/>
        <v>VM50</v>
      </c>
      <c r="J167" s="50" t="str">
        <f t="shared" si="66"/>
        <v>M</v>
      </c>
      <c r="K167" s="64" t="str">
        <f t="shared" si="67"/>
        <v>Satha Alaganandasundaram</v>
      </c>
      <c r="L167" s="64" t="str">
        <f t="shared" si="68"/>
        <v>Ilford AC</v>
      </c>
      <c r="M167" s="171">
        <v>0</v>
      </c>
      <c r="N167" s="178">
        <v>24</v>
      </c>
      <c r="O167" s="178">
        <v>24</v>
      </c>
      <c r="P167" s="138">
        <f t="shared" si="51"/>
        <v>0</v>
      </c>
      <c r="Q167" s="137">
        <f t="shared" si="52"/>
        <v>24</v>
      </c>
      <c r="R167" s="143"/>
      <c r="S167" s="143"/>
      <c r="T167" s="143"/>
      <c r="U167" s="144"/>
      <c r="V167" s="144"/>
      <c r="W167" s="144"/>
      <c r="X167" s="145"/>
      <c r="Y167" s="152" t="str">
        <f t="shared" si="53"/>
        <v xml:space="preserve">   24.24 </v>
      </c>
      <c r="Z167" s="136"/>
      <c r="AA167" s="50">
        <f t="shared" si="69"/>
        <v>58</v>
      </c>
      <c r="AB167" s="129">
        <f t="shared" si="70"/>
        <v>22100</v>
      </c>
      <c r="AC167" s="58" t="str">
        <f t="shared" si="54"/>
        <v/>
      </c>
      <c r="AD167" s="58" t="str">
        <f t="shared" si="55"/>
        <v>MIlford AC</v>
      </c>
      <c r="AE167" s="60">
        <f>IF(AD167="","",COUNTIF($AD$2:AD167,AD167))</f>
        <v>16</v>
      </c>
      <c r="AF167" s="62">
        <f>IF(AD167="","",SUMIF(AD$2:AD167,AD167,G$2:G167))</f>
        <v>773</v>
      </c>
      <c r="AG167" s="62" t="str">
        <f>IF(AK167&lt;&gt;"",COUNTIF($AK$1:AK166,AK167)+AK167,IF(AL167&lt;&gt;"",COUNTIF($AL$1:AL166,AL167)+AL167,""))</f>
        <v/>
      </c>
      <c r="AH167" s="62" t="str">
        <f t="shared" si="56"/>
        <v>Ilford AC</v>
      </c>
      <c r="AI167" s="62" t="str">
        <f>IF(AND(J167="M", AH167&lt;&gt;"U/A",AE167=Prizewinners!$J$1),AF167,"")</f>
        <v/>
      </c>
      <c r="AJ167" s="58" t="str">
        <f>IF(AND(J167="F",  AH167&lt;&gt;"U/A",AE167=Prizewinners!$J$16),AF167,"")</f>
        <v/>
      </c>
      <c r="AK167" s="58" t="str">
        <f t="shared" si="57"/>
        <v/>
      </c>
      <c r="AL167" s="58" t="str">
        <f t="shared" si="58"/>
        <v/>
      </c>
      <c r="AM167" s="58" t="str">
        <f t="shared" si="59"/>
        <v>MIlford AC16</v>
      </c>
      <c r="AN167" s="58" t="str">
        <f t="shared" si="60"/>
        <v/>
      </c>
      <c r="AO167" s="58" t="str">
        <f t="shared" si="61"/>
        <v/>
      </c>
      <c r="AP167" s="58" t="str">
        <f t="shared" si="62"/>
        <v/>
      </c>
      <c r="AQ167" s="58" t="str">
        <f t="shared" si="63"/>
        <v>Satha Alaganandasundaram</v>
      </c>
    </row>
    <row r="168" spans="1:43" x14ac:dyDescent="0.25">
      <c r="A168" s="12" t="str">
        <f t="shared" si="49"/>
        <v>VF35,11</v>
      </c>
      <c r="B168" s="12" t="str">
        <f t="shared" si="50"/>
        <v>F,36</v>
      </c>
      <c r="C168" s="11">
        <f t="shared" si="71"/>
        <v>167</v>
      </c>
      <c r="D168" s="171">
        <v>478</v>
      </c>
      <c r="E168" s="12">
        <f t="shared" si="48"/>
        <v>1</v>
      </c>
      <c r="F168" s="12">
        <f>COUNTIF(H$2:H168,H168)</f>
        <v>11</v>
      </c>
      <c r="G168" s="12">
        <f>COUNTIF(J$2:J168,J168)</f>
        <v>36</v>
      </c>
      <c r="H168" s="12" t="str">
        <f t="shared" si="64"/>
        <v>VF35</v>
      </c>
      <c r="I168" s="50" t="str">
        <f t="shared" si="65"/>
        <v>VF35</v>
      </c>
      <c r="J168" s="50" t="str">
        <f t="shared" si="66"/>
        <v>F</v>
      </c>
      <c r="K168" s="64" t="str">
        <f t="shared" si="67"/>
        <v>Sarah Bemand</v>
      </c>
      <c r="L168" s="64" t="str">
        <f t="shared" si="68"/>
        <v>East End Road Runners</v>
      </c>
      <c r="M168" s="171">
        <v>0</v>
      </c>
      <c r="N168" s="178">
        <v>24</v>
      </c>
      <c r="O168" s="178">
        <v>25</v>
      </c>
      <c r="P168" s="138">
        <f t="shared" si="51"/>
        <v>0</v>
      </c>
      <c r="Q168" s="137">
        <f t="shared" si="52"/>
        <v>24</v>
      </c>
      <c r="R168" s="143"/>
      <c r="S168" s="143"/>
      <c r="T168" s="143"/>
      <c r="U168" s="144"/>
      <c r="V168" s="144"/>
      <c r="W168" s="144"/>
      <c r="X168" s="145"/>
      <c r="Y168" s="152" t="str">
        <f t="shared" si="53"/>
        <v xml:space="preserve">   24.25 </v>
      </c>
      <c r="Z168" s="136"/>
      <c r="AA168" s="50">
        <f t="shared" si="69"/>
        <v>44</v>
      </c>
      <c r="AB168" s="129">
        <f t="shared" si="70"/>
        <v>27202</v>
      </c>
      <c r="AC168" s="58" t="str">
        <f t="shared" si="54"/>
        <v/>
      </c>
      <c r="AD168" s="58" t="str">
        <f t="shared" si="55"/>
        <v>FEast End Road Runners</v>
      </c>
      <c r="AE168" s="60">
        <f>IF(AD168="","",COUNTIF($AD$2:AD168,AD168))</f>
        <v>2</v>
      </c>
      <c r="AF168" s="62">
        <f>IF(AD168="","",SUMIF(AD$2:AD168,AD168,G$2:G168))</f>
        <v>53</v>
      </c>
      <c r="AG168" s="62" t="str">
        <f>IF(AK168&lt;&gt;"",COUNTIF($AK$1:AK167,AK168)+AK168,IF(AL168&lt;&gt;"",COUNTIF($AL$1:AL167,AL168)+AL168,""))</f>
        <v/>
      </c>
      <c r="AH168" s="62" t="str">
        <f t="shared" si="56"/>
        <v>East End Road Runners</v>
      </c>
      <c r="AI168" s="62" t="str">
        <f>IF(AND(J168="M", AH168&lt;&gt;"U/A",AE168=Prizewinners!$J$1),AF168,"")</f>
        <v/>
      </c>
      <c r="AJ168" s="58" t="str">
        <f>IF(AND(J168="F",  AH168&lt;&gt;"U/A",AE168=Prizewinners!$J$16),AF168,"")</f>
        <v/>
      </c>
      <c r="AK168" s="58" t="str">
        <f t="shared" si="57"/>
        <v/>
      </c>
      <c r="AL168" s="58" t="str">
        <f t="shared" si="58"/>
        <v/>
      </c>
      <c r="AM168" s="58" t="str">
        <f t="shared" si="59"/>
        <v>FEast End Road Runners2</v>
      </c>
      <c r="AN168" s="58" t="str">
        <f t="shared" si="60"/>
        <v/>
      </c>
      <c r="AO168" s="58" t="str">
        <f t="shared" si="61"/>
        <v/>
      </c>
      <c r="AP168" s="58" t="str">
        <f t="shared" si="62"/>
        <v/>
      </c>
      <c r="AQ168" s="58" t="str">
        <f t="shared" si="63"/>
        <v>Sarah Bemand</v>
      </c>
    </row>
    <row r="169" spans="1:43" x14ac:dyDescent="0.25">
      <c r="A169" s="12" t="str">
        <f t="shared" si="49"/>
        <v>VM60,11</v>
      </c>
      <c r="B169" s="12" t="str">
        <f t="shared" si="50"/>
        <v>M,132</v>
      </c>
      <c r="C169" s="11">
        <f t="shared" si="71"/>
        <v>168</v>
      </c>
      <c r="D169" s="171">
        <v>356</v>
      </c>
      <c r="E169" s="12">
        <f t="shared" si="48"/>
        <v>1</v>
      </c>
      <c r="F169" s="12">
        <f>COUNTIF(H$2:H169,H169)</f>
        <v>11</v>
      </c>
      <c r="G169" s="12">
        <f>COUNTIF(J$2:J169,J169)</f>
        <v>132</v>
      </c>
      <c r="H169" s="12" t="str">
        <f t="shared" si="64"/>
        <v>VM60</v>
      </c>
      <c r="I169" s="50" t="str">
        <f t="shared" si="65"/>
        <v>VM60</v>
      </c>
      <c r="J169" s="50" t="str">
        <f t="shared" si="66"/>
        <v>M</v>
      </c>
      <c r="K169" s="64" t="str">
        <f t="shared" si="67"/>
        <v>ernest forsyth</v>
      </c>
      <c r="L169" s="64" t="str">
        <f t="shared" si="68"/>
        <v>Ilford AC</v>
      </c>
      <c r="M169" s="171">
        <v>0</v>
      </c>
      <c r="N169" s="178">
        <v>24</v>
      </c>
      <c r="O169" s="178">
        <v>30</v>
      </c>
      <c r="P169" s="138">
        <f t="shared" si="51"/>
        <v>0</v>
      </c>
      <c r="Q169" s="137">
        <f t="shared" si="52"/>
        <v>24</v>
      </c>
      <c r="R169" s="143"/>
      <c r="S169" s="143"/>
      <c r="T169" s="143"/>
      <c r="U169" s="144"/>
      <c r="V169" s="144"/>
      <c r="W169" s="144"/>
      <c r="X169" s="145"/>
      <c r="Y169" s="152" t="str">
        <f t="shared" si="53"/>
        <v xml:space="preserve">   24.30 </v>
      </c>
      <c r="Z169" s="136"/>
      <c r="AA169" s="50">
        <f t="shared" si="69"/>
        <v>63</v>
      </c>
      <c r="AB169" s="129">
        <f t="shared" si="70"/>
        <v>20000</v>
      </c>
      <c r="AC169" s="58" t="str">
        <f t="shared" si="54"/>
        <v/>
      </c>
      <c r="AD169" s="58" t="str">
        <f t="shared" si="55"/>
        <v>MIlford AC</v>
      </c>
      <c r="AE169" s="60">
        <f>IF(AD169="","",COUNTIF($AD$2:AD169,AD169))</f>
        <v>17</v>
      </c>
      <c r="AF169" s="62">
        <f>IF(AD169="","",SUMIF(AD$2:AD169,AD169,G$2:G169))</f>
        <v>905</v>
      </c>
      <c r="AG169" s="62" t="str">
        <f>IF(AK169&lt;&gt;"",COUNTIF($AK$1:AK168,AK169)+AK169,IF(AL169&lt;&gt;"",COUNTIF($AL$1:AL168,AL169)+AL169,""))</f>
        <v/>
      </c>
      <c r="AH169" s="62" t="str">
        <f t="shared" si="56"/>
        <v>Ilford AC</v>
      </c>
      <c r="AI169" s="62" t="str">
        <f>IF(AND(J169="M", AH169&lt;&gt;"U/A",AE169=Prizewinners!$J$1),AF169,"")</f>
        <v/>
      </c>
      <c r="AJ169" s="58" t="str">
        <f>IF(AND(J169="F",  AH169&lt;&gt;"U/A",AE169=Prizewinners!$J$16),AF169,"")</f>
        <v/>
      </c>
      <c r="AK169" s="58" t="str">
        <f t="shared" si="57"/>
        <v/>
      </c>
      <c r="AL169" s="58" t="str">
        <f t="shared" si="58"/>
        <v/>
      </c>
      <c r="AM169" s="58" t="str">
        <f t="shared" si="59"/>
        <v>MIlford AC17</v>
      </c>
      <c r="AN169" s="58" t="str">
        <f t="shared" si="60"/>
        <v/>
      </c>
      <c r="AO169" s="58" t="str">
        <f t="shared" si="61"/>
        <v/>
      </c>
      <c r="AP169" s="58" t="str">
        <f t="shared" si="62"/>
        <v/>
      </c>
      <c r="AQ169" s="58" t="str">
        <f t="shared" si="63"/>
        <v>ernest forsyth</v>
      </c>
    </row>
    <row r="170" spans="1:43" x14ac:dyDescent="0.25">
      <c r="A170" s="12" t="str">
        <f t="shared" si="49"/>
        <v>SM,56</v>
      </c>
      <c r="B170" s="12" t="str">
        <f t="shared" si="50"/>
        <v>M,133</v>
      </c>
      <c r="C170" s="11">
        <f t="shared" si="71"/>
        <v>169</v>
      </c>
      <c r="D170" s="171">
        <v>444</v>
      </c>
      <c r="E170" s="12">
        <f t="shared" si="48"/>
        <v>1</v>
      </c>
      <c r="F170" s="12">
        <f>COUNTIF(H$2:H170,H170)</f>
        <v>56</v>
      </c>
      <c r="G170" s="12">
        <f>COUNTIF(J$2:J170,J170)</f>
        <v>133</v>
      </c>
      <c r="H170" s="12" t="str">
        <f t="shared" si="64"/>
        <v>SM</v>
      </c>
      <c r="I170" s="50" t="str">
        <f t="shared" si="65"/>
        <v>SM</v>
      </c>
      <c r="J170" s="50" t="str">
        <f t="shared" si="66"/>
        <v>M</v>
      </c>
      <c r="K170" s="64" t="str">
        <f t="shared" si="67"/>
        <v>Karan Gadhia</v>
      </c>
      <c r="L170" s="64" t="str">
        <f t="shared" si="68"/>
        <v>East London Runners</v>
      </c>
      <c r="M170" s="171">
        <v>0</v>
      </c>
      <c r="N170" s="178">
        <v>24</v>
      </c>
      <c r="O170" s="178">
        <v>31</v>
      </c>
      <c r="P170" s="138">
        <f t="shared" si="51"/>
        <v>0</v>
      </c>
      <c r="Q170" s="137">
        <f t="shared" si="52"/>
        <v>24</v>
      </c>
      <c r="R170" s="143"/>
      <c r="S170" s="143"/>
      <c r="T170" s="143"/>
      <c r="U170" s="144"/>
      <c r="V170" s="144"/>
      <c r="W170" s="144"/>
      <c r="X170" s="145"/>
      <c r="Y170" s="152" t="str">
        <f t="shared" si="53"/>
        <v xml:space="preserve">   24.31 </v>
      </c>
      <c r="Z170" s="136"/>
      <c r="AA170" s="50">
        <f t="shared" si="69"/>
        <v>22</v>
      </c>
      <c r="AB170" s="129">
        <f t="shared" si="70"/>
        <v>35095</v>
      </c>
      <c r="AC170" s="58" t="str">
        <f t="shared" si="54"/>
        <v/>
      </c>
      <c r="AD170" s="58" t="str">
        <f t="shared" si="55"/>
        <v>MEast London Runners</v>
      </c>
      <c r="AE170" s="60">
        <f>IF(AD170="","",COUNTIF($AD$2:AD170,AD170))</f>
        <v>42</v>
      </c>
      <c r="AF170" s="62">
        <f>IF(AD170="","",SUMIF(AD$2:AD170,AD170,G$2:G170))</f>
        <v>2585</v>
      </c>
      <c r="AG170" s="62" t="str">
        <f>IF(AK170&lt;&gt;"",COUNTIF($AK$1:AK169,AK170)+AK170,IF(AL170&lt;&gt;"",COUNTIF($AL$1:AL169,AL170)+AL170,""))</f>
        <v/>
      </c>
      <c r="AH170" s="62" t="str">
        <f t="shared" si="56"/>
        <v>East London Runners</v>
      </c>
      <c r="AI170" s="62" t="str">
        <f>IF(AND(J170="M", AH170&lt;&gt;"U/A",AE170=Prizewinners!$J$1),AF170,"")</f>
        <v/>
      </c>
      <c r="AJ170" s="58" t="str">
        <f>IF(AND(J170="F",  AH170&lt;&gt;"U/A",AE170=Prizewinners!$J$16),AF170,"")</f>
        <v/>
      </c>
      <c r="AK170" s="58" t="str">
        <f t="shared" si="57"/>
        <v/>
      </c>
      <c r="AL170" s="58" t="str">
        <f t="shared" si="58"/>
        <v/>
      </c>
      <c r="AM170" s="58" t="str">
        <f t="shared" si="59"/>
        <v>MEast London Runners42</v>
      </c>
      <c r="AN170" s="58" t="str">
        <f t="shared" si="60"/>
        <v/>
      </c>
      <c r="AO170" s="58" t="str">
        <f t="shared" si="61"/>
        <v/>
      </c>
      <c r="AP170" s="58" t="str">
        <f t="shared" si="62"/>
        <v/>
      </c>
      <c r="AQ170" s="58" t="str">
        <f t="shared" si="63"/>
        <v>Karan Gadhia</v>
      </c>
    </row>
    <row r="171" spans="1:43" x14ac:dyDescent="0.25">
      <c r="A171" s="12" t="str">
        <f t="shared" si="49"/>
        <v>VM40,41</v>
      </c>
      <c r="B171" s="12" t="str">
        <f t="shared" si="50"/>
        <v>M,134</v>
      </c>
      <c r="C171" s="11">
        <f t="shared" si="71"/>
        <v>170</v>
      </c>
      <c r="D171" s="171">
        <v>483</v>
      </c>
      <c r="E171" s="12">
        <f t="shared" si="48"/>
        <v>1</v>
      </c>
      <c r="F171" s="12">
        <f>COUNTIF(H$2:H171,H171)</f>
        <v>41</v>
      </c>
      <c r="G171" s="12">
        <f>COUNTIF(J$2:J171,J171)</f>
        <v>134</v>
      </c>
      <c r="H171" s="12" t="str">
        <f>IF(G171&gt;3,I171,"")</f>
        <v>VM40</v>
      </c>
      <c r="I171" s="50" t="str">
        <f t="shared" si="65"/>
        <v>VM40</v>
      </c>
      <c r="J171" s="50" t="str">
        <f t="shared" si="66"/>
        <v>M</v>
      </c>
      <c r="K171" s="64" t="str">
        <f t="shared" si="67"/>
        <v>George Georgiou</v>
      </c>
      <c r="L171" s="64" t="str">
        <f t="shared" si="68"/>
        <v>East London Runners</v>
      </c>
      <c r="M171" s="171">
        <v>0</v>
      </c>
      <c r="N171" s="178">
        <v>24</v>
      </c>
      <c r="O171" s="178">
        <v>38</v>
      </c>
      <c r="P171" s="138">
        <f t="shared" si="51"/>
        <v>0</v>
      </c>
      <c r="Q171" s="137">
        <f t="shared" si="52"/>
        <v>24</v>
      </c>
      <c r="R171" s="143"/>
      <c r="S171" s="143"/>
      <c r="T171" s="143"/>
      <c r="U171" s="144"/>
      <c r="V171" s="144"/>
      <c r="W171" s="144"/>
      <c r="X171" s="145"/>
      <c r="Y171" s="152" t="str">
        <f t="shared" si="53"/>
        <v xml:space="preserve">   24.38 </v>
      </c>
      <c r="Z171" s="136"/>
      <c r="AA171" s="50">
        <f t="shared" si="69"/>
        <v>49</v>
      </c>
      <c r="AB171" s="129">
        <f t="shared" si="70"/>
        <v>25300</v>
      </c>
      <c r="AC171" s="58" t="str">
        <f t="shared" si="54"/>
        <v/>
      </c>
      <c r="AD171" s="58" t="str">
        <f t="shared" si="55"/>
        <v>MEast London Runners</v>
      </c>
      <c r="AE171" s="60">
        <f>IF(AD171="","",COUNTIF($AD$2:AD171,AD171))</f>
        <v>43</v>
      </c>
      <c r="AF171" s="62">
        <f>IF(AD171="","",SUMIF(AD$2:AD171,AD171,G$2:G171))</f>
        <v>2719</v>
      </c>
      <c r="AG171" s="62" t="str">
        <f>IF(AK171&lt;&gt;"",COUNTIF($AK$1:AK170,AK171)+AK171,IF(AL171&lt;&gt;"",COUNTIF($AL$1:AL170,AL171)+AL171,""))</f>
        <v/>
      </c>
      <c r="AH171" s="62" t="str">
        <f t="shared" si="56"/>
        <v>East London Runners</v>
      </c>
      <c r="AI171" s="62" t="str">
        <f>IF(AND(J171="M", AH171&lt;&gt;"U/A",AE171=Prizewinners!$J$1),AF171,"")</f>
        <v/>
      </c>
      <c r="AJ171" s="58" t="str">
        <f>IF(AND(J171="F",  AH171&lt;&gt;"U/A",AE171=Prizewinners!$J$16),AF171,"")</f>
        <v/>
      </c>
      <c r="AK171" s="58" t="str">
        <f t="shared" si="57"/>
        <v/>
      </c>
      <c r="AL171" s="58" t="str">
        <f t="shared" si="58"/>
        <v/>
      </c>
      <c r="AM171" s="58" t="str">
        <f t="shared" si="59"/>
        <v>MEast London Runners43</v>
      </c>
      <c r="AN171" s="58" t="str">
        <f t="shared" si="60"/>
        <v/>
      </c>
      <c r="AO171" s="58" t="str">
        <f t="shared" si="61"/>
        <v/>
      </c>
      <c r="AP171" s="58" t="str">
        <f t="shared" si="62"/>
        <v/>
      </c>
      <c r="AQ171" s="58" t="str">
        <f t="shared" si="63"/>
        <v>George Georgiou</v>
      </c>
    </row>
    <row r="172" spans="1:43" x14ac:dyDescent="0.25">
      <c r="A172" s="12" t="str">
        <f t="shared" si="49"/>
        <v>VF55,6</v>
      </c>
      <c r="B172" s="12" t="str">
        <f t="shared" si="50"/>
        <v>F,37</v>
      </c>
      <c r="C172" s="11">
        <f t="shared" si="71"/>
        <v>171</v>
      </c>
      <c r="D172" s="171">
        <v>37</v>
      </c>
      <c r="E172" s="12">
        <f t="shared" si="48"/>
        <v>1</v>
      </c>
      <c r="F172" s="12">
        <f>COUNTIF(H$2:H172,H172)</f>
        <v>6</v>
      </c>
      <c r="G172" s="12">
        <f>COUNTIF(J$2:J172,J172)</f>
        <v>37</v>
      </c>
      <c r="H172" s="12" t="str">
        <f t="shared" si="64"/>
        <v>VF55</v>
      </c>
      <c r="I172" s="50" t="str">
        <f t="shared" si="65"/>
        <v>VF55</v>
      </c>
      <c r="J172" s="50" t="str">
        <f t="shared" si="66"/>
        <v>F</v>
      </c>
      <c r="K172" s="64" t="str">
        <f t="shared" si="67"/>
        <v>Julie Robinson</v>
      </c>
      <c r="L172" s="64" t="str">
        <f t="shared" si="68"/>
        <v>Orion Harriers</v>
      </c>
      <c r="M172" s="171">
        <v>0</v>
      </c>
      <c r="N172" s="178">
        <v>24</v>
      </c>
      <c r="O172" s="178">
        <v>45</v>
      </c>
      <c r="P172" s="138">
        <f t="shared" si="51"/>
        <v>0</v>
      </c>
      <c r="Q172" s="137">
        <f t="shared" si="52"/>
        <v>24</v>
      </c>
      <c r="R172" s="143"/>
      <c r="S172" s="143"/>
      <c r="T172" s="143"/>
      <c r="U172" s="144"/>
      <c r="V172" s="144"/>
      <c r="W172" s="144"/>
      <c r="X172" s="145"/>
      <c r="Y172" s="152" t="str">
        <f t="shared" si="53"/>
        <v xml:space="preserve">   24.45 </v>
      </c>
      <c r="Z172" s="136"/>
      <c r="AA172" s="50">
        <f t="shared" si="69"/>
        <v>60</v>
      </c>
      <c r="AB172" s="129">
        <f t="shared" si="70"/>
        <v>21232</v>
      </c>
      <c r="AC172" s="58" t="str">
        <f t="shared" si="54"/>
        <v/>
      </c>
      <c r="AD172" s="58" t="str">
        <f t="shared" si="55"/>
        <v>FOrion Harriers</v>
      </c>
      <c r="AE172" s="60">
        <f>IF(AD172="","",COUNTIF($AD$2:AD172,AD172))</f>
        <v>5</v>
      </c>
      <c r="AF172" s="62">
        <f>IF(AD172="","",SUMIF(AD$2:AD172,AD172,G$2:G172))</f>
        <v>96</v>
      </c>
      <c r="AG172" s="62" t="str">
        <f>IF(AK172&lt;&gt;"",COUNTIF($AK$1:AK171,AK172)+AK172,IF(AL172&lt;&gt;"",COUNTIF($AL$1:AL171,AL172)+AL172,""))</f>
        <v/>
      </c>
      <c r="AH172" s="62" t="str">
        <f t="shared" si="56"/>
        <v>Orion Harriers</v>
      </c>
      <c r="AI172" s="62" t="str">
        <f>IF(AND(J172="M", AH172&lt;&gt;"U/A",AE172=Prizewinners!$J$1),AF172,"")</f>
        <v/>
      </c>
      <c r="AJ172" s="58" t="str">
        <f>IF(AND(J172="F",  AH172&lt;&gt;"U/A",AE172=Prizewinners!$J$16),AF172,"")</f>
        <v/>
      </c>
      <c r="AK172" s="58" t="str">
        <f t="shared" si="57"/>
        <v/>
      </c>
      <c r="AL172" s="58" t="str">
        <f t="shared" si="58"/>
        <v/>
      </c>
      <c r="AM172" s="58" t="str">
        <f t="shared" si="59"/>
        <v>FOrion Harriers5</v>
      </c>
      <c r="AN172" s="58" t="str">
        <f t="shared" si="60"/>
        <v/>
      </c>
      <c r="AO172" s="58" t="str">
        <f t="shared" si="61"/>
        <v/>
      </c>
      <c r="AP172" s="58" t="str">
        <f t="shared" si="62"/>
        <v/>
      </c>
      <c r="AQ172" s="58" t="str">
        <f t="shared" si="63"/>
        <v>Julie Robinson</v>
      </c>
    </row>
    <row r="173" spans="1:43" x14ac:dyDescent="0.25">
      <c r="A173" s="12" t="str">
        <f t="shared" si="49"/>
        <v>VF55,7</v>
      </c>
      <c r="B173" s="12" t="str">
        <f t="shared" si="50"/>
        <v>F,38</v>
      </c>
      <c r="C173" s="11">
        <f t="shared" si="71"/>
        <v>172</v>
      </c>
      <c r="D173" s="171">
        <v>347</v>
      </c>
      <c r="E173" s="12">
        <f t="shared" si="48"/>
        <v>1</v>
      </c>
      <c r="F173" s="12">
        <f>COUNTIF(H$2:H173,H173)</f>
        <v>7</v>
      </c>
      <c r="G173" s="12">
        <f>COUNTIF(J$2:J173,J173)</f>
        <v>38</v>
      </c>
      <c r="H173" s="12" t="str">
        <f t="shared" si="64"/>
        <v>VF55</v>
      </c>
      <c r="I173" s="50" t="str">
        <f t="shared" si="65"/>
        <v>VF55</v>
      </c>
      <c r="J173" s="50" t="str">
        <f t="shared" si="66"/>
        <v>F</v>
      </c>
      <c r="K173" s="64" t="str">
        <f t="shared" si="67"/>
        <v>Catherine Jane Apps</v>
      </c>
      <c r="L173" s="64" t="str">
        <f t="shared" si="68"/>
        <v>East End Road Runners</v>
      </c>
      <c r="M173" s="171">
        <v>0</v>
      </c>
      <c r="N173" s="178">
        <v>24</v>
      </c>
      <c r="O173" s="178">
        <v>45</v>
      </c>
      <c r="P173" s="138">
        <f t="shared" si="51"/>
        <v>0</v>
      </c>
      <c r="Q173" s="137">
        <f t="shared" si="52"/>
        <v>24</v>
      </c>
      <c r="R173" s="143"/>
      <c r="S173" s="143"/>
      <c r="T173" s="143"/>
      <c r="U173" s="144"/>
      <c r="V173" s="144"/>
      <c r="W173" s="144"/>
      <c r="X173" s="145"/>
      <c r="Y173" s="152" t="str">
        <f t="shared" si="53"/>
        <v xml:space="preserve">   24.45 </v>
      </c>
      <c r="Z173" s="136"/>
      <c r="AA173" s="50">
        <f t="shared" si="69"/>
        <v>64</v>
      </c>
      <c r="AB173" s="129">
        <f t="shared" si="70"/>
        <v>19834</v>
      </c>
      <c r="AC173" s="58" t="str">
        <f t="shared" si="54"/>
        <v>F7</v>
      </c>
      <c r="AD173" s="58" t="str">
        <f t="shared" si="55"/>
        <v>FEast End Road Runners</v>
      </c>
      <c r="AE173" s="60">
        <f>IF(AD173="","",COUNTIF($AD$2:AD173,AD173))</f>
        <v>3</v>
      </c>
      <c r="AF173" s="62">
        <f>IF(AD173="","",SUMIF(AD$2:AD173,AD173,G$2:G173))</f>
        <v>91</v>
      </c>
      <c r="AG173" s="62">
        <f>IF(AK173&lt;&gt;"",COUNTIF($AK$1:AK172,AK173)+AK173,IF(AL173&lt;&gt;"",COUNTIF($AL$1:AL172,AL173)+AL173,""))</f>
        <v>7</v>
      </c>
      <c r="AH173" s="62" t="str">
        <f t="shared" si="56"/>
        <v>East End Road Runners</v>
      </c>
      <c r="AI173" s="62" t="str">
        <f>IF(AND(J173="M", AH173&lt;&gt;"U/A",AE173=Prizewinners!$J$1),AF173,"")</f>
        <v/>
      </c>
      <c r="AJ173" s="58">
        <f>IF(AND(J173="F",  AH173&lt;&gt;"U/A",AE173=Prizewinners!$J$16),AF173,"")</f>
        <v>91</v>
      </c>
      <c r="AK173" s="58" t="str">
        <f t="shared" si="57"/>
        <v/>
      </c>
      <c r="AL173" s="58">
        <f t="shared" si="58"/>
        <v>7</v>
      </c>
      <c r="AM173" s="58" t="str">
        <f t="shared" si="59"/>
        <v>FEast End Road Runners3</v>
      </c>
      <c r="AN173" s="58" t="str">
        <f t="shared" si="60"/>
        <v>Megan Davies</v>
      </c>
      <c r="AO173" s="58" t="str">
        <f t="shared" si="61"/>
        <v>Sarah Bemand</v>
      </c>
      <c r="AP173" s="58" t="str">
        <f t="shared" si="62"/>
        <v>Catherine Jane Apps</v>
      </c>
      <c r="AQ173" s="58" t="str">
        <f t="shared" si="63"/>
        <v>Catherine Jane Apps</v>
      </c>
    </row>
    <row r="174" spans="1:43" x14ac:dyDescent="0.25">
      <c r="A174" s="12" t="str">
        <f t="shared" si="49"/>
        <v>VM50,22</v>
      </c>
      <c r="B174" s="12" t="str">
        <f t="shared" si="50"/>
        <v>M,135</v>
      </c>
      <c r="C174" s="11">
        <f t="shared" si="71"/>
        <v>173</v>
      </c>
      <c r="D174" s="171">
        <v>439</v>
      </c>
      <c r="E174" s="12">
        <f t="shared" si="48"/>
        <v>1</v>
      </c>
      <c r="F174" s="12">
        <f>COUNTIF(H$2:H174,H174)</f>
        <v>22</v>
      </c>
      <c r="G174" s="12">
        <f>COUNTIF(J$2:J174,J174)</f>
        <v>135</v>
      </c>
      <c r="H174" s="12" t="str">
        <f t="shared" si="64"/>
        <v>VM50</v>
      </c>
      <c r="I174" s="50" t="str">
        <f t="shared" si="65"/>
        <v>VM50</v>
      </c>
      <c r="J174" s="50" t="str">
        <f t="shared" si="66"/>
        <v>M</v>
      </c>
      <c r="K174" s="64" t="str">
        <f t="shared" si="67"/>
        <v>Brynley Giddings</v>
      </c>
      <c r="L174" s="64" t="str">
        <f t="shared" si="68"/>
        <v>Harold Wood Running Club</v>
      </c>
      <c r="M174" s="171">
        <v>0</v>
      </c>
      <c r="N174" s="178">
        <v>24</v>
      </c>
      <c r="O174" s="178">
        <v>51</v>
      </c>
      <c r="P174" s="138">
        <f t="shared" si="51"/>
        <v>0</v>
      </c>
      <c r="Q174" s="137">
        <f t="shared" si="52"/>
        <v>24</v>
      </c>
      <c r="R174" s="143"/>
      <c r="S174" s="143"/>
      <c r="T174" s="143"/>
      <c r="U174" s="144"/>
      <c r="V174" s="144"/>
      <c r="W174" s="144"/>
      <c r="X174" s="145"/>
      <c r="Y174" s="152" t="str">
        <f t="shared" si="53"/>
        <v xml:space="preserve">   24.51 </v>
      </c>
      <c r="Z174" s="136"/>
      <c r="AA174" s="50">
        <f t="shared" si="69"/>
        <v>56</v>
      </c>
      <c r="AB174" s="129">
        <f t="shared" si="70"/>
        <v>22737</v>
      </c>
      <c r="AC174" s="58" t="str">
        <f t="shared" si="54"/>
        <v/>
      </c>
      <c r="AD174" s="58" t="str">
        <f t="shared" si="55"/>
        <v>MHarold Wood Running Club</v>
      </c>
      <c r="AE174" s="60">
        <f>IF(AD174="","",COUNTIF($AD$2:AD174,AD174))</f>
        <v>7</v>
      </c>
      <c r="AF174" s="62">
        <f>IF(AD174="","",SUMIF(AD$2:AD174,AD174,G$2:G174))</f>
        <v>461</v>
      </c>
      <c r="AG174" s="62" t="str">
        <f>IF(AK174&lt;&gt;"",COUNTIF($AK$1:AK173,AK174)+AK174,IF(AL174&lt;&gt;"",COUNTIF($AL$1:AL173,AL174)+AL174,""))</f>
        <v/>
      </c>
      <c r="AH174" s="62" t="str">
        <f t="shared" si="56"/>
        <v>Harold Wood Running Club</v>
      </c>
      <c r="AI174" s="62" t="str">
        <f>IF(AND(J174="M", AH174&lt;&gt;"U/A",AE174=Prizewinners!$J$1),AF174,"")</f>
        <v/>
      </c>
      <c r="AJ174" s="58" t="str">
        <f>IF(AND(J174="F",  AH174&lt;&gt;"U/A",AE174=Prizewinners!$J$16),AF174,"")</f>
        <v/>
      </c>
      <c r="AK174" s="58" t="str">
        <f t="shared" si="57"/>
        <v/>
      </c>
      <c r="AL174" s="58" t="str">
        <f t="shared" si="58"/>
        <v/>
      </c>
      <c r="AM174" s="58" t="str">
        <f t="shared" si="59"/>
        <v>MHarold Wood Running Club7</v>
      </c>
      <c r="AN174" s="58" t="str">
        <f t="shared" si="60"/>
        <v/>
      </c>
      <c r="AO174" s="58" t="str">
        <f t="shared" si="61"/>
        <v/>
      </c>
      <c r="AP174" s="58" t="str">
        <f t="shared" si="62"/>
        <v/>
      </c>
      <c r="AQ174" s="58" t="str">
        <f t="shared" si="63"/>
        <v>Brynley Giddings</v>
      </c>
    </row>
    <row r="175" spans="1:43" x14ac:dyDescent="0.25">
      <c r="A175" s="12" t="str">
        <f t="shared" si="49"/>
        <v>VM50,23</v>
      </c>
      <c r="B175" s="12" t="str">
        <f t="shared" si="50"/>
        <v>M,136</v>
      </c>
      <c r="C175" s="11">
        <f t="shared" si="71"/>
        <v>174</v>
      </c>
      <c r="D175" s="171">
        <v>449</v>
      </c>
      <c r="E175" s="12">
        <f t="shared" si="48"/>
        <v>1</v>
      </c>
      <c r="F175" s="12">
        <f>COUNTIF(H$2:H175,H175)</f>
        <v>23</v>
      </c>
      <c r="G175" s="12">
        <f>COUNTIF(J$2:J175,J175)</f>
        <v>136</v>
      </c>
      <c r="H175" s="12" t="str">
        <f t="shared" si="64"/>
        <v>VM50</v>
      </c>
      <c r="I175" s="50" t="str">
        <f t="shared" si="65"/>
        <v>VM50</v>
      </c>
      <c r="J175" s="50" t="str">
        <f t="shared" si="66"/>
        <v>M</v>
      </c>
      <c r="K175" s="64" t="str">
        <f t="shared" si="67"/>
        <v>Dhurmendra Mistry</v>
      </c>
      <c r="L175" s="64" t="str">
        <f t="shared" si="68"/>
        <v>Orion Harriers</v>
      </c>
      <c r="M175" s="171">
        <v>0</v>
      </c>
      <c r="N175" s="178">
        <v>24</v>
      </c>
      <c r="O175" s="178">
        <v>53</v>
      </c>
      <c r="P175" s="138">
        <f t="shared" si="51"/>
        <v>0</v>
      </c>
      <c r="Q175" s="137">
        <f t="shared" si="52"/>
        <v>24</v>
      </c>
      <c r="R175" s="143"/>
      <c r="S175" s="143"/>
      <c r="T175" s="143"/>
      <c r="U175" s="144"/>
      <c r="V175" s="144"/>
      <c r="W175" s="144"/>
      <c r="X175" s="145"/>
      <c r="Y175" s="152" t="str">
        <f t="shared" si="53"/>
        <v xml:space="preserve">   24.53 </v>
      </c>
      <c r="Z175" s="136"/>
      <c r="AA175" s="50">
        <f t="shared" si="69"/>
        <v>52</v>
      </c>
      <c r="AB175" s="129">
        <f t="shared" si="70"/>
        <v>24046</v>
      </c>
      <c r="AC175" s="58" t="str">
        <f t="shared" si="54"/>
        <v/>
      </c>
      <c r="AD175" s="58" t="str">
        <f t="shared" si="55"/>
        <v>MOrion Harriers</v>
      </c>
      <c r="AE175" s="60">
        <f>IF(AD175="","",COUNTIF($AD$2:AD175,AD175))</f>
        <v>13</v>
      </c>
      <c r="AF175" s="62">
        <f>IF(AD175="","",SUMIF(AD$2:AD175,AD175,G$2:G175))</f>
        <v>1150</v>
      </c>
      <c r="AG175" s="62" t="str">
        <f>IF(AK175&lt;&gt;"",COUNTIF($AK$1:AK174,AK175)+AK175,IF(AL175&lt;&gt;"",COUNTIF($AL$1:AL174,AL175)+AL175,""))</f>
        <v/>
      </c>
      <c r="AH175" s="62" t="str">
        <f t="shared" si="56"/>
        <v>Orion Harriers</v>
      </c>
      <c r="AI175" s="62" t="str">
        <f>IF(AND(J175="M", AH175&lt;&gt;"U/A",AE175=Prizewinners!$J$1),AF175,"")</f>
        <v/>
      </c>
      <c r="AJ175" s="58" t="str">
        <f>IF(AND(J175="F",  AH175&lt;&gt;"U/A",AE175=Prizewinners!$J$16),AF175,"")</f>
        <v/>
      </c>
      <c r="AK175" s="58" t="str">
        <f t="shared" si="57"/>
        <v/>
      </c>
      <c r="AL175" s="58" t="str">
        <f t="shared" si="58"/>
        <v/>
      </c>
      <c r="AM175" s="58" t="str">
        <f t="shared" si="59"/>
        <v>MOrion Harriers13</v>
      </c>
      <c r="AN175" s="58" t="str">
        <f t="shared" si="60"/>
        <v/>
      </c>
      <c r="AO175" s="58" t="str">
        <f t="shared" si="61"/>
        <v/>
      </c>
      <c r="AP175" s="58" t="str">
        <f t="shared" si="62"/>
        <v/>
      </c>
      <c r="AQ175" s="58" t="str">
        <f t="shared" si="63"/>
        <v>Dhurmendra Mistry</v>
      </c>
    </row>
    <row r="176" spans="1:43" x14ac:dyDescent="0.25">
      <c r="A176" s="12" t="str">
        <f t="shared" si="49"/>
        <v>VM50,24</v>
      </c>
      <c r="B176" s="12" t="str">
        <f t="shared" si="50"/>
        <v>M,137</v>
      </c>
      <c r="C176" s="11">
        <f t="shared" si="71"/>
        <v>175</v>
      </c>
      <c r="D176" s="171">
        <v>489</v>
      </c>
      <c r="E176" s="12">
        <f t="shared" si="48"/>
        <v>1</v>
      </c>
      <c r="F176" s="12">
        <f>COUNTIF(H$2:H176,H176)</f>
        <v>24</v>
      </c>
      <c r="G176" s="12">
        <f>COUNTIF(J$2:J176,J176)</f>
        <v>137</v>
      </c>
      <c r="H176" s="12" t="str">
        <f t="shared" si="64"/>
        <v>VM50</v>
      </c>
      <c r="I176" s="50" t="str">
        <f t="shared" si="65"/>
        <v>VM50</v>
      </c>
      <c r="J176" s="50" t="str">
        <f t="shared" si="66"/>
        <v>M</v>
      </c>
      <c r="K176" s="64" t="str">
        <f t="shared" si="67"/>
        <v>Darren Radford</v>
      </c>
      <c r="L176" s="64" t="str">
        <f t="shared" si="68"/>
        <v>Havering 90 Joggers</v>
      </c>
      <c r="M176" s="171">
        <v>0</v>
      </c>
      <c r="N176" s="178">
        <v>24</v>
      </c>
      <c r="O176" s="178">
        <v>59</v>
      </c>
      <c r="P176" s="138">
        <f t="shared" si="51"/>
        <v>0</v>
      </c>
      <c r="Q176" s="137">
        <f t="shared" si="52"/>
        <v>24</v>
      </c>
      <c r="R176" s="143"/>
      <c r="S176" s="143"/>
      <c r="T176" s="143"/>
      <c r="U176" s="144"/>
      <c r="V176" s="144"/>
      <c r="W176" s="144"/>
      <c r="X176" s="145"/>
      <c r="Y176" s="152" t="str">
        <f t="shared" si="53"/>
        <v xml:space="preserve">   24.59 </v>
      </c>
      <c r="Z176" s="136"/>
      <c r="AA176" s="50">
        <f t="shared" si="69"/>
        <v>55</v>
      </c>
      <c r="AB176" s="129">
        <f t="shared" si="70"/>
        <v>23242</v>
      </c>
      <c r="AC176" s="58" t="str">
        <f t="shared" si="54"/>
        <v/>
      </c>
      <c r="AD176" s="58" t="str">
        <f t="shared" si="55"/>
        <v>MHavering 90 Joggers</v>
      </c>
      <c r="AE176" s="60">
        <f>IF(AD176="","",COUNTIF($AD$2:AD176,AD176))</f>
        <v>8</v>
      </c>
      <c r="AF176" s="62">
        <f>IF(AD176="","",SUMIF(AD$2:AD176,AD176,G$2:G176))</f>
        <v>770</v>
      </c>
      <c r="AG176" s="62" t="str">
        <f>IF(AK176&lt;&gt;"",COUNTIF($AK$1:AK175,AK176)+AK176,IF(AL176&lt;&gt;"",COUNTIF($AL$1:AL175,AL176)+AL176,""))</f>
        <v/>
      </c>
      <c r="AH176" s="62" t="str">
        <f t="shared" si="56"/>
        <v>Havering 90 Joggers</v>
      </c>
      <c r="AI176" s="62" t="str">
        <f>IF(AND(J176="M", AH176&lt;&gt;"U/A",AE176=Prizewinners!$J$1),AF176,"")</f>
        <v/>
      </c>
      <c r="AJ176" s="58" t="str">
        <f>IF(AND(J176="F",  AH176&lt;&gt;"U/A",AE176=Prizewinners!$J$16),AF176,"")</f>
        <v/>
      </c>
      <c r="AK176" s="58" t="str">
        <f t="shared" si="57"/>
        <v/>
      </c>
      <c r="AL176" s="58" t="str">
        <f t="shared" si="58"/>
        <v/>
      </c>
      <c r="AM176" s="58" t="str">
        <f t="shared" si="59"/>
        <v>MHavering 90 Joggers8</v>
      </c>
      <c r="AN176" s="58" t="str">
        <f t="shared" si="60"/>
        <v/>
      </c>
      <c r="AO176" s="58" t="str">
        <f t="shared" si="61"/>
        <v/>
      </c>
      <c r="AP176" s="58" t="str">
        <f t="shared" si="62"/>
        <v/>
      </c>
      <c r="AQ176" s="58" t="str">
        <f t="shared" si="63"/>
        <v>Darren Radford</v>
      </c>
    </row>
    <row r="177" spans="1:43" x14ac:dyDescent="0.25">
      <c r="A177" s="12" t="str">
        <f t="shared" si="49"/>
        <v>VM40,42</v>
      </c>
      <c r="B177" s="12" t="str">
        <f t="shared" si="50"/>
        <v>M,138</v>
      </c>
      <c r="C177" s="11">
        <f t="shared" si="71"/>
        <v>176</v>
      </c>
      <c r="D177" s="171">
        <v>67</v>
      </c>
      <c r="E177" s="12">
        <f t="shared" si="48"/>
        <v>1</v>
      </c>
      <c r="F177" s="12">
        <f>COUNTIF(H$2:H177,H177)</f>
        <v>42</v>
      </c>
      <c r="G177" s="12">
        <f>COUNTIF(J$2:J177,J177)</f>
        <v>138</v>
      </c>
      <c r="H177" s="12" t="str">
        <f t="shared" si="64"/>
        <v>VM40</v>
      </c>
      <c r="I177" s="50" t="str">
        <f t="shared" si="65"/>
        <v>VM40</v>
      </c>
      <c r="J177" s="50" t="str">
        <f t="shared" si="66"/>
        <v>M</v>
      </c>
      <c r="K177" s="64" t="str">
        <f t="shared" si="67"/>
        <v>Paul Dennis</v>
      </c>
      <c r="L177" s="64" t="str">
        <f t="shared" si="68"/>
        <v>East End Road Runners</v>
      </c>
      <c r="M177" s="171">
        <v>0</v>
      </c>
      <c r="N177" s="178">
        <v>25</v>
      </c>
      <c r="O177" s="178">
        <v>0</v>
      </c>
      <c r="P177" s="138">
        <f t="shared" si="51"/>
        <v>0</v>
      </c>
      <c r="Q177" s="137">
        <f t="shared" si="52"/>
        <v>25</v>
      </c>
      <c r="R177" s="143"/>
      <c r="S177" s="143"/>
      <c r="T177" s="143"/>
      <c r="U177" s="144"/>
      <c r="V177" s="144"/>
      <c r="W177" s="144"/>
      <c r="X177" s="145"/>
      <c r="Y177" s="152" t="str">
        <f t="shared" si="53"/>
        <v xml:space="preserve">   25.00 </v>
      </c>
      <c r="Z177" s="136"/>
      <c r="AA177" s="50">
        <f t="shared" si="69"/>
        <v>49</v>
      </c>
      <c r="AB177" s="129">
        <f t="shared" si="70"/>
        <v>25325</v>
      </c>
      <c r="AC177" s="58" t="str">
        <f t="shared" si="54"/>
        <v/>
      </c>
      <c r="AD177" s="58" t="str">
        <f t="shared" si="55"/>
        <v>MEast End Road Runners</v>
      </c>
      <c r="AE177" s="60">
        <f>IF(AD177="","",COUNTIF($AD$2:AD177,AD177))</f>
        <v>13</v>
      </c>
      <c r="AF177" s="62">
        <f>IF(AD177="","",SUMIF(AD$2:AD177,AD177,G$2:G177))</f>
        <v>1113</v>
      </c>
      <c r="AG177" s="62" t="str">
        <f>IF(AK177&lt;&gt;"",COUNTIF($AK$1:AK176,AK177)+AK177,IF(AL177&lt;&gt;"",COUNTIF($AL$1:AL176,AL177)+AL177,""))</f>
        <v/>
      </c>
      <c r="AH177" s="62" t="str">
        <f t="shared" si="56"/>
        <v>East End Road Runners</v>
      </c>
      <c r="AI177" s="62" t="str">
        <f>IF(AND(J177="M", AH177&lt;&gt;"U/A",AE177=Prizewinners!$J$1),AF177,"")</f>
        <v/>
      </c>
      <c r="AJ177" s="58" t="str">
        <f>IF(AND(J177="F",  AH177&lt;&gt;"U/A",AE177=Prizewinners!$J$16),AF177,"")</f>
        <v/>
      </c>
      <c r="AK177" s="58" t="str">
        <f t="shared" si="57"/>
        <v/>
      </c>
      <c r="AL177" s="58" t="str">
        <f t="shared" si="58"/>
        <v/>
      </c>
      <c r="AM177" s="58" t="str">
        <f t="shared" si="59"/>
        <v>MEast End Road Runners13</v>
      </c>
      <c r="AN177" s="58" t="str">
        <f t="shared" si="60"/>
        <v/>
      </c>
      <c r="AO177" s="58" t="str">
        <f t="shared" si="61"/>
        <v/>
      </c>
      <c r="AP177" s="58" t="str">
        <f t="shared" si="62"/>
        <v/>
      </c>
      <c r="AQ177" s="58" t="str">
        <f t="shared" si="63"/>
        <v>Paul Dennis</v>
      </c>
    </row>
    <row r="178" spans="1:43" x14ac:dyDescent="0.25">
      <c r="A178" s="12" t="str">
        <f t="shared" si="49"/>
        <v>VM40,43</v>
      </c>
      <c r="B178" s="12" t="str">
        <f t="shared" si="50"/>
        <v>M,139</v>
      </c>
      <c r="C178" s="11">
        <f t="shared" si="71"/>
        <v>177</v>
      </c>
      <c r="D178" s="171">
        <v>94</v>
      </c>
      <c r="E178" s="12">
        <f t="shared" si="48"/>
        <v>1</v>
      </c>
      <c r="F178" s="12">
        <f>COUNTIF(H$2:H178,H178)</f>
        <v>43</v>
      </c>
      <c r="G178" s="12">
        <f>COUNTIF(J$2:J178,J178)</f>
        <v>139</v>
      </c>
      <c r="H178" s="12" t="str">
        <f t="shared" si="64"/>
        <v>VM40</v>
      </c>
      <c r="I178" s="50" t="str">
        <f t="shared" si="65"/>
        <v>VM40</v>
      </c>
      <c r="J178" s="50" t="str">
        <f t="shared" si="66"/>
        <v>M</v>
      </c>
      <c r="K178" s="64" t="str">
        <f t="shared" si="67"/>
        <v>Michael Newman</v>
      </c>
      <c r="L178" s="64" t="str">
        <f t="shared" si="68"/>
        <v>Drax All Stars</v>
      </c>
      <c r="M178" s="171">
        <v>0</v>
      </c>
      <c r="N178" s="178">
        <v>25</v>
      </c>
      <c r="O178" s="178">
        <v>1</v>
      </c>
      <c r="P178" s="138">
        <f t="shared" si="51"/>
        <v>0</v>
      </c>
      <c r="Q178" s="137">
        <f t="shared" si="52"/>
        <v>25</v>
      </c>
      <c r="R178" s="143"/>
      <c r="S178" s="143"/>
      <c r="T178" s="143"/>
      <c r="U178" s="144"/>
      <c r="V178" s="144"/>
      <c r="W178" s="144"/>
      <c r="X178" s="145"/>
      <c r="Y178" s="152" t="str">
        <f t="shared" si="53"/>
        <v xml:space="preserve">   25.01 </v>
      </c>
      <c r="Z178" s="136"/>
      <c r="AA178" s="50">
        <f t="shared" si="69"/>
        <v>46</v>
      </c>
      <c r="AB178" s="129">
        <f t="shared" si="70"/>
        <v>26310</v>
      </c>
      <c r="AC178" s="58" t="str">
        <f t="shared" si="54"/>
        <v/>
      </c>
      <c r="AD178" s="58" t="str">
        <f t="shared" si="55"/>
        <v>MDrax All Stars</v>
      </c>
      <c r="AE178" s="60">
        <f>IF(AD178="","",COUNTIF($AD$2:AD178,AD178))</f>
        <v>2</v>
      </c>
      <c r="AF178" s="62">
        <f>IF(AD178="","",SUMIF(AD$2:AD178,AD178,G$2:G178))</f>
        <v>233</v>
      </c>
      <c r="AG178" s="62" t="str">
        <f>IF(AK178&lt;&gt;"",COUNTIF($AK$1:AK177,AK178)+AK178,IF(AL178&lt;&gt;"",COUNTIF($AL$1:AL177,AL178)+AL178,""))</f>
        <v/>
      </c>
      <c r="AH178" s="62" t="str">
        <f t="shared" si="56"/>
        <v>Drax All Stars</v>
      </c>
      <c r="AI178" s="62" t="str">
        <f>IF(AND(J178="M", AH178&lt;&gt;"U/A",AE178=Prizewinners!$J$1),AF178,"")</f>
        <v/>
      </c>
      <c r="AJ178" s="58" t="str">
        <f>IF(AND(J178="F",  AH178&lt;&gt;"U/A",AE178=Prizewinners!$J$16),AF178,"")</f>
        <v/>
      </c>
      <c r="AK178" s="58" t="str">
        <f t="shared" si="57"/>
        <v/>
      </c>
      <c r="AL178" s="58" t="str">
        <f t="shared" si="58"/>
        <v/>
      </c>
      <c r="AM178" s="58" t="str">
        <f t="shared" si="59"/>
        <v>MDrax All Stars2</v>
      </c>
      <c r="AN178" s="58" t="str">
        <f t="shared" si="60"/>
        <v/>
      </c>
      <c r="AO178" s="58" t="str">
        <f t="shared" si="61"/>
        <v/>
      </c>
      <c r="AP178" s="58" t="str">
        <f t="shared" si="62"/>
        <v/>
      </c>
      <c r="AQ178" s="58" t="str">
        <f t="shared" si="63"/>
        <v>Michael Newman</v>
      </c>
    </row>
    <row r="179" spans="1:43" x14ac:dyDescent="0.25">
      <c r="A179" s="12" t="str">
        <f t="shared" si="49"/>
        <v>VF35,12</v>
      </c>
      <c r="B179" s="12" t="str">
        <f t="shared" si="50"/>
        <v>F,39</v>
      </c>
      <c r="C179" s="11">
        <f t="shared" si="71"/>
        <v>178</v>
      </c>
      <c r="D179" s="171">
        <v>85</v>
      </c>
      <c r="E179" s="12">
        <f t="shared" si="48"/>
        <v>1</v>
      </c>
      <c r="F179" s="12">
        <f>COUNTIF(H$2:H179,H179)</f>
        <v>12</v>
      </c>
      <c r="G179" s="12">
        <f>COUNTIF(J$2:J179,J179)</f>
        <v>39</v>
      </c>
      <c r="H179" s="12" t="str">
        <f t="shared" si="64"/>
        <v>VF35</v>
      </c>
      <c r="I179" s="50" t="str">
        <f t="shared" si="65"/>
        <v>VF35</v>
      </c>
      <c r="J179" s="50" t="str">
        <f t="shared" si="66"/>
        <v>F</v>
      </c>
      <c r="K179" s="64" t="str">
        <f t="shared" si="67"/>
        <v>Rachel Le Roux</v>
      </c>
      <c r="L179" s="64" t="str">
        <f t="shared" si="68"/>
        <v>East London Runners</v>
      </c>
      <c r="M179" s="171">
        <v>0</v>
      </c>
      <c r="N179" s="178">
        <v>25</v>
      </c>
      <c r="O179" s="178">
        <v>4</v>
      </c>
      <c r="P179" s="138">
        <f t="shared" si="51"/>
        <v>0</v>
      </c>
      <c r="Q179" s="137">
        <f t="shared" si="52"/>
        <v>25</v>
      </c>
      <c r="R179" s="143"/>
      <c r="S179" s="143"/>
      <c r="T179" s="143"/>
      <c r="U179" s="144"/>
      <c r="V179" s="144"/>
      <c r="W179" s="144"/>
      <c r="X179" s="145"/>
      <c r="Y179" s="152" t="str">
        <f t="shared" si="53"/>
        <v xml:space="preserve">   25.04 </v>
      </c>
      <c r="Z179" s="136"/>
      <c r="AA179" s="50">
        <f t="shared" si="69"/>
        <v>36</v>
      </c>
      <c r="AB179" s="129">
        <f t="shared" si="70"/>
        <v>29936</v>
      </c>
      <c r="AC179" s="58" t="str">
        <f t="shared" si="54"/>
        <v/>
      </c>
      <c r="AD179" s="58" t="str">
        <f t="shared" si="55"/>
        <v>FEast London Runners</v>
      </c>
      <c r="AE179" s="60">
        <f>IF(AD179="","",COUNTIF($AD$2:AD179,AD179))</f>
        <v>9</v>
      </c>
      <c r="AF179" s="62">
        <f>IF(AD179="","",SUMIF(AD$2:AD179,AD179,G$2:G179))</f>
        <v>171</v>
      </c>
      <c r="AG179" s="62" t="str">
        <f>IF(AK179&lt;&gt;"",COUNTIF($AK$1:AK178,AK179)+AK179,IF(AL179&lt;&gt;"",COUNTIF($AL$1:AL178,AL179)+AL179,""))</f>
        <v/>
      </c>
      <c r="AH179" s="62" t="str">
        <f t="shared" si="56"/>
        <v>East London Runners</v>
      </c>
      <c r="AI179" s="62" t="str">
        <f>IF(AND(J179="M", AH179&lt;&gt;"U/A",AE179=Prizewinners!$J$1),AF179,"")</f>
        <v/>
      </c>
      <c r="AJ179" s="58" t="str">
        <f>IF(AND(J179="F",  AH179&lt;&gt;"U/A",AE179=Prizewinners!$J$16),AF179,"")</f>
        <v/>
      </c>
      <c r="AK179" s="58" t="str">
        <f t="shared" si="57"/>
        <v/>
      </c>
      <c r="AL179" s="58" t="str">
        <f t="shared" si="58"/>
        <v/>
      </c>
      <c r="AM179" s="58" t="str">
        <f t="shared" si="59"/>
        <v>FEast London Runners9</v>
      </c>
      <c r="AN179" s="58" t="str">
        <f t="shared" si="60"/>
        <v/>
      </c>
      <c r="AO179" s="58" t="str">
        <f t="shared" si="61"/>
        <v/>
      </c>
      <c r="AP179" s="58" t="str">
        <f t="shared" si="62"/>
        <v/>
      </c>
      <c r="AQ179" s="58" t="str">
        <f t="shared" si="63"/>
        <v>Rachel Le Roux</v>
      </c>
    </row>
    <row r="180" spans="1:43" x14ac:dyDescent="0.25">
      <c r="A180" s="12" t="str">
        <f t="shared" si="49"/>
        <v>VM40,44</v>
      </c>
      <c r="B180" s="12" t="str">
        <f t="shared" si="50"/>
        <v>M,140</v>
      </c>
      <c r="C180" s="11">
        <f t="shared" si="71"/>
        <v>179</v>
      </c>
      <c r="D180" s="171">
        <v>21</v>
      </c>
      <c r="E180" s="12">
        <f t="shared" si="48"/>
        <v>1</v>
      </c>
      <c r="F180" s="12">
        <f>COUNTIF(H$2:H180,H180)</f>
        <v>44</v>
      </c>
      <c r="G180" s="12">
        <f>COUNTIF(J$2:J180,J180)</f>
        <v>140</v>
      </c>
      <c r="H180" s="12" t="str">
        <f t="shared" si="64"/>
        <v>VM40</v>
      </c>
      <c r="I180" s="50" t="str">
        <f t="shared" si="65"/>
        <v>VM40</v>
      </c>
      <c r="J180" s="50" t="str">
        <f t="shared" si="66"/>
        <v>M</v>
      </c>
      <c r="K180" s="64" t="str">
        <f t="shared" si="67"/>
        <v>Samir Younsi</v>
      </c>
      <c r="L180" s="64" t="str">
        <f t="shared" si="68"/>
        <v>East London Runners</v>
      </c>
      <c r="M180" s="171">
        <v>0</v>
      </c>
      <c r="N180" s="178">
        <v>25</v>
      </c>
      <c r="O180" s="178">
        <v>4</v>
      </c>
      <c r="P180" s="138">
        <f t="shared" si="51"/>
        <v>0</v>
      </c>
      <c r="Q180" s="137">
        <f t="shared" si="52"/>
        <v>25</v>
      </c>
      <c r="R180" s="143"/>
      <c r="S180" s="143"/>
      <c r="T180" s="143"/>
      <c r="U180" s="144"/>
      <c r="V180" s="144"/>
      <c r="W180" s="144"/>
      <c r="X180" s="145"/>
      <c r="Y180" s="152" t="str">
        <f t="shared" si="53"/>
        <v xml:space="preserve">   25.04 </v>
      </c>
      <c r="Z180" s="136"/>
      <c r="AA180" s="50">
        <f t="shared" si="69"/>
        <v>44</v>
      </c>
      <c r="AB180" s="129">
        <f t="shared" si="70"/>
        <v>27195</v>
      </c>
      <c r="AC180" s="58" t="str">
        <f t="shared" si="54"/>
        <v/>
      </c>
      <c r="AD180" s="58" t="str">
        <f t="shared" si="55"/>
        <v>MEast London Runners</v>
      </c>
      <c r="AE180" s="60">
        <f>IF(AD180="","",COUNTIF($AD$2:AD180,AD180))</f>
        <v>44</v>
      </c>
      <c r="AF180" s="62">
        <f>IF(AD180="","",SUMIF(AD$2:AD180,AD180,G$2:G180))</f>
        <v>2859</v>
      </c>
      <c r="AG180" s="62" t="str">
        <f>IF(AK180&lt;&gt;"",COUNTIF($AK$1:AK179,AK180)+AK180,IF(AL180&lt;&gt;"",COUNTIF($AL$1:AL179,AL180)+AL180,""))</f>
        <v/>
      </c>
      <c r="AH180" s="62" t="str">
        <f t="shared" si="56"/>
        <v>East London Runners</v>
      </c>
      <c r="AI180" s="62" t="str">
        <f>IF(AND(J180="M", AH180&lt;&gt;"U/A",AE180=Prizewinners!$J$1),AF180,"")</f>
        <v/>
      </c>
      <c r="AJ180" s="58" t="str">
        <f>IF(AND(J180="F",  AH180&lt;&gt;"U/A",AE180=Prizewinners!$J$16),AF180,"")</f>
        <v/>
      </c>
      <c r="AK180" s="58" t="str">
        <f t="shared" si="57"/>
        <v/>
      </c>
      <c r="AL180" s="58" t="str">
        <f t="shared" si="58"/>
        <v/>
      </c>
      <c r="AM180" s="58" t="str">
        <f t="shared" si="59"/>
        <v>MEast London Runners44</v>
      </c>
      <c r="AN180" s="58" t="str">
        <f t="shared" si="60"/>
        <v/>
      </c>
      <c r="AO180" s="58" t="str">
        <f t="shared" si="61"/>
        <v/>
      </c>
      <c r="AP180" s="58" t="str">
        <f t="shared" si="62"/>
        <v/>
      </c>
      <c r="AQ180" s="58" t="str">
        <f t="shared" si="63"/>
        <v>Samir Younsi</v>
      </c>
    </row>
    <row r="181" spans="1:43" x14ac:dyDescent="0.25">
      <c r="A181" s="12" t="str">
        <f t="shared" si="49"/>
        <v>VF35,13</v>
      </c>
      <c r="B181" s="12" t="str">
        <f t="shared" si="50"/>
        <v>F,40</v>
      </c>
      <c r="C181" s="11">
        <f t="shared" si="71"/>
        <v>180</v>
      </c>
      <c r="D181" s="171">
        <v>418</v>
      </c>
      <c r="E181" s="12">
        <f t="shared" si="48"/>
        <v>1</v>
      </c>
      <c r="F181" s="12">
        <f>COUNTIF(H$2:H181,H181)</f>
        <v>13</v>
      </c>
      <c r="G181" s="12">
        <f>COUNTIF(J$2:J181,J181)</f>
        <v>40</v>
      </c>
      <c r="H181" s="12" t="str">
        <f t="shared" si="64"/>
        <v>VF35</v>
      </c>
      <c r="I181" s="50" t="str">
        <f t="shared" si="65"/>
        <v>VF35</v>
      </c>
      <c r="J181" s="50" t="str">
        <f t="shared" si="66"/>
        <v>F</v>
      </c>
      <c r="K181" s="64" t="str">
        <f t="shared" si="67"/>
        <v>Janine durrant</v>
      </c>
      <c r="L181" s="64" t="str">
        <f t="shared" si="68"/>
        <v>Eton Manor AC</v>
      </c>
      <c r="M181" s="171">
        <v>0</v>
      </c>
      <c r="N181" s="178">
        <v>25</v>
      </c>
      <c r="O181" s="178">
        <v>5</v>
      </c>
      <c r="P181" s="138">
        <f t="shared" si="51"/>
        <v>0</v>
      </c>
      <c r="Q181" s="137">
        <f t="shared" si="52"/>
        <v>25</v>
      </c>
      <c r="R181" s="143"/>
      <c r="S181" s="143"/>
      <c r="T181" s="143"/>
      <c r="U181" s="144"/>
      <c r="V181" s="144"/>
      <c r="W181" s="144"/>
      <c r="X181" s="145"/>
      <c r="Y181" s="152" t="str">
        <f t="shared" si="53"/>
        <v xml:space="preserve">   25.05 </v>
      </c>
      <c r="Z181" s="136"/>
      <c r="AA181" s="50">
        <f t="shared" si="69"/>
        <v>43</v>
      </c>
      <c r="AB181" s="129">
        <f t="shared" si="70"/>
        <v>27551</v>
      </c>
      <c r="AC181" s="58" t="str">
        <f t="shared" si="54"/>
        <v/>
      </c>
      <c r="AD181" s="58" t="str">
        <f t="shared" si="55"/>
        <v>FEton Manor AC</v>
      </c>
      <c r="AE181" s="60">
        <f>IF(AD181="","",COUNTIF($AD$2:AD181,AD181))</f>
        <v>7</v>
      </c>
      <c r="AF181" s="62">
        <f>IF(AD181="","",SUMIF(AD$2:AD181,AD181,G$2:G181))</f>
        <v>164</v>
      </c>
      <c r="AG181" s="62" t="str">
        <f>IF(AK181&lt;&gt;"",COUNTIF($AK$1:AK180,AK181)+AK181,IF(AL181&lt;&gt;"",COUNTIF($AL$1:AL180,AL181)+AL181,""))</f>
        <v/>
      </c>
      <c r="AH181" s="62" t="str">
        <f t="shared" si="56"/>
        <v>Eton Manor AC</v>
      </c>
      <c r="AI181" s="62" t="str">
        <f>IF(AND(J181="M", AH181&lt;&gt;"U/A",AE181=Prizewinners!$J$1),AF181,"")</f>
        <v/>
      </c>
      <c r="AJ181" s="58" t="str">
        <f>IF(AND(J181="F",  AH181&lt;&gt;"U/A",AE181=Prizewinners!$J$16),AF181,"")</f>
        <v/>
      </c>
      <c r="AK181" s="58" t="str">
        <f t="shared" si="57"/>
        <v/>
      </c>
      <c r="AL181" s="58" t="str">
        <f t="shared" si="58"/>
        <v/>
      </c>
      <c r="AM181" s="58" t="str">
        <f t="shared" si="59"/>
        <v>FEton Manor AC7</v>
      </c>
      <c r="AN181" s="58" t="str">
        <f t="shared" si="60"/>
        <v/>
      </c>
      <c r="AO181" s="58" t="str">
        <f t="shared" si="61"/>
        <v/>
      </c>
      <c r="AP181" s="58" t="str">
        <f t="shared" si="62"/>
        <v/>
      </c>
      <c r="AQ181" s="58" t="str">
        <f t="shared" si="63"/>
        <v>Janine durrant</v>
      </c>
    </row>
    <row r="182" spans="1:43" x14ac:dyDescent="0.25">
      <c r="A182" s="12" t="str">
        <f t="shared" si="49"/>
        <v>VF45,9</v>
      </c>
      <c r="B182" s="12" t="str">
        <f t="shared" si="50"/>
        <v>F,41</v>
      </c>
      <c r="C182" s="11">
        <f t="shared" si="71"/>
        <v>181</v>
      </c>
      <c r="D182" s="171">
        <v>105</v>
      </c>
      <c r="E182" s="12">
        <f t="shared" si="48"/>
        <v>1</v>
      </c>
      <c r="F182" s="12">
        <f>COUNTIF(H$2:H182,H182)</f>
        <v>9</v>
      </c>
      <c r="G182" s="12">
        <f>COUNTIF(J$2:J182,J182)</f>
        <v>41</v>
      </c>
      <c r="H182" s="12" t="str">
        <f t="shared" si="64"/>
        <v>VF45</v>
      </c>
      <c r="I182" s="50" t="str">
        <f t="shared" si="65"/>
        <v>VF45</v>
      </c>
      <c r="J182" s="50" t="str">
        <f t="shared" si="66"/>
        <v>F</v>
      </c>
      <c r="K182" s="64" t="str">
        <f t="shared" si="67"/>
        <v>Vanessa Clyne</v>
      </c>
      <c r="L182" s="64" t="str">
        <f t="shared" si="68"/>
        <v>Orion Harriers</v>
      </c>
      <c r="M182" s="171">
        <v>0</v>
      </c>
      <c r="N182" s="178">
        <v>25</v>
      </c>
      <c r="O182" s="178">
        <v>6</v>
      </c>
      <c r="P182" s="138">
        <f t="shared" si="51"/>
        <v>0</v>
      </c>
      <c r="Q182" s="137">
        <f t="shared" si="52"/>
        <v>25</v>
      </c>
      <c r="R182" s="143"/>
      <c r="S182" s="143"/>
      <c r="T182" s="143"/>
      <c r="U182" s="144"/>
      <c r="V182" s="144"/>
      <c r="W182" s="144"/>
      <c r="X182" s="145"/>
      <c r="Y182" s="152" t="str">
        <f t="shared" si="53"/>
        <v xml:space="preserve">   25.06 </v>
      </c>
      <c r="Z182" s="136"/>
      <c r="AA182" s="50">
        <f t="shared" si="69"/>
        <v>45</v>
      </c>
      <c r="AB182" s="129">
        <f t="shared" si="70"/>
        <v>26894</v>
      </c>
      <c r="AC182" s="58" t="str">
        <f t="shared" si="54"/>
        <v/>
      </c>
      <c r="AD182" s="58" t="str">
        <f t="shared" si="55"/>
        <v>FOrion Harriers</v>
      </c>
      <c r="AE182" s="60">
        <f>IF(AD182="","",COUNTIF($AD$2:AD182,AD182))</f>
        <v>6</v>
      </c>
      <c r="AF182" s="62">
        <f>IF(AD182="","",SUMIF(AD$2:AD182,AD182,G$2:G182))</f>
        <v>137</v>
      </c>
      <c r="AG182" s="62" t="str">
        <f>IF(AK182&lt;&gt;"",COUNTIF($AK$1:AK181,AK182)+AK182,IF(AL182&lt;&gt;"",COUNTIF($AL$1:AL181,AL182)+AL182,""))</f>
        <v/>
      </c>
      <c r="AH182" s="62" t="str">
        <f t="shared" si="56"/>
        <v>Orion Harriers</v>
      </c>
      <c r="AI182" s="62" t="str">
        <f>IF(AND(J182="M", AH182&lt;&gt;"U/A",AE182=Prizewinners!$J$1),AF182,"")</f>
        <v/>
      </c>
      <c r="AJ182" s="58" t="str">
        <f>IF(AND(J182="F",  AH182&lt;&gt;"U/A",AE182=Prizewinners!$J$16),AF182,"")</f>
        <v/>
      </c>
      <c r="AK182" s="58" t="str">
        <f t="shared" si="57"/>
        <v/>
      </c>
      <c r="AL182" s="58" t="str">
        <f t="shared" si="58"/>
        <v/>
      </c>
      <c r="AM182" s="58" t="str">
        <f t="shared" si="59"/>
        <v>FOrion Harriers6</v>
      </c>
      <c r="AN182" s="58" t="str">
        <f t="shared" si="60"/>
        <v/>
      </c>
      <c r="AO182" s="58" t="str">
        <f t="shared" si="61"/>
        <v/>
      </c>
      <c r="AP182" s="58" t="str">
        <f t="shared" si="62"/>
        <v/>
      </c>
      <c r="AQ182" s="58" t="str">
        <f t="shared" si="63"/>
        <v>Vanessa Clyne</v>
      </c>
    </row>
    <row r="183" spans="1:43" x14ac:dyDescent="0.25">
      <c r="A183" s="12" t="str">
        <f t="shared" si="49"/>
        <v>SF,10</v>
      </c>
      <c r="B183" s="12" t="str">
        <f t="shared" si="50"/>
        <v>F,42</v>
      </c>
      <c r="C183" s="11">
        <f t="shared" si="71"/>
        <v>182</v>
      </c>
      <c r="D183" s="171">
        <v>8</v>
      </c>
      <c r="E183" s="12">
        <f t="shared" si="48"/>
        <v>1</v>
      </c>
      <c r="F183" s="12">
        <f>COUNTIF(H$2:H183,H183)</f>
        <v>10</v>
      </c>
      <c r="G183" s="12">
        <f>COUNTIF(J$2:J183,J183)</f>
        <v>42</v>
      </c>
      <c r="H183" s="12" t="str">
        <f t="shared" si="64"/>
        <v>SF</v>
      </c>
      <c r="I183" s="50" t="str">
        <f t="shared" si="65"/>
        <v>SF</v>
      </c>
      <c r="J183" s="50" t="str">
        <f t="shared" si="66"/>
        <v>F</v>
      </c>
      <c r="K183" s="64" t="str">
        <f t="shared" si="67"/>
        <v>Charlotte Owen</v>
      </c>
      <c r="L183" s="64" t="str">
        <f t="shared" si="68"/>
        <v>Barking Road Runners</v>
      </c>
      <c r="M183" s="171">
        <v>0</v>
      </c>
      <c r="N183" s="178">
        <v>25</v>
      </c>
      <c r="O183" s="178">
        <v>7</v>
      </c>
      <c r="P183" s="138">
        <f t="shared" si="51"/>
        <v>0</v>
      </c>
      <c r="Q183" s="137">
        <f t="shared" si="52"/>
        <v>25</v>
      </c>
      <c r="R183" s="143"/>
      <c r="S183" s="143"/>
      <c r="T183" s="143"/>
      <c r="U183" s="144"/>
      <c r="V183" s="144"/>
      <c r="W183" s="144"/>
      <c r="X183" s="145"/>
      <c r="Y183" s="152" t="str">
        <f t="shared" si="53"/>
        <v xml:space="preserve">   25.07 </v>
      </c>
      <c r="Z183" s="136"/>
      <c r="AA183" s="50">
        <f t="shared" si="69"/>
        <v>28</v>
      </c>
      <c r="AB183" s="129">
        <f t="shared" si="70"/>
        <v>32798</v>
      </c>
      <c r="AC183" s="58" t="str">
        <f t="shared" si="54"/>
        <v/>
      </c>
      <c r="AD183" s="58" t="str">
        <f t="shared" si="55"/>
        <v>FBarking Road Runners</v>
      </c>
      <c r="AE183" s="60">
        <f>IF(AD183="","",COUNTIF($AD$2:AD183,AD183))</f>
        <v>4</v>
      </c>
      <c r="AF183" s="62">
        <f>IF(AD183="","",SUMIF(AD$2:AD183,AD183,G$2:G183))</f>
        <v>122</v>
      </c>
      <c r="AG183" s="62" t="str">
        <f>IF(AK183&lt;&gt;"",COUNTIF($AK$1:AK182,AK183)+AK183,IF(AL183&lt;&gt;"",COUNTIF($AL$1:AL182,AL183)+AL183,""))</f>
        <v/>
      </c>
      <c r="AH183" s="62" t="str">
        <f t="shared" si="56"/>
        <v>Barking Road Runners</v>
      </c>
      <c r="AI183" s="62" t="str">
        <f>IF(AND(J183="M", AH183&lt;&gt;"U/A",AE183=Prizewinners!$J$1),AF183,"")</f>
        <v/>
      </c>
      <c r="AJ183" s="58" t="str">
        <f>IF(AND(J183="F",  AH183&lt;&gt;"U/A",AE183=Prizewinners!$J$16),AF183,"")</f>
        <v/>
      </c>
      <c r="AK183" s="58" t="str">
        <f t="shared" si="57"/>
        <v/>
      </c>
      <c r="AL183" s="58" t="str">
        <f t="shared" si="58"/>
        <v/>
      </c>
      <c r="AM183" s="58" t="str">
        <f t="shared" si="59"/>
        <v>FBarking Road Runners4</v>
      </c>
      <c r="AN183" s="58" t="str">
        <f t="shared" si="60"/>
        <v/>
      </c>
      <c r="AO183" s="58" t="str">
        <f t="shared" si="61"/>
        <v/>
      </c>
      <c r="AP183" s="58" t="str">
        <f t="shared" si="62"/>
        <v/>
      </c>
      <c r="AQ183" s="58" t="str">
        <f t="shared" si="63"/>
        <v>Charlotte Owen</v>
      </c>
    </row>
    <row r="184" spans="1:43" x14ac:dyDescent="0.25">
      <c r="A184" s="12" t="str">
        <f t="shared" si="49"/>
        <v>VF45,10</v>
      </c>
      <c r="B184" s="12" t="str">
        <f t="shared" si="50"/>
        <v>F,43</v>
      </c>
      <c r="C184" s="11">
        <f t="shared" si="71"/>
        <v>183</v>
      </c>
      <c r="D184" s="171">
        <v>19</v>
      </c>
      <c r="E184" s="12">
        <f t="shared" si="48"/>
        <v>1</v>
      </c>
      <c r="F184" s="12">
        <f>COUNTIF(H$2:H184,H184)</f>
        <v>10</v>
      </c>
      <c r="G184" s="12">
        <f>COUNTIF(J$2:J184,J184)</f>
        <v>43</v>
      </c>
      <c r="H184" s="12" t="str">
        <f t="shared" si="64"/>
        <v>VF45</v>
      </c>
      <c r="I184" s="50" t="str">
        <f t="shared" si="65"/>
        <v>VF45</v>
      </c>
      <c r="J184" s="50" t="str">
        <f t="shared" si="66"/>
        <v>F</v>
      </c>
      <c r="K184" s="64" t="str">
        <f t="shared" si="67"/>
        <v>Bernadett Kalmar</v>
      </c>
      <c r="L184" s="64" t="str">
        <f t="shared" si="68"/>
        <v>East London Runners</v>
      </c>
      <c r="M184" s="171">
        <v>0</v>
      </c>
      <c r="N184" s="178">
        <v>25</v>
      </c>
      <c r="O184" s="178">
        <v>8</v>
      </c>
      <c r="P184" s="138">
        <f t="shared" si="51"/>
        <v>0</v>
      </c>
      <c r="Q184" s="137">
        <f t="shared" si="52"/>
        <v>25</v>
      </c>
      <c r="R184" s="143"/>
      <c r="S184" s="143"/>
      <c r="T184" s="143"/>
      <c r="U184" s="144"/>
      <c r="V184" s="144"/>
      <c r="W184" s="144"/>
      <c r="X184" s="145"/>
      <c r="Y184" s="152" t="str">
        <f t="shared" si="53"/>
        <v xml:space="preserve">   25.08 </v>
      </c>
      <c r="Z184" s="136"/>
      <c r="AA184" s="50">
        <f t="shared" si="69"/>
        <v>47</v>
      </c>
      <c r="AB184" s="129">
        <f t="shared" si="70"/>
        <v>25856</v>
      </c>
      <c r="AC184" s="58" t="str">
        <f t="shared" si="54"/>
        <v/>
      </c>
      <c r="AD184" s="58" t="str">
        <f t="shared" si="55"/>
        <v>FEast London Runners</v>
      </c>
      <c r="AE184" s="60">
        <f>IF(AD184="","",COUNTIF($AD$2:AD184,AD184))</f>
        <v>10</v>
      </c>
      <c r="AF184" s="62">
        <f>IF(AD184="","",SUMIF(AD$2:AD184,AD184,G$2:G184))</f>
        <v>214</v>
      </c>
      <c r="AG184" s="62" t="str">
        <f>IF(AK184&lt;&gt;"",COUNTIF($AK$1:AK183,AK184)+AK184,IF(AL184&lt;&gt;"",COUNTIF($AL$1:AL183,AL184)+AL184,""))</f>
        <v/>
      </c>
      <c r="AH184" s="62" t="str">
        <f t="shared" si="56"/>
        <v>East London Runners</v>
      </c>
      <c r="AI184" s="62" t="str">
        <f>IF(AND(J184="M", AH184&lt;&gt;"U/A",AE184=Prizewinners!$J$1),AF184,"")</f>
        <v/>
      </c>
      <c r="AJ184" s="58" t="str">
        <f>IF(AND(J184="F",  AH184&lt;&gt;"U/A",AE184=Prizewinners!$J$16),AF184,"")</f>
        <v/>
      </c>
      <c r="AK184" s="58" t="str">
        <f t="shared" si="57"/>
        <v/>
      </c>
      <c r="AL184" s="58" t="str">
        <f t="shared" si="58"/>
        <v/>
      </c>
      <c r="AM184" s="58" t="str">
        <f t="shared" si="59"/>
        <v>FEast London Runners10</v>
      </c>
      <c r="AN184" s="58" t="str">
        <f t="shared" si="60"/>
        <v/>
      </c>
      <c r="AO184" s="58" t="str">
        <f t="shared" si="61"/>
        <v/>
      </c>
      <c r="AP184" s="58" t="str">
        <f t="shared" si="62"/>
        <v/>
      </c>
      <c r="AQ184" s="58" t="str">
        <f t="shared" si="63"/>
        <v>Bernadett Kalmar</v>
      </c>
    </row>
    <row r="185" spans="1:43" x14ac:dyDescent="0.25">
      <c r="A185" s="12" t="str">
        <f t="shared" si="49"/>
        <v>VF45,11</v>
      </c>
      <c r="B185" s="12" t="str">
        <f t="shared" si="50"/>
        <v>F,44</v>
      </c>
      <c r="C185" s="11">
        <f t="shared" si="71"/>
        <v>184</v>
      </c>
      <c r="D185" s="171">
        <v>473</v>
      </c>
      <c r="E185" s="12">
        <f t="shared" si="48"/>
        <v>1</v>
      </c>
      <c r="F185" s="12">
        <f>COUNTIF(H$2:H185,H185)</f>
        <v>11</v>
      </c>
      <c r="G185" s="12">
        <f>COUNTIF(J$2:J185,J185)</f>
        <v>44</v>
      </c>
      <c r="H185" s="12" t="str">
        <f t="shared" si="64"/>
        <v>VF45</v>
      </c>
      <c r="I185" s="50" t="str">
        <f t="shared" si="65"/>
        <v>VF45</v>
      </c>
      <c r="J185" s="50" t="str">
        <f t="shared" si="66"/>
        <v>F</v>
      </c>
      <c r="K185" s="64" t="str">
        <f t="shared" si="67"/>
        <v>Kate Pettit</v>
      </c>
      <c r="L185" s="64" t="str">
        <f t="shared" si="68"/>
        <v>Havering 90 Joggers</v>
      </c>
      <c r="M185" s="171">
        <v>0</v>
      </c>
      <c r="N185" s="178">
        <v>25</v>
      </c>
      <c r="O185" s="178">
        <v>15</v>
      </c>
      <c r="P185" s="138">
        <f t="shared" si="51"/>
        <v>0</v>
      </c>
      <c r="Q185" s="137">
        <f t="shared" si="52"/>
        <v>25</v>
      </c>
      <c r="R185" s="143"/>
      <c r="S185" s="143"/>
      <c r="T185" s="143"/>
      <c r="U185" s="144"/>
      <c r="V185" s="144"/>
      <c r="W185" s="144"/>
      <c r="X185" s="145"/>
      <c r="Y185" s="152" t="str">
        <f t="shared" si="53"/>
        <v xml:space="preserve">   25.15 </v>
      </c>
      <c r="Z185" s="136"/>
      <c r="AA185" s="50">
        <f t="shared" si="69"/>
        <v>47</v>
      </c>
      <c r="AB185" s="129">
        <f t="shared" si="70"/>
        <v>26106</v>
      </c>
      <c r="AC185" s="58" t="str">
        <f t="shared" si="54"/>
        <v/>
      </c>
      <c r="AD185" s="58" t="str">
        <f t="shared" si="55"/>
        <v>FHavering 90 Joggers</v>
      </c>
      <c r="AE185" s="60">
        <f>IF(AD185="","",COUNTIF($AD$2:AD185,AD185))</f>
        <v>1</v>
      </c>
      <c r="AF185" s="62">
        <f>IF(AD185="","",SUMIF(AD$2:AD185,AD185,G$2:G185))</f>
        <v>44</v>
      </c>
      <c r="AG185" s="62" t="str">
        <f>IF(AK185&lt;&gt;"",COUNTIF($AK$1:AK184,AK185)+AK185,IF(AL185&lt;&gt;"",COUNTIF($AL$1:AL184,AL185)+AL185,""))</f>
        <v/>
      </c>
      <c r="AH185" s="62" t="str">
        <f t="shared" si="56"/>
        <v>Havering 90 Joggers</v>
      </c>
      <c r="AI185" s="62" t="str">
        <f>IF(AND(J185="M", AH185&lt;&gt;"U/A",AE185=Prizewinners!$J$1),AF185,"")</f>
        <v/>
      </c>
      <c r="AJ185" s="58" t="str">
        <f>IF(AND(J185="F",  AH185&lt;&gt;"U/A",AE185=Prizewinners!$J$16),AF185,"")</f>
        <v/>
      </c>
      <c r="AK185" s="58" t="str">
        <f t="shared" si="57"/>
        <v/>
      </c>
      <c r="AL185" s="58" t="str">
        <f t="shared" si="58"/>
        <v/>
      </c>
      <c r="AM185" s="58" t="str">
        <f t="shared" si="59"/>
        <v>FHavering 90 Joggers1</v>
      </c>
      <c r="AN185" s="58" t="str">
        <f t="shared" si="60"/>
        <v/>
      </c>
      <c r="AO185" s="58" t="str">
        <f t="shared" si="61"/>
        <v/>
      </c>
      <c r="AP185" s="58" t="str">
        <f t="shared" si="62"/>
        <v/>
      </c>
      <c r="AQ185" s="58" t="str">
        <f t="shared" si="63"/>
        <v>Kate Pettit</v>
      </c>
    </row>
    <row r="186" spans="1:43" x14ac:dyDescent="0.25">
      <c r="A186" s="12" t="str">
        <f t="shared" si="49"/>
        <v>VM50,25</v>
      </c>
      <c r="B186" s="12" t="str">
        <f t="shared" si="50"/>
        <v>M,141</v>
      </c>
      <c r="C186" s="11">
        <f t="shared" si="71"/>
        <v>185</v>
      </c>
      <c r="D186" s="171">
        <v>380</v>
      </c>
      <c r="E186" s="12">
        <f t="shared" si="48"/>
        <v>1</v>
      </c>
      <c r="F186" s="12">
        <f>COUNTIF(H$2:H186,H186)</f>
        <v>25</v>
      </c>
      <c r="G186" s="12">
        <f>COUNTIF(J$2:J186,J186)</f>
        <v>141</v>
      </c>
      <c r="H186" s="12" t="str">
        <f t="shared" si="64"/>
        <v>VM50</v>
      </c>
      <c r="I186" s="50" t="str">
        <f t="shared" si="65"/>
        <v>VM50</v>
      </c>
      <c r="J186" s="50" t="str">
        <f t="shared" si="66"/>
        <v>M</v>
      </c>
      <c r="K186" s="64" t="str">
        <f t="shared" si="67"/>
        <v>Glen Wisbey</v>
      </c>
      <c r="L186" s="64" t="str">
        <f t="shared" si="68"/>
        <v>Harold Wood Running Club</v>
      </c>
      <c r="M186" s="171">
        <v>0</v>
      </c>
      <c r="N186" s="178">
        <v>25</v>
      </c>
      <c r="O186" s="178">
        <v>19</v>
      </c>
      <c r="P186" s="138">
        <f t="shared" si="51"/>
        <v>0</v>
      </c>
      <c r="Q186" s="137">
        <f t="shared" si="52"/>
        <v>25</v>
      </c>
      <c r="R186" s="143"/>
      <c r="S186" s="143"/>
      <c r="T186" s="143"/>
      <c r="U186" s="144"/>
      <c r="V186" s="144"/>
      <c r="W186" s="144"/>
      <c r="X186" s="145"/>
      <c r="Y186" s="152" t="str">
        <f t="shared" si="53"/>
        <v xml:space="preserve">   25.19 </v>
      </c>
      <c r="Z186" s="136"/>
      <c r="AA186" s="50">
        <f t="shared" si="69"/>
        <v>50</v>
      </c>
      <c r="AB186" s="129">
        <f t="shared" si="70"/>
        <v>24765</v>
      </c>
      <c r="AC186" s="58" t="str">
        <f t="shared" si="54"/>
        <v/>
      </c>
      <c r="AD186" s="58" t="str">
        <f t="shared" si="55"/>
        <v>MHarold Wood Running Club</v>
      </c>
      <c r="AE186" s="60">
        <f>IF(AD186="","",COUNTIF($AD$2:AD186,AD186))</f>
        <v>8</v>
      </c>
      <c r="AF186" s="62">
        <f>IF(AD186="","",SUMIF(AD$2:AD186,AD186,G$2:G186))</f>
        <v>602</v>
      </c>
      <c r="AG186" s="62" t="str">
        <f>IF(AK186&lt;&gt;"",COUNTIF($AK$1:AK185,AK186)+AK186,IF(AL186&lt;&gt;"",COUNTIF($AL$1:AL185,AL186)+AL186,""))</f>
        <v/>
      </c>
      <c r="AH186" s="62" t="str">
        <f t="shared" si="56"/>
        <v>Harold Wood Running Club</v>
      </c>
      <c r="AI186" s="62" t="str">
        <f>IF(AND(J186="M", AH186&lt;&gt;"U/A",AE186=Prizewinners!$J$1),AF186,"")</f>
        <v/>
      </c>
      <c r="AJ186" s="58" t="str">
        <f>IF(AND(J186="F",  AH186&lt;&gt;"U/A",AE186=Prizewinners!$J$16),AF186,"")</f>
        <v/>
      </c>
      <c r="AK186" s="58" t="str">
        <f t="shared" si="57"/>
        <v/>
      </c>
      <c r="AL186" s="58" t="str">
        <f t="shared" si="58"/>
        <v/>
      </c>
      <c r="AM186" s="58" t="str">
        <f t="shared" si="59"/>
        <v>MHarold Wood Running Club8</v>
      </c>
      <c r="AN186" s="58" t="str">
        <f t="shared" si="60"/>
        <v/>
      </c>
      <c r="AO186" s="58" t="str">
        <f t="shared" si="61"/>
        <v/>
      </c>
      <c r="AP186" s="58" t="str">
        <f t="shared" si="62"/>
        <v/>
      </c>
      <c r="AQ186" s="58" t="str">
        <f t="shared" si="63"/>
        <v>Glen Wisbey</v>
      </c>
    </row>
    <row r="187" spans="1:43" x14ac:dyDescent="0.25">
      <c r="A187" s="12" t="str">
        <f t="shared" si="49"/>
        <v>VF55,8</v>
      </c>
      <c r="B187" s="12" t="str">
        <f t="shared" si="50"/>
        <v>F,45</v>
      </c>
      <c r="C187" s="11">
        <f t="shared" si="71"/>
        <v>186</v>
      </c>
      <c r="D187" s="171">
        <v>91</v>
      </c>
      <c r="E187" s="12">
        <f t="shared" si="48"/>
        <v>1</v>
      </c>
      <c r="F187" s="12">
        <f>COUNTIF(H$2:H187,H187)</f>
        <v>8</v>
      </c>
      <c r="G187" s="12">
        <f>COUNTIF(J$2:J187,J187)</f>
        <v>45</v>
      </c>
      <c r="H187" s="12" t="str">
        <f t="shared" si="64"/>
        <v>VF55</v>
      </c>
      <c r="I187" s="50" t="str">
        <f t="shared" si="65"/>
        <v>VF55</v>
      </c>
      <c r="J187" s="50" t="str">
        <f t="shared" si="66"/>
        <v>F</v>
      </c>
      <c r="K187" s="64" t="str">
        <f t="shared" si="67"/>
        <v>Sharon Honey</v>
      </c>
      <c r="L187" s="64" t="str">
        <f t="shared" si="68"/>
        <v>Ilford AC</v>
      </c>
      <c r="M187" s="171">
        <v>0</v>
      </c>
      <c r="N187" s="178">
        <v>25</v>
      </c>
      <c r="O187" s="178">
        <v>21</v>
      </c>
      <c r="P187" s="138">
        <f t="shared" si="51"/>
        <v>0</v>
      </c>
      <c r="Q187" s="137">
        <f t="shared" si="52"/>
        <v>25</v>
      </c>
      <c r="R187" s="143"/>
      <c r="S187" s="143"/>
      <c r="T187" s="143"/>
      <c r="U187" s="144"/>
      <c r="V187" s="144"/>
      <c r="W187" s="144"/>
      <c r="X187" s="145"/>
      <c r="Y187" s="152" t="str">
        <f t="shared" si="53"/>
        <v xml:space="preserve">   25.21 </v>
      </c>
      <c r="Z187" s="136"/>
      <c r="AA187" s="50">
        <f t="shared" si="69"/>
        <v>61</v>
      </c>
      <c r="AB187" s="129">
        <f t="shared" si="70"/>
        <v>20906</v>
      </c>
      <c r="AC187" s="58" t="str">
        <f t="shared" si="54"/>
        <v/>
      </c>
      <c r="AD187" s="58" t="str">
        <f t="shared" si="55"/>
        <v>FIlford AC</v>
      </c>
      <c r="AE187" s="60">
        <f>IF(AD187="","",COUNTIF($AD$2:AD187,AD187))</f>
        <v>6</v>
      </c>
      <c r="AF187" s="62">
        <f>IF(AD187="","",SUMIF(AD$2:AD187,AD187,G$2:G187))</f>
        <v>136</v>
      </c>
      <c r="AG187" s="62" t="str">
        <f>IF(AK187&lt;&gt;"",COUNTIF($AK$1:AK186,AK187)+AK187,IF(AL187&lt;&gt;"",COUNTIF($AL$1:AL186,AL187)+AL187,""))</f>
        <v/>
      </c>
      <c r="AH187" s="62" t="str">
        <f t="shared" si="56"/>
        <v>Ilford AC</v>
      </c>
      <c r="AI187" s="62" t="str">
        <f>IF(AND(J187="M", AH187&lt;&gt;"U/A",AE187=Prizewinners!$J$1),AF187,"")</f>
        <v/>
      </c>
      <c r="AJ187" s="58" t="str">
        <f>IF(AND(J187="F",  AH187&lt;&gt;"U/A",AE187=Prizewinners!$J$16),AF187,"")</f>
        <v/>
      </c>
      <c r="AK187" s="58" t="str">
        <f t="shared" si="57"/>
        <v/>
      </c>
      <c r="AL187" s="58" t="str">
        <f t="shared" si="58"/>
        <v/>
      </c>
      <c r="AM187" s="58" t="str">
        <f t="shared" si="59"/>
        <v>FIlford AC6</v>
      </c>
      <c r="AN187" s="58" t="str">
        <f t="shared" si="60"/>
        <v/>
      </c>
      <c r="AO187" s="58" t="str">
        <f t="shared" si="61"/>
        <v/>
      </c>
      <c r="AP187" s="58" t="str">
        <f t="shared" si="62"/>
        <v/>
      </c>
      <c r="AQ187" s="58" t="str">
        <f t="shared" si="63"/>
        <v>Sharon Honey</v>
      </c>
    </row>
    <row r="188" spans="1:43" x14ac:dyDescent="0.25">
      <c r="A188" s="12" t="str">
        <f t="shared" si="49"/>
        <v>VM40,45</v>
      </c>
      <c r="B188" s="12" t="str">
        <f t="shared" si="50"/>
        <v>M,142</v>
      </c>
      <c r="C188" s="11">
        <f t="shared" si="71"/>
        <v>187</v>
      </c>
      <c r="D188" s="171">
        <v>391</v>
      </c>
      <c r="E188" s="12">
        <f t="shared" si="48"/>
        <v>1</v>
      </c>
      <c r="F188" s="12">
        <f>COUNTIF(H$2:H188,H188)</f>
        <v>45</v>
      </c>
      <c r="G188" s="12">
        <f>COUNTIF(J$2:J188,J188)</f>
        <v>142</v>
      </c>
      <c r="H188" s="12" t="str">
        <f t="shared" si="64"/>
        <v>VM40</v>
      </c>
      <c r="I188" s="50" t="str">
        <f t="shared" si="65"/>
        <v>VM40</v>
      </c>
      <c r="J188" s="50" t="str">
        <f t="shared" si="66"/>
        <v>M</v>
      </c>
      <c r="K188" s="64" t="str">
        <f t="shared" si="67"/>
        <v>Danny White</v>
      </c>
      <c r="L188" s="64" t="str">
        <f t="shared" si="68"/>
        <v>Dagenham 88 Runners</v>
      </c>
      <c r="M188" s="171">
        <v>0</v>
      </c>
      <c r="N188" s="178">
        <v>25</v>
      </c>
      <c r="O188" s="178">
        <v>29</v>
      </c>
      <c r="P188" s="138">
        <f t="shared" si="51"/>
        <v>0</v>
      </c>
      <c r="Q188" s="137">
        <f t="shared" si="52"/>
        <v>25</v>
      </c>
      <c r="R188" s="143"/>
      <c r="S188" s="143"/>
      <c r="T188" s="143"/>
      <c r="U188" s="144"/>
      <c r="V188" s="144"/>
      <c r="W188" s="144"/>
      <c r="X188" s="145"/>
      <c r="Y188" s="152" t="str">
        <f t="shared" si="53"/>
        <v xml:space="preserve">   25.29 </v>
      </c>
      <c r="Z188" s="136"/>
      <c r="AA188" s="50">
        <f t="shared" si="69"/>
        <v>45</v>
      </c>
      <c r="AB188" s="129">
        <f t="shared" si="70"/>
        <v>26837</v>
      </c>
      <c r="AC188" s="58" t="str">
        <f t="shared" si="54"/>
        <v/>
      </c>
      <c r="AD188" s="58" t="str">
        <f t="shared" si="55"/>
        <v>MDagenham 88 Runners</v>
      </c>
      <c r="AE188" s="60">
        <f>IF(AD188="","",COUNTIF($AD$2:AD188,AD188))</f>
        <v>8</v>
      </c>
      <c r="AF188" s="62">
        <f>IF(AD188="","",SUMIF(AD$2:AD188,AD188,G$2:G188))</f>
        <v>794</v>
      </c>
      <c r="AG188" s="62" t="str">
        <f>IF(AK188&lt;&gt;"",COUNTIF($AK$1:AK187,AK188)+AK188,IF(AL188&lt;&gt;"",COUNTIF($AL$1:AL187,AL188)+AL188,""))</f>
        <v/>
      </c>
      <c r="AH188" s="62" t="str">
        <f t="shared" si="56"/>
        <v>Dagenham 88 Runners</v>
      </c>
      <c r="AI188" s="62" t="str">
        <f>IF(AND(J188="M", AH188&lt;&gt;"U/A",AE188=Prizewinners!$J$1),AF188,"")</f>
        <v/>
      </c>
      <c r="AJ188" s="58" t="str">
        <f>IF(AND(J188="F",  AH188&lt;&gt;"U/A",AE188=Prizewinners!$J$16),AF188,"")</f>
        <v/>
      </c>
      <c r="AK188" s="58" t="str">
        <f t="shared" si="57"/>
        <v/>
      </c>
      <c r="AL188" s="58" t="str">
        <f t="shared" si="58"/>
        <v/>
      </c>
      <c r="AM188" s="58" t="str">
        <f t="shared" si="59"/>
        <v>MDagenham 88 Runners8</v>
      </c>
      <c r="AN188" s="58" t="str">
        <f t="shared" si="60"/>
        <v/>
      </c>
      <c r="AO188" s="58" t="str">
        <f t="shared" si="61"/>
        <v/>
      </c>
      <c r="AP188" s="58" t="str">
        <f t="shared" si="62"/>
        <v/>
      </c>
      <c r="AQ188" s="58" t="str">
        <f t="shared" si="63"/>
        <v>Danny White</v>
      </c>
    </row>
    <row r="189" spans="1:43" x14ac:dyDescent="0.25">
      <c r="A189" s="12" t="str">
        <f t="shared" si="49"/>
        <v>VM50,26</v>
      </c>
      <c r="B189" s="12" t="str">
        <f t="shared" si="50"/>
        <v>M,143</v>
      </c>
      <c r="C189" s="11">
        <f t="shared" si="71"/>
        <v>188</v>
      </c>
      <c r="D189" s="171">
        <v>468</v>
      </c>
      <c r="E189" s="12">
        <f t="shared" si="48"/>
        <v>1</v>
      </c>
      <c r="F189" s="12">
        <f>COUNTIF(H$2:H189,H189)</f>
        <v>26</v>
      </c>
      <c r="G189" s="12">
        <f>COUNTIF(J$2:J189,J189)</f>
        <v>143</v>
      </c>
      <c r="H189" s="12" t="str">
        <f t="shared" si="64"/>
        <v>VM50</v>
      </c>
      <c r="I189" s="50" t="str">
        <f t="shared" si="65"/>
        <v>VM50</v>
      </c>
      <c r="J189" s="50" t="str">
        <f t="shared" si="66"/>
        <v>M</v>
      </c>
      <c r="K189" s="64" t="str">
        <f t="shared" si="67"/>
        <v>Anbarasu Govindasamy</v>
      </c>
      <c r="L189" s="64" t="str">
        <f t="shared" si="68"/>
        <v>Havering 90 Joggers</v>
      </c>
      <c r="M189" s="171">
        <v>0</v>
      </c>
      <c r="N189" s="178">
        <v>25</v>
      </c>
      <c r="O189" s="178">
        <v>31</v>
      </c>
      <c r="P189" s="138">
        <f t="shared" si="51"/>
        <v>0</v>
      </c>
      <c r="Q189" s="137">
        <f t="shared" si="52"/>
        <v>25</v>
      </c>
      <c r="R189" s="143"/>
      <c r="S189" s="143"/>
      <c r="T189" s="143"/>
      <c r="U189" s="144"/>
      <c r="V189" s="144"/>
      <c r="W189" s="144"/>
      <c r="X189" s="145"/>
      <c r="Y189" s="152" t="str">
        <f t="shared" si="53"/>
        <v xml:space="preserve">   25.31 </v>
      </c>
      <c r="Z189" s="136"/>
      <c r="AA189" s="50">
        <f t="shared" si="69"/>
        <v>56</v>
      </c>
      <c r="AB189" s="129">
        <f t="shared" si="70"/>
        <v>22525</v>
      </c>
      <c r="AC189" s="58" t="str">
        <f t="shared" si="54"/>
        <v/>
      </c>
      <c r="AD189" s="58" t="str">
        <f t="shared" si="55"/>
        <v>MHavering 90 Joggers</v>
      </c>
      <c r="AE189" s="60">
        <f>IF(AD189="","",COUNTIF($AD$2:AD189,AD189))</f>
        <v>9</v>
      </c>
      <c r="AF189" s="62">
        <f>IF(AD189="","",SUMIF(AD$2:AD189,AD189,G$2:G189))</f>
        <v>913</v>
      </c>
      <c r="AG189" s="62" t="str">
        <f>IF(AK189&lt;&gt;"",COUNTIF($AK$1:AK188,AK189)+AK189,IF(AL189&lt;&gt;"",COUNTIF($AL$1:AL188,AL189)+AL189,""))</f>
        <v/>
      </c>
      <c r="AH189" s="62" t="str">
        <f t="shared" si="56"/>
        <v>Havering 90 Joggers</v>
      </c>
      <c r="AI189" s="62" t="str">
        <f>IF(AND(J189="M", AH189&lt;&gt;"U/A",AE189=Prizewinners!$J$1),AF189,"")</f>
        <v/>
      </c>
      <c r="AJ189" s="58" t="str">
        <f>IF(AND(J189="F",  AH189&lt;&gt;"U/A",AE189=Prizewinners!$J$16),AF189,"")</f>
        <v/>
      </c>
      <c r="AK189" s="58" t="str">
        <f t="shared" si="57"/>
        <v/>
      </c>
      <c r="AL189" s="58" t="str">
        <f t="shared" si="58"/>
        <v/>
      </c>
      <c r="AM189" s="58" t="str">
        <f t="shared" si="59"/>
        <v>MHavering 90 Joggers9</v>
      </c>
      <c r="AN189" s="58" t="str">
        <f t="shared" si="60"/>
        <v/>
      </c>
      <c r="AO189" s="58" t="str">
        <f t="shared" si="61"/>
        <v/>
      </c>
      <c r="AP189" s="58" t="str">
        <f t="shared" si="62"/>
        <v/>
      </c>
      <c r="AQ189" s="58" t="str">
        <f t="shared" si="63"/>
        <v>Anbarasu Govindasamy</v>
      </c>
    </row>
    <row r="190" spans="1:43" x14ac:dyDescent="0.25">
      <c r="A190" s="12" t="str">
        <f t="shared" si="49"/>
        <v>VF55,9</v>
      </c>
      <c r="B190" s="12" t="str">
        <f t="shared" si="50"/>
        <v>F,46</v>
      </c>
      <c r="C190" s="11">
        <f t="shared" si="71"/>
        <v>189</v>
      </c>
      <c r="D190" s="171">
        <v>325</v>
      </c>
      <c r="E190" s="12">
        <f t="shared" si="48"/>
        <v>1</v>
      </c>
      <c r="F190" s="12">
        <f>COUNTIF(H$2:H190,H190)</f>
        <v>9</v>
      </c>
      <c r="G190" s="12">
        <f>COUNTIF(J$2:J190,J190)</f>
        <v>46</v>
      </c>
      <c r="H190" s="12" t="str">
        <f t="shared" si="64"/>
        <v>VF55</v>
      </c>
      <c r="I190" s="50" t="str">
        <f t="shared" si="65"/>
        <v>VF55</v>
      </c>
      <c r="J190" s="50" t="str">
        <f t="shared" si="66"/>
        <v>F</v>
      </c>
      <c r="K190" s="64" t="str">
        <f t="shared" si="67"/>
        <v>Andrea Macqueen</v>
      </c>
      <c r="L190" s="64" t="str">
        <f t="shared" si="68"/>
        <v>Orion Harriers</v>
      </c>
      <c r="M190" s="171">
        <v>0</v>
      </c>
      <c r="N190" s="178">
        <v>25</v>
      </c>
      <c r="O190" s="178">
        <v>35</v>
      </c>
      <c r="P190" s="138">
        <f t="shared" si="51"/>
        <v>0</v>
      </c>
      <c r="Q190" s="137">
        <f t="shared" si="52"/>
        <v>25</v>
      </c>
      <c r="R190" s="143"/>
      <c r="S190" s="143"/>
      <c r="T190" s="143"/>
      <c r="U190" s="144"/>
      <c r="V190" s="144"/>
      <c r="W190" s="144"/>
      <c r="X190" s="145"/>
      <c r="Y190" s="152" t="str">
        <f t="shared" si="53"/>
        <v xml:space="preserve">   25.35 </v>
      </c>
      <c r="Z190" s="136"/>
      <c r="AA190" s="50">
        <f t="shared" si="69"/>
        <v>55</v>
      </c>
      <c r="AB190" s="129">
        <f t="shared" si="70"/>
        <v>22977</v>
      </c>
      <c r="AC190" s="58" t="str">
        <f t="shared" si="54"/>
        <v/>
      </c>
      <c r="AD190" s="58" t="str">
        <f t="shared" si="55"/>
        <v>FOrion Harriers</v>
      </c>
      <c r="AE190" s="60">
        <f>IF(AD190="","",COUNTIF($AD$2:AD190,AD190))</f>
        <v>7</v>
      </c>
      <c r="AF190" s="62">
        <f>IF(AD190="","",SUMIF(AD$2:AD190,AD190,G$2:G190))</f>
        <v>183</v>
      </c>
      <c r="AG190" s="62" t="str">
        <f>IF(AK190&lt;&gt;"",COUNTIF($AK$1:AK189,AK190)+AK190,IF(AL190&lt;&gt;"",COUNTIF($AL$1:AL189,AL190)+AL190,""))</f>
        <v/>
      </c>
      <c r="AH190" s="62" t="str">
        <f t="shared" si="56"/>
        <v>Orion Harriers</v>
      </c>
      <c r="AI190" s="62" t="str">
        <f>IF(AND(J190="M", AH190&lt;&gt;"U/A",AE190=Prizewinners!$J$1),AF190,"")</f>
        <v/>
      </c>
      <c r="AJ190" s="58" t="str">
        <f>IF(AND(J190="F",  AH190&lt;&gt;"U/A",AE190=Prizewinners!$J$16),AF190,"")</f>
        <v/>
      </c>
      <c r="AK190" s="58" t="str">
        <f t="shared" si="57"/>
        <v/>
      </c>
      <c r="AL190" s="58" t="str">
        <f t="shared" si="58"/>
        <v/>
      </c>
      <c r="AM190" s="58" t="str">
        <f t="shared" si="59"/>
        <v>FOrion Harriers7</v>
      </c>
      <c r="AN190" s="58" t="str">
        <f t="shared" si="60"/>
        <v/>
      </c>
      <c r="AO190" s="58" t="str">
        <f t="shared" si="61"/>
        <v/>
      </c>
      <c r="AP190" s="58" t="str">
        <f t="shared" si="62"/>
        <v/>
      </c>
      <c r="AQ190" s="58" t="str">
        <f t="shared" si="63"/>
        <v>Andrea Macqueen</v>
      </c>
    </row>
    <row r="191" spans="1:43" x14ac:dyDescent="0.25">
      <c r="A191" s="12" t="str">
        <f t="shared" si="49"/>
        <v>VM50,27</v>
      </c>
      <c r="B191" s="12" t="str">
        <f t="shared" si="50"/>
        <v>M,144</v>
      </c>
      <c r="C191" s="11">
        <f t="shared" si="71"/>
        <v>190</v>
      </c>
      <c r="D191" s="171">
        <v>36</v>
      </c>
      <c r="E191" s="12">
        <f t="shared" si="48"/>
        <v>1</v>
      </c>
      <c r="F191" s="12">
        <f>COUNTIF(H$2:H191,H191)</f>
        <v>27</v>
      </c>
      <c r="G191" s="12">
        <f>COUNTIF(J$2:J191,J191)</f>
        <v>144</v>
      </c>
      <c r="H191" s="12" t="str">
        <f t="shared" si="64"/>
        <v>VM50</v>
      </c>
      <c r="I191" s="50" t="str">
        <f t="shared" si="65"/>
        <v>VM50</v>
      </c>
      <c r="J191" s="50" t="str">
        <f t="shared" si="66"/>
        <v>M</v>
      </c>
      <c r="K191" s="64" t="str">
        <f t="shared" si="67"/>
        <v>Nick Gorman</v>
      </c>
      <c r="L191" s="64" t="str">
        <f t="shared" si="68"/>
        <v>East End Road Runners</v>
      </c>
      <c r="M191" s="171">
        <v>0</v>
      </c>
      <c r="N191" s="178">
        <v>25</v>
      </c>
      <c r="O191" s="178">
        <v>45</v>
      </c>
      <c r="P191" s="138">
        <f t="shared" si="51"/>
        <v>0</v>
      </c>
      <c r="Q191" s="137">
        <f t="shared" si="52"/>
        <v>25</v>
      </c>
      <c r="R191" s="143"/>
      <c r="S191" s="143"/>
      <c r="T191" s="143"/>
      <c r="U191" s="144"/>
      <c r="V191" s="144"/>
      <c r="W191" s="144"/>
      <c r="X191" s="145"/>
      <c r="Y191" s="152" t="str">
        <f t="shared" si="53"/>
        <v xml:space="preserve">   25.45 </v>
      </c>
      <c r="Z191" s="136"/>
      <c r="AA191" s="50">
        <f t="shared" si="69"/>
        <v>56</v>
      </c>
      <c r="AB191" s="129">
        <f t="shared" si="70"/>
        <v>22720</v>
      </c>
      <c r="AC191" s="58" t="str">
        <f t="shared" si="54"/>
        <v/>
      </c>
      <c r="AD191" s="58" t="str">
        <f t="shared" si="55"/>
        <v>MEast End Road Runners</v>
      </c>
      <c r="AE191" s="60">
        <f>IF(AD191="","",COUNTIF($AD$2:AD191,AD191))</f>
        <v>14</v>
      </c>
      <c r="AF191" s="62">
        <f>IF(AD191="","",SUMIF(AD$2:AD191,AD191,G$2:G191))</f>
        <v>1257</v>
      </c>
      <c r="AG191" s="62" t="str">
        <f>IF(AK191&lt;&gt;"",COUNTIF($AK$1:AK190,AK191)+AK191,IF(AL191&lt;&gt;"",COUNTIF($AL$1:AL190,AL191)+AL191,""))</f>
        <v/>
      </c>
      <c r="AH191" s="62" t="str">
        <f t="shared" si="56"/>
        <v>East End Road Runners</v>
      </c>
      <c r="AI191" s="62" t="str">
        <f>IF(AND(J191="M", AH191&lt;&gt;"U/A",AE191=Prizewinners!$J$1),AF191,"")</f>
        <v/>
      </c>
      <c r="AJ191" s="58" t="str">
        <f>IF(AND(J191="F",  AH191&lt;&gt;"U/A",AE191=Prizewinners!$J$16),AF191,"")</f>
        <v/>
      </c>
      <c r="AK191" s="58" t="str">
        <f t="shared" si="57"/>
        <v/>
      </c>
      <c r="AL191" s="58" t="str">
        <f t="shared" si="58"/>
        <v/>
      </c>
      <c r="AM191" s="58" t="str">
        <f t="shared" si="59"/>
        <v>MEast End Road Runners14</v>
      </c>
      <c r="AN191" s="58" t="str">
        <f t="shared" si="60"/>
        <v/>
      </c>
      <c r="AO191" s="58" t="str">
        <f t="shared" si="61"/>
        <v/>
      </c>
      <c r="AP191" s="58" t="str">
        <f t="shared" si="62"/>
        <v/>
      </c>
      <c r="AQ191" s="58" t="str">
        <f t="shared" si="63"/>
        <v>Nick Gorman</v>
      </c>
    </row>
    <row r="192" spans="1:43" x14ac:dyDescent="0.25">
      <c r="A192" s="12" t="str">
        <f t="shared" si="49"/>
        <v>VF35,14</v>
      </c>
      <c r="B192" s="12" t="str">
        <f t="shared" si="50"/>
        <v>F,47</v>
      </c>
      <c r="C192" s="11">
        <f t="shared" si="71"/>
        <v>191</v>
      </c>
      <c r="D192" s="171">
        <v>25</v>
      </c>
      <c r="E192" s="12">
        <f t="shared" si="48"/>
        <v>1</v>
      </c>
      <c r="F192" s="12">
        <f>COUNTIF(H$2:H192,H192)</f>
        <v>14</v>
      </c>
      <c r="G192" s="12">
        <f>COUNTIF(J$2:J192,J192)</f>
        <v>47</v>
      </c>
      <c r="H192" s="12" t="str">
        <f t="shared" si="64"/>
        <v>VF35</v>
      </c>
      <c r="I192" s="50" t="str">
        <f t="shared" si="65"/>
        <v>VF35</v>
      </c>
      <c r="J192" s="50" t="str">
        <f t="shared" si="66"/>
        <v>F</v>
      </c>
      <c r="K192" s="64" t="str">
        <f t="shared" si="67"/>
        <v>Emma Bolton</v>
      </c>
      <c r="L192" s="64" t="str">
        <f t="shared" si="68"/>
        <v>Havering 90 Joggers</v>
      </c>
      <c r="M192" s="171">
        <v>0</v>
      </c>
      <c r="N192" s="178">
        <v>25</v>
      </c>
      <c r="O192" s="178">
        <v>47</v>
      </c>
      <c r="P192" s="138">
        <f t="shared" si="51"/>
        <v>0</v>
      </c>
      <c r="Q192" s="137">
        <f t="shared" si="52"/>
        <v>25</v>
      </c>
      <c r="R192" s="143"/>
      <c r="S192" s="143"/>
      <c r="T192" s="143"/>
      <c r="U192" s="144"/>
      <c r="V192" s="144"/>
      <c r="W192" s="144"/>
      <c r="X192" s="145"/>
      <c r="Y192" s="152" t="str">
        <f t="shared" si="53"/>
        <v xml:space="preserve">   25.47 </v>
      </c>
      <c r="Z192" s="136"/>
      <c r="AA192" s="50">
        <f t="shared" si="69"/>
        <v>39</v>
      </c>
      <c r="AB192" s="129">
        <f t="shared" si="70"/>
        <v>28847</v>
      </c>
      <c r="AC192" s="58" t="str">
        <f t="shared" si="54"/>
        <v/>
      </c>
      <c r="AD192" s="58" t="str">
        <f t="shared" si="55"/>
        <v>FHavering 90 Joggers</v>
      </c>
      <c r="AE192" s="60">
        <f>IF(AD192="","",COUNTIF($AD$2:AD192,AD192))</f>
        <v>2</v>
      </c>
      <c r="AF192" s="62">
        <f>IF(AD192="","",SUMIF(AD$2:AD192,AD192,G$2:G192))</f>
        <v>91</v>
      </c>
      <c r="AG192" s="62" t="str">
        <f>IF(AK192&lt;&gt;"",COUNTIF($AK$1:AK191,AK192)+AK192,IF(AL192&lt;&gt;"",COUNTIF($AL$1:AL191,AL192)+AL192,""))</f>
        <v/>
      </c>
      <c r="AH192" s="62" t="str">
        <f t="shared" si="56"/>
        <v>Havering 90 Joggers</v>
      </c>
      <c r="AI192" s="62" t="str">
        <f>IF(AND(J192="M", AH192&lt;&gt;"U/A",AE192=Prizewinners!$J$1),AF192,"")</f>
        <v/>
      </c>
      <c r="AJ192" s="58" t="str">
        <f>IF(AND(J192="F",  AH192&lt;&gt;"U/A",AE192=Prizewinners!$J$16),AF192,"")</f>
        <v/>
      </c>
      <c r="AK192" s="58" t="str">
        <f t="shared" si="57"/>
        <v/>
      </c>
      <c r="AL192" s="58" t="str">
        <f t="shared" si="58"/>
        <v/>
      </c>
      <c r="AM192" s="58" t="str">
        <f t="shared" si="59"/>
        <v>FHavering 90 Joggers2</v>
      </c>
      <c r="AN192" s="58" t="str">
        <f t="shared" si="60"/>
        <v/>
      </c>
      <c r="AO192" s="58" t="str">
        <f t="shared" si="61"/>
        <v/>
      </c>
      <c r="AP192" s="58" t="str">
        <f t="shared" si="62"/>
        <v/>
      </c>
      <c r="AQ192" s="58" t="str">
        <f t="shared" si="63"/>
        <v>Emma Bolton</v>
      </c>
    </row>
    <row r="193" spans="1:43" x14ac:dyDescent="0.25">
      <c r="A193" s="12" t="str">
        <f t="shared" si="49"/>
        <v>SM,57</v>
      </c>
      <c r="B193" s="12" t="str">
        <f t="shared" si="50"/>
        <v>M,145</v>
      </c>
      <c r="C193" s="11">
        <f t="shared" si="71"/>
        <v>192</v>
      </c>
      <c r="D193" s="171">
        <v>351</v>
      </c>
      <c r="E193" s="12">
        <f t="shared" si="48"/>
        <v>1</v>
      </c>
      <c r="F193" s="12">
        <f>COUNTIF(H$2:H193,H193)</f>
        <v>57</v>
      </c>
      <c r="G193" s="12">
        <f>COUNTIF(J$2:J193,J193)</f>
        <v>145</v>
      </c>
      <c r="H193" s="12" t="str">
        <f t="shared" si="64"/>
        <v>SM</v>
      </c>
      <c r="I193" s="50" t="str">
        <f t="shared" si="65"/>
        <v>SM</v>
      </c>
      <c r="J193" s="50" t="str">
        <f t="shared" si="66"/>
        <v>M</v>
      </c>
      <c r="K193" s="64" t="str">
        <f t="shared" si="67"/>
        <v>michael pegnall</v>
      </c>
      <c r="L193" s="64" t="str">
        <f t="shared" si="68"/>
        <v>Dagenham 88 Runners</v>
      </c>
      <c r="M193" s="171">
        <v>0</v>
      </c>
      <c r="N193" s="178">
        <v>25</v>
      </c>
      <c r="O193" s="178">
        <v>48</v>
      </c>
      <c r="P193" s="138">
        <f t="shared" si="51"/>
        <v>0</v>
      </c>
      <c r="Q193" s="137">
        <f t="shared" si="52"/>
        <v>25</v>
      </c>
      <c r="R193" s="143"/>
      <c r="S193" s="143"/>
      <c r="T193" s="143"/>
      <c r="U193" s="144"/>
      <c r="V193" s="144"/>
      <c r="W193" s="144"/>
      <c r="X193" s="145"/>
      <c r="Y193" s="152" t="str">
        <f t="shared" si="53"/>
        <v xml:space="preserve">   25.48 </v>
      </c>
      <c r="Z193" s="136"/>
      <c r="AA193" s="50">
        <f t="shared" si="69"/>
        <v>38</v>
      </c>
      <c r="AB193" s="129">
        <f t="shared" si="70"/>
        <v>29436</v>
      </c>
      <c r="AC193" s="58" t="str">
        <f t="shared" si="54"/>
        <v/>
      </c>
      <c r="AD193" s="58" t="str">
        <f t="shared" si="55"/>
        <v>MDagenham 88 Runners</v>
      </c>
      <c r="AE193" s="60">
        <f>IF(AD193="","",COUNTIF($AD$2:AD193,AD193))</f>
        <v>9</v>
      </c>
      <c r="AF193" s="62">
        <f>IF(AD193="","",SUMIF(AD$2:AD193,AD193,G$2:G193))</f>
        <v>939</v>
      </c>
      <c r="AG193" s="62" t="str">
        <f>IF(AK193&lt;&gt;"",COUNTIF($AK$1:AK192,AK193)+AK193,IF(AL193&lt;&gt;"",COUNTIF($AL$1:AL192,AL193)+AL193,""))</f>
        <v/>
      </c>
      <c r="AH193" s="62" t="str">
        <f t="shared" si="56"/>
        <v>Dagenham 88 Runners</v>
      </c>
      <c r="AI193" s="62" t="str">
        <f>IF(AND(J193="M", AH193&lt;&gt;"U/A",AE193=Prizewinners!$J$1),AF193,"")</f>
        <v/>
      </c>
      <c r="AJ193" s="58" t="str">
        <f>IF(AND(J193="F",  AH193&lt;&gt;"U/A",AE193=Prizewinners!$J$16),AF193,"")</f>
        <v/>
      </c>
      <c r="AK193" s="58" t="str">
        <f t="shared" si="57"/>
        <v/>
      </c>
      <c r="AL193" s="58" t="str">
        <f t="shared" si="58"/>
        <v/>
      </c>
      <c r="AM193" s="58" t="str">
        <f t="shared" si="59"/>
        <v>MDagenham 88 Runners9</v>
      </c>
      <c r="AN193" s="58" t="str">
        <f t="shared" si="60"/>
        <v/>
      </c>
      <c r="AO193" s="58" t="str">
        <f t="shared" si="61"/>
        <v/>
      </c>
      <c r="AP193" s="58" t="str">
        <f t="shared" si="62"/>
        <v/>
      </c>
      <c r="AQ193" s="58" t="str">
        <f t="shared" si="63"/>
        <v>michael pegnall</v>
      </c>
    </row>
    <row r="194" spans="1:43" x14ac:dyDescent="0.25">
      <c r="A194" s="12" t="str">
        <f t="shared" si="49"/>
        <v>VM60,12</v>
      </c>
      <c r="B194" s="12" t="str">
        <f t="shared" si="50"/>
        <v>M,146</v>
      </c>
      <c r="C194" s="11">
        <f t="shared" si="71"/>
        <v>193</v>
      </c>
      <c r="D194" s="171">
        <v>369</v>
      </c>
      <c r="E194" s="12">
        <f t="shared" ref="E194:E257" si="72">IF(D194="",0,COUNTIF(K:K,K194))</f>
        <v>1</v>
      </c>
      <c r="F194" s="12">
        <f>COUNTIF(H$2:H194,H194)</f>
        <v>12</v>
      </c>
      <c r="G194" s="12">
        <f>COUNTIF(J$2:J194,J194)</f>
        <v>146</v>
      </c>
      <c r="H194" s="12" t="str">
        <f t="shared" si="64"/>
        <v>VM60</v>
      </c>
      <c r="I194" s="50" t="str">
        <f t="shared" si="65"/>
        <v>VM60</v>
      </c>
      <c r="J194" s="50" t="str">
        <f t="shared" si="66"/>
        <v>M</v>
      </c>
      <c r="K194" s="64" t="str">
        <f t="shared" si="67"/>
        <v>Gabriel Ellenberg</v>
      </c>
      <c r="L194" s="64" t="str">
        <f t="shared" si="68"/>
        <v>Eton Manor AC</v>
      </c>
      <c r="M194" s="171">
        <v>0</v>
      </c>
      <c r="N194" s="178">
        <v>25</v>
      </c>
      <c r="O194" s="178">
        <v>48</v>
      </c>
      <c r="P194" s="138">
        <f t="shared" si="51"/>
        <v>0</v>
      </c>
      <c r="Q194" s="137">
        <f t="shared" si="52"/>
        <v>25</v>
      </c>
      <c r="R194" s="143"/>
      <c r="S194" s="143"/>
      <c r="T194" s="143"/>
      <c r="U194" s="144"/>
      <c r="V194" s="144"/>
      <c r="W194" s="144"/>
      <c r="X194" s="145"/>
      <c r="Y194" s="152" t="str">
        <f t="shared" si="53"/>
        <v xml:space="preserve">   25.48 </v>
      </c>
      <c r="Z194" s="136"/>
      <c r="AA194" s="50">
        <f t="shared" si="69"/>
        <v>61</v>
      </c>
      <c r="AB194" s="129">
        <f t="shared" si="70"/>
        <v>20966</v>
      </c>
      <c r="AC194" s="58" t="str">
        <f t="shared" si="54"/>
        <v/>
      </c>
      <c r="AD194" s="58" t="str">
        <f t="shared" si="55"/>
        <v>MEton Manor AC</v>
      </c>
      <c r="AE194" s="60">
        <f>IF(AD194="","",COUNTIF($AD$2:AD194,AD194))</f>
        <v>6</v>
      </c>
      <c r="AF194" s="62">
        <f>IF(AD194="","",SUMIF(AD$2:AD194,AD194,G$2:G194))</f>
        <v>407</v>
      </c>
      <c r="AG194" s="62" t="str">
        <f>IF(AK194&lt;&gt;"",COUNTIF($AK$1:AK193,AK194)+AK194,IF(AL194&lt;&gt;"",COUNTIF($AL$1:AL193,AL194)+AL194,""))</f>
        <v/>
      </c>
      <c r="AH194" s="62" t="str">
        <f t="shared" si="56"/>
        <v>Eton Manor AC</v>
      </c>
      <c r="AI194" s="62" t="str">
        <f>IF(AND(J194="M", AH194&lt;&gt;"U/A",AE194=Prizewinners!$J$1),AF194,"")</f>
        <v/>
      </c>
      <c r="AJ194" s="58" t="str">
        <f>IF(AND(J194="F",  AH194&lt;&gt;"U/A",AE194=Prizewinners!$J$16),AF194,"")</f>
        <v/>
      </c>
      <c r="AK194" s="58" t="str">
        <f t="shared" si="57"/>
        <v/>
      </c>
      <c r="AL194" s="58" t="str">
        <f t="shared" si="58"/>
        <v/>
      </c>
      <c r="AM194" s="58" t="str">
        <f t="shared" si="59"/>
        <v>MEton Manor AC6</v>
      </c>
      <c r="AN194" s="58" t="str">
        <f t="shared" si="60"/>
        <v/>
      </c>
      <c r="AO194" s="58" t="str">
        <f t="shared" si="61"/>
        <v/>
      </c>
      <c r="AP194" s="58" t="str">
        <f t="shared" si="62"/>
        <v/>
      </c>
      <c r="AQ194" s="58" t="str">
        <f t="shared" si="63"/>
        <v>Gabriel Ellenberg</v>
      </c>
    </row>
    <row r="195" spans="1:43" x14ac:dyDescent="0.25">
      <c r="A195" s="12" t="str">
        <f t="shared" ref="A195:A258" si="73">IF(Z195="RESM",Z195,IF(Z195="RESF",Z195,CONCATENATE(H195,",",F195)))</f>
        <v>VF35,15</v>
      </c>
      <c r="B195" s="12" t="str">
        <f t="shared" ref="B195:B258" si="74">CONCATENATE(J195,",",G195)</f>
        <v>F,48</v>
      </c>
      <c r="C195" s="11">
        <f t="shared" si="71"/>
        <v>194</v>
      </c>
      <c r="D195" s="171">
        <v>491</v>
      </c>
      <c r="E195" s="12">
        <f t="shared" si="72"/>
        <v>1</v>
      </c>
      <c r="F195" s="12">
        <f>COUNTIF(H$2:H195,H195)</f>
        <v>15</v>
      </c>
      <c r="G195" s="12">
        <f>COUNTIF(J$2:J195,J195)</f>
        <v>48</v>
      </c>
      <c r="H195" s="12" t="str">
        <f t="shared" si="64"/>
        <v>VF35</v>
      </c>
      <c r="I195" s="50" t="str">
        <f t="shared" si="65"/>
        <v>VF35</v>
      </c>
      <c r="J195" s="50" t="str">
        <f t="shared" si="66"/>
        <v>F</v>
      </c>
      <c r="K195" s="64" t="str">
        <f t="shared" si="67"/>
        <v>Louise Chappell</v>
      </c>
      <c r="L195" s="64" t="str">
        <f t="shared" si="68"/>
        <v>Dagenham 88 Runners</v>
      </c>
      <c r="M195" s="171">
        <v>0</v>
      </c>
      <c r="N195" s="178">
        <v>25</v>
      </c>
      <c r="O195" s="178">
        <v>51</v>
      </c>
      <c r="P195" s="138">
        <f t="shared" ref="P195:P258" si="75">IF(LEN(TRIM(M195))=0,P194,M195)</f>
        <v>0</v>
      </c>
      <c r="Q195" s="137">
        <f t="shared" ref="Q195:Q258" si="76">IF(N195="",Q194,N195)</f>
        <v>25</v>
      </c>
      <c r="R195" s="143"/>
      <c r="S195" s="143"/>
      <c r="T195" s="143"/>
      <c r="U195" s="144"/>
      <c r="V195" s="144"/>
      <c r="W195" s="144"/>
      <c r="X195" s="145"/>
      <c r="Y195" s="152" t="str">
        <f t="shared" ref="Y195:Y258" si="77">CONCATENATE(IF(P195=0,"  ",TEXT(P195,"#0")),IF(P195=0," ","."),IF(LEN(TRIM(Q195))=0,"  ",TEXT(Q195,"00")),IF(LEN(TRIM(Q195))=0,"","."),TEXT(O195,"00")," ")</f>
        <v xml:space="preserve">   25.51 </v>
      </c>
      <c r="Z195" s="136"/>
      <c r="AA195" s="50">
        <f t="shared" si="69"/>
        <v>44</v>
      </c>
      <c r="AB195" s="129">
        <f t="shared" si="70"/>
        <v>26975</v>
      </c>
      <c r="AC195" s="58" t="str">
        <f t="shared" ref="AC195:AC258" si="78">IF(AG195&lt;&gt;"",CONCATENATE(J195,AG195),"")</f>
        <v/>
      </c>
      <c r="AD195" s="58" t="str">
        <f t="shared" ref="AD195:AD258" si="79">CONCATENATE(J195,L195)</f>
        <v>FDagenham 88 Runners</v>
      </c>
      <c r="AE195" s="60">
        <f>IF(AD195="","",COUNTIF($AD$2:AD195,AD195))</f>
        <v>2</v>
      </c>
      <c r="AF195" s="62">
        <f>IF(AD195="","",SUMIF(AD$2:AD195,AD195,G$2:G195))</f>
        <v>70</v>
      </c>
      <c r="AG195" s="62" t="str">
        <f>IF(AK195&lt;&gt;"",COUNTIF($AK$1:AK194,AK195)+AK195,IF(AL195&lt;&gt;"",COUNTIF($AL$1:AL194,AL195)+AL195,""))</f>
        <v/>
      </c>
      <c r="AH195" s="62" t="str">
        <f t="shared" ref="AH195:AH258" si="80">L195</f>
        <v>Dagenham 88 Runners</v>
      </c>
      <c r="AI195" s="62" t="str">
        <f>IF(AND(J195="M", AH195&lt;&gt;"U/A",AE195=Prizewinners!$J$1),AF195,"")</f>
        <v/>
      </c>
      <c r="AJ195" s="58" t="str">
        <f>IF(AND(J195="F",  AH195&lt;&gt;"U/A",AE195=Prizewinners!$J$16),AF195,"")</f>
        <v/>
      </c>
      <c r="AK195" s="58" t="str">
        <f t="shared" ref="AK195:AK258" si="81">IF(AI195&lt;&gt;"",RANK(AI195,AI$2:AI$504,1),"")</f>
        <v/>
      </c>
      <c r="AL195" s="58" t="str">
        <f t="shared" ref="AL195:AL258" si="82">IF(AJ195&lt;&gt;"",RANK(AJ195,AJ$2:AJ$504,1),"")</f>
        <v/>
      </c>
      <c r="AM195" s="58" t="str">
        <f t="shared" ref="AM195:AM258" si="83">CONCATENATE(AD195,AE195)</f>
        <v>FDagenham 88 Runners2</v>
      </c>
      <c r="AN195" s="58" t="str">
        <f t="shared" ref="AN195:AN258" si="84">IF(AG195&lt;&gt;"",VLOOKUP(CONCATENATE(AD195,"1"),Scoring_Team,5,FALSE),"")</f>
        <v/>
      </c>
      <c r="AO195" s="58" t="str">
        <f t="shared" ref="AO195:AO258" si="85">IF(AG195&lt;&gt;"",VLOOKUP(CONCATENATE(AD195,"2"),Scoring_Team,5,FALSE),"")</f>
        <v/>
      </c>
      <c r="AP195" s="58" t="str">
        <f t="shared" ref="AP195:AP258" si="86">IF(AG195&lt;&gt;"",VLOOKUP(CONCATENATE(AD195,"3"),Scoring_Team,5,FALSE),"")</f>
        <v/>
      </c>
      <c r="AQ195" s="58" t="str">
        <f t="shared" ref="AQ195:AQ258" si="87">K195</f>
        <v>Louise Chappell</v>
      </c>
    </row>
    <row r="196" spans="1:43" x14ac:dyDescent="0.25">
      <c r="A196" s="12" t="str">
        <f t="shared" si="73"/>
        <v>SM,58</v>
      </c>
      <c r="B196" s="12" t="str">
        <f t="shared" si="74"/>
        <v>M,147</v>
      </c>
      <c r="C196" s="11">
        <f t="shared" si="71"/>
        <v>195</v>
      </c>
      <c r="D196" s="171">
        <v>337</v>
      </c>
      <c r="E196" s="12">
        <f t="shared" si="72"/>
        <v>1</v>
      </c>
      <c r="F196" s="12">
        <f>COUNTIF(H$2:H196,H196)</f>
        <v>58</v>
      </c>
      <c r="G196" s="12">
        <f>COUNTIF(J$2:J196,J196)</f>
        <v>147</v>
      </c>
      <c r="H196" s="12" t="str">
        <f t="shared" si="64"/>
        <v>SM</v>
      </c>
      <c r="I196" s="50" t="str">
        <f t="shared" si="65"/>
        <v>SM</v>
      </c>
      <c r="J196" s="50" t="str">
        <f t="shared" si="66"/>
        <v>M</v>
      </c>
      <c r="K196" s="64" t="str">
        <f t="shared" ref="K196:K259" si="88">TRIM(IF(ISNA(VLOOKUP($D196,Runner,2,FALSE)),IF(ISNA(VLOOKUP($D196,Code,2,FALSE)),"",VLOOKUP($D196,Code,2,FALSE)),VLOOKUP($D196,Runner,2,FALSE)))</f>
        <v>Mark Wiltshire</v>
      </c>
      <c r="L196" s="64" t="str">
        <f t="shared" ref="L196:L259" si="89">IF(ISNA(VLOOKUP($D196,Runner,4,FALSE)),IF(ISNA(VLOOKUP($D196,Code,4,FALSE)),"",VLOOKUP($D196,Code,4,FALSE)),VLOOKUP($D196,Runner,4,FALSE))</f>
        <v>East London Runners</v>
      </c>
      <c r="M196" s="171">
        <v>0</v>
      </c>
      <c r="N196" s="178">
        <v>25</v>
      </c>
      <c r="O196" s="178">
        <v>55</v>
      </c>
      <c r="P196" s="138">
        <f t="shared" si="75"/>
        <v>0</v>
      </c>
      <c r="Q196" s="137">
        <f t="shared" si="76"/>
        <v>25</v>
      </c>
      <c r="R196" s="143"/>
      <c r="S196" s="143"/>
      <c r="T196" s="143"/>
      <c r="U196" s="144"/>
      <c r="V196" s="144"/>
      <c r="W196" s="144"/>
      <c r="X196" s="145"/>
      <c r="Y196" s="152" t="str">
        <f t="shared" si="77"/>
        <v xml:space="preserve">   25.55 </v>
      </c>
      <c r="Z196" s="136"/>
      <c r="AA196" s="50">
        <f t="shared" ref="AA196:AA259" si="90">IF(ISNA(VLOOKUP($D196,Runner,6,FALSE)),"",VLOOKUP($D196,Runner,6,FALSE))</f>
        <v>34</v>
      </c>
      <c r="AB196" s="129">
        <f t="shared" ref="AB196:AB259" si="91">IF(ISNA(VLOOKUP($D196,Runner,8,FALSE)),"",IF(VLOOKUP($D196,Runner,8,FALSE)=0,"",VLOOKUP($D196,Runner,8,FALSE)))</f>
        <v>30580</v>
      </c>
      <c r="AC196" s="58" t="str">
        <f t="shared" si="78"/>
        <v/>
      </c>
      <c r="AD196" s="58" t="str">
        <f t="shared" si="79"/>
        <v>MEast London Runners</v>
      </c>
      <c r="AE196" s="60">
        <f>IF(AD196="","",COUNTIF($AD$2:AD196,AD196))</f>
        <v>45</v>
      </c>
      <c r="AF196" s="62">
        <f>IF(AD196="","",SUMIF(AD$2:AD196,AD196,G$2:G196))</f>
        <v>3006</v>
      </c>
      <c r="AG196" s="62" t="str">
        <f>IF(AK196&lt;&gt;"",COUNTIF($AK$1:AK195,AK196)+AK196,IF(AL196&lt;&gt;"",COUNTIF($AL$1:AL195,AL196)+AL196,""))</f>
        <v/>
      </c>
      <c r="AH196" s="62" t="str">
        <f t="shared" si="80"/>
        <v>East London Runners</v>
      </c>
      <c r="AI196" s="62" t="str">
        <f>IF(AND(J196="M", AH196&lt;&gt;"U/A",AE196=Prizewinners!$J$1),AF196,"")</f>
        <v/>
      </c>
      <c r="AJ196" s="58" t="str">
        <f>IF(AND(J196="F",  AH196&lt;&gt;"U/A",AE196=Prizewinners!$J$16),AF196,"")</f>
        <v/>
      </c>
      <c r="AK196" s="58" t="str">
        <f t="shared" si="81"/>
        <v/>
      </c>
      <c r="AL196" s="58" t="str">
        <f t="shared" si="82"/>
        <v/>
      </c>
      <c r="AM196" s="58" t="str">
        <f t="shared" si="83"/>
        <v>MEast London Runners45</v>
      </c>
      <c r="AN196" s="58" t="str">
        <f t="shared" si="84"/>
        <v/>
      </c>
      <c r="AO196" s="58" t="str">
        <f t="shared" si="85"/>
        <v/>
      </c>
      <c r="AP196" s="58" t="str">
        <f t="shared" si="86"/>
        <v/>
      </c>
      <c r="AQ196" s="58" t="str">
        <f t="shared" si="87"/>
        <v>Mark Wiltshire</v>
      </c>
    </row>
    <row r="197" spans="1:43" x14ac:dyDescent="0.25">
      <c r="A197" s="12" t="str">
        <f t="shared" si="73"/>
        <v>VM50,28</v>
      </c>
      <c r="B197" s="12" t="str">
        <f t="shared" si="74"/>
        <v>M,148</v>
      </c>
      <c r="C197" s="11">
        <f t="shared" si="71"/>
        <v>196</v>
      </c>
      <c r="D197" s="171">
        <v>92</v>
      </c>
      <c r="E197" s="12">
        <f t="shared" si="72"/>
        <v>1</v>
      </c>
      <c r="F197" s="12">
        <f>COUNTIF(H$2:H197,H197)</f>
        <v>28</v>
      </c>
      <c r="G197" s="12">
        <f>COUNTIF(J$2:J197,J197)</f>
        <v>148</v>
      </c>
      <c r="H197" s="12" t="str">
        <f t="shared" ref="H197:H260" si="92">IF(G197&gt;3,I197,"")</f>
        <v>VM50</v>
      </c>
      <c r="I197" s="50" t="str">
        <f t="shared" ref="I197:I260" si="93">IF(ISNA(VLOOKUP($D197,Runner,3,FALSE)),IF(ISNA(VLOOKUP($D197,Code,3,FALSE)),"",VLOOKUP($D197,Code,3,FALSE)),VLOOKUP($D197,Runner,3,FALSE))</f>
        <v>VM50</v>
      </c>
      <c r="J197" s="50" t="str">
        <f t="shared" ref="J197:J260" si="94">IF(ISNA(VLOOKUP($D197,Runner,5,FALSE)),IF(ISNA(VLOOKUP($D197,Code,5,FALSE)),"",VLOOKUP($D197,Code,5,FALSE)),VLOOKUP($D197,Runner,5,FALSE))</f>
        <v>M</v>
      </c>
      <c r="K197" s="64" t="str">
        <f t="shared" si="88"/>
        <v>Steven Bywater</v>
      </c>
      <c r="L197" s="64" t="str">
        <f t="shared" si="89"/>
        <v>East London Runners</v>
      </c>
      <c r="M197" s="171">
        <v>0</v>
      </c>
      <c r="N197" s="178">
        <v>25</v>
      </c>
      <c r="O197" s="178">
        <v>56</v>
      </c>
      <c r="P197" s="138">
        <f t="shared" si="75"/>
        <v>0</v>
      </c>
      <c r="Q197" s="137">
        <f t="shared" si="76"/>
        <v>25</v>
      </c>
      <c r="R197" s="143"/>
      <c r="S197" s="143"/>
      <c r="T197" s="143"/>
      <c r="U197" s="144"/>
      <c r="V197" s="144"/>
      <c r="W197" s="144"/>
      <c r="X197" s="145"/>
      <c r="Y197" s="152" t="str">
        <f t="shared" si="77"/>
        <v xml:space="preserve">   25.56 </v>
      </c>
      <c r="Z197" s="136"/>
      <c r="AA197" s="50">
        <f t="shared" si="90"/>
        <v>53</v>
      </c>
      <c r="AB197" s="129">
        <f t="shared" si="91"/>
        <v>23766</v>
      </c>
      <c r="AC197" s="58" t="str">
        <f t="shared" si="78"/>
        <v/>
      </c>
      <c r="AD197" s="58" t="str">
        <f t="shared" si="79"/>
        <v>MEast London Runners</v>
      </c>
      <c r="AE197" s="60">
        <f>IF(AD197="","",COUNTIF($AD$2:AD197,AD197))</f>
        <v>46</v>
      </c>
      <c r="AF197" s="62">
        <f>IF(AD197="","",SUMIF(AD$2:AD197,AD197,G$2:G197))</f>
        <v>3154</v>
      </c>
      <c r="AG197" s="62" t="str">
        <f>IF(AK197&lt;&gt;"",COUNTIF($AK$1:AK196,AK197)+AK197,IF(AL197&lt;&gt;"",COUNTIF($AL$1:AL196,AL197)+AL197,""))</f>
        <v/>
      </c>
      <c r="AH197" s="62" t="str">
        <f t="shared" si="80"/>
        <v>East London Runners</v>
      </c>
      <c r="AI197" s="62" t="str">
        <f>IF(AND(J197="M", AH197&lt;&gt;"U/A",AE197=Prizewinners!$J$1),AF197,"")</f>
        <v/>
      </c>
      <c r="AJ197" s="58" t="str">
        <f>IF(AND(J197="F",  AH197&lt;&gt;"U/A",AE197=Prizewinners!$J$16),AF197,"")</f>
        <v/>
      </c>
      <c r="AK197" s="58" t="str">
        <f t="shared" si="81"/>
        <v/>
      </c>
      <c r="AL197" s="58" t="str">
        <f t="shared" si="82"/>
        <v/>
      </c>
      <c r="AM197" s="58" t="str">
        <f t="shared" si="83"/>
        <v>MEast London Runners46</v>
      </c>
      <c r="AN197" s="58" t="str">
        <f t="shared" si="84"/>
        <v/>
      </c>
      <c r="AO197" s="58" t="str">
        <f t="shared" si="85"/>
        <v/>
      </c>
      <c r="AP197" s="58" t="str">
        <f t="shared" si="86"/>
        <v/>
      </c>
      <c r="AQ197" s="58" t="str">
        <f t="shared" si="87"/>
        <v>Steven Bywater</v>
      </c>
    </row>
    <row r="198" spans="1:43" x14ac:dyDescent="0.25">
      <c r="A198" s="12" t="str">
        <f t="shared" si="73"/>
        <v>SF,11</v>
      </c>
      <c r="B198" s="12" t="str">
        <f t="shared" si="74"/>
        <v>F,49</v>
      </c>
      <c r="C198" s="11">
        <f t="shared" ref="C198:C261" si="95">C197+1</f>
        <v>197</v>
      </c>
      <c r="D198" s="171">
        <v>99</v>
      </c>
      <c r="E198" s="12">
        <f t="shared" si="72"/>
        <v>1</v>
      </c>
      <c r="F198" s="12">
        <f>COUNTIF(H$2:H198,H198)</f>
        <v>11</v>
      </c>
      <c r="G198" s="12">
        <f>COUNTIF(J$2:J198,J198)</f>
        <v>49</v>
      </c>
      <c r="H198" s="12" t="str">
        <f t="shared" si="92"/>
        <v>SF</v>
      </c>
      <c r="I198" s="50" t="str">
        <f t="shared" si="93"/>
        <v>SF</v>
      </c>
      <c r="J198" s="50" t="str">
        <f t="shared" si="94"/>
        <v>F</v>
      </c>
      <c r="K198" s="64" t="str">
        <f t="shared" si="88"/>
        <v>Anna Crawley</v>
      </c>
      <c r="L198" s="64" t="str">
        <f t="shared" si="89"/>
        <v>Ilford AC</v>
      </c>
      <c r="M198" s="171">
        <v>0</v>
      </c>
      <c r="N198" s="178">
        <v>25</v>
      </c>
      <c r="O198" s="178">
        <v>57</v>
      </c>
      <c r="P198" s="138">
        <f t="shared" si="75"/>
        <v>0</v>
      </c>
      <c r="Q198" s="137">
        <f t="shared" si="76"/>
        <v>25</v>
      </c>
      <c r="R198" s="143"/>
      <c r="S198" s="143"/>
      <c r="T198" s="143"/>
      <c r="U198" s="144"/>
      <c r="V198" s="144"/>
      <c r="W198" s="144"/>
      <c r="X198" s="145"/>
      <c r="Y198" s="152" t="str">
        <f t="shared" si="77"/>
        <v xml:space="preserve">   25.57 </v>
      </c>
      <c r="Z198" s="136"/>
      <c r="AA198" s="50">
        <f t="shared" si="90"/>
        <v>28</v>
      </c>
      <c r="AB198" s="129">
        <f t="shared" si="91"/>
        <v>33043</v>
      </c>
      <c r="AC198" s="58" t="str">
        <f t="shared" si="78"/>
        <v/>
      </c>
      <c r="AD198" s="58" t="str">
        <f t="shared" si="79"/>
        <v>FIlford AC</v>
      </c>
      <c r="AE198" s="60">
        <f>IF(AD198="","",COUNTIF($AD$2:AD198,AD198))</f>
        <v>7</v>
      </c>
      <c r="AF198" s="62">
        <f>IF(AD198="","",SUMIF(AD$2:AD198,AD198,G$2:G198))</f>
        <v>185</v>
      </c>
      <c r="AG198" s="62" t="str">
        <f>IF(AK198&lt;&gt;"",COUNTIF($AK$1:AK197,AK198)+AK198,IF(AL198&lt;&gt;"",COUNTIF($AL$1:AL197,AL198)+AL198,""))</f>
        <v/>
      </c>
      <c r="AH198" s="62" t="str">
        <f t="shared" si="80"/>
        <v>Ilford AC</v>
      </c>
      <c r="AI198" s="62" t="str">
        <f>IF(AND(J198="M", AH198&lt;&gt;"U/A",AE198=Prizewinners!$J$1),AF198,"")</f>
        <v/>
      </c>
      <c r="AJ198" s="58" t="str">
        <f>IF(AND(J198="F",  AH198&lt;&gt;"U/A",AE198=Prizewinners!$J$16),AF198,"")</f>
        <v/>
      </c>
      <c r="AK198" s="58" t="str">
        <f t="shared" si="81"/>
        <v/>
      </c>
      <c r="AL198" s="58" t="str">
        <f t="shared" si="82"/>
        <v/>
      </c>
      <c r="AM198" s="58" t="str">
        <f t="shared" si="83"/>
        <v>FIlford AC7</v>
      </c>
      <c r="AN198" s="58" t="str">
        <f t="shared" si="84"/>
        <v/>
      </c>
      <c r="AO198" s="58" t="str">
        <f t="shared" si="85"/>
        <v/>
      </c>
      <c r="AP198" s="58" t="str">
        <f t="shared" si="86"/>
        <v/>
      </c>
      <c r="AQ198" s="58" t="str">
        <f t="shared" si="87"/>
        <v>Anna Crawley</v>
      </c>
    </row>
    <row r="199" spans="1:43" x14ac:dyDescent="0.25">
      <c r="A199" s="12" t="str">
        <f t="shared" si="73"/>
        <v>VF45,12</v>
      </c>
      <c r="B199" s="12" t="str">
        <f t="shared" si="74"/>
        <v>F,50</v>
      </c>
      <c r="C199" s="11">
        <f t="shared" si="95"/>
        <v>198</v>
      </c>
      <c r="D199" s="171">
        <v>495</v>
      </c>
      <c r="E199" s="12">
        <f t="shared" si="72"/>
        <v>1</v>
      </c>
      <c r="F199" s="12">
        <f>COUNTIF(H$2:H199,H199)</f>
        <v>12</v>
      </c>
      <c r="G199" s="12">
        <f>COUNTIF(J$2:J199,J199)</f>
        <v>50</v>
      </c>
      <c r="H199" s="12" t="str">
        <f t="shared" si="92"/>
        <v>VF45</v>
      </c>
      <c r="I199" s="50" t="str">
        <f t="shared" si="93"/>
        <v>VF45</v>
      </c>
      <c r="J199" s="50" t="str">
        <f t="shared" si="94"/>
        <v>F</v>
      </c>
      <c r="K199" s="64" t="str">
        <f t="shared" si="88"/>
        <v>Alison Hinton</v>
      </c>
      <c r="L199" s="64" t="str">
        <f t="shared" si="89"/>
        <v>Unattached</v>
      </c>
      <c r="M199" s="171">
        <v>0</v>
      </c>
      <c r="N199" s="178">
        <v>26</v>
      </c>
      <c r="O199" s="178">
        <v>3</v>
      </c>
      <c r="P199" s="138">
        <f t="shared" si="75"/>
        <v>0</v>
      </c>
      <c r="Q199" s="137">
        <f t="shared" si="76"/>
        <v>26</v>
      </c>
      <c r="R199" s="143"/>
      <c r="S199" s="143"/>
      <c r="T199" s="143"/>
      <c r="U199" s="144"/>
      <c r="V199" s="144"/>
      <c r="W199" s="144"/>
      <c r="X199" s="145"/>
      <c r="Y199" s="152" t="str">
        <f t="shared" si="77"/>
        <v xml:space="preserve">   26.03 </v>
      </c>
      <c r="Z199" s="136"/>
      <c r="AA199" s="50">
        <f t="shared" si="90"/>
        <v>49</v>
      </c>
      <c r="AB199" s="129">
        <f t="shared" si="91"/>
        <v>25229</v>
      </c>
      <c r="AC199" s="58" t="str">
        <f t="shared" si="78"/>
        <v/>
      </c>
      <c r="AD199" s="58" t="str">
        <f t="shared" si="79"/>
        <v>FUnattached</v>
      </c>
      <c r="AE199" s="60">
        <f>IF(AD199="","",COUNTIF($AD$2:AD199,AD199))</f>
        <v>1</v>
      </c>
      <c r="AF199" s="62">
        <f>IF(AD199="","",SUMIF(AD$2:AD199,AD199,G$2:G199))</f>
        <v>50</v>
      </c>
      <c r="AG199" s="62" t="str">
        <f>IF(AK199&lt;&gt;"",COUNTIF($AK$1:AK198,AK199)+AK199,IF(AL199&lt;&gt;"",COUNTIF($AL$1:AL198,AL199)+AL199,""))</f>
        <v/>
      </c>
      <c r="AH199" s="62" t="str">
        <f t="shared" si="80"/>
        <v>Unattached</v>
      </c>
      <c r="AI199" s="62" t="str">
        <f>IF(AND(J199="M", AH199&lt;&gt;"U/A",AE199=Prizewinners!$J$1),AF199,"")</f>
        <v/>
      </c>
      <c r="AJ199" s="58" t="str">
        <f>IF(AND(J199="F",  AH199&lt;&gt;"U/A",AE199=Prizewinners!$J$16),AF199,"")</f>
        <v/>
      </c>
      <c r="AK199" s="58" t="str">
        <f t="shared" si="81"/>
        <v/>
      </c>
      <c r="AL199" s="58" t="str">
        <f t="shared" si="82"/>
        <v/>
      </c>
      <c r="AM199" s="58" t="str">
        <f t="shared" si="83"/>
        <v>FUnattached1</v>
      </c>
      <c r="AN199" s="58" t="str">
        <f t="shared" si="84"/>
        <v/>
      </c>
      <c r="AO199" s="58" t="str">
        <f t="shared" si="85"/>
        <v/>
      </c>
      <c r="AP199" s="58" t="str">
        <f t="shared" si="86"/>
        <v/>
      </c>
      <c r="AQ199" s="58" t="str">
        <f t="shared" si="87"/>
        <v>Alison Hinton</v>
      </c>
    </row>
    <row r="200" spans="1:43" x14ac:dyDescent="0.25">
      <c r="A200" s="12" t="str">
        <f t="shared" si="73"/>
        <v>VF35,16</v>
      </c>
      <c r="B200" s="12" t="str">
        <f t="shared" si="74"/>
        <v>F,51</v>
      </c>
      <c r="C200" s="11">
        <f t="shared" si="95"/>
        <v>199</v>
      </c>
      <c r="D200" s="171">
        <v>437</v>
      </c>
      <c r="E200" s="12">
        <f t="shared" si="72"/>
        <v>1</v>
      </c>
      <c r="F200" s="12">
        <f>COUNTIF(H$2:H200,H200)</f>
        <v>16</v>
      </c>
      <c r="G200" s="12">
        <f>COUNTIF(J$2:J200,J200)</f>
        <v>51</v>
      </c>
      <c r="H200" s="12" t="str">
        <f t="shared" si="92"/>
        <v>VF35</v>
      </c>
      <c r="I200" s="50" t="str">
        <f t="shared" si="93"/>
        <v>VF35</v>
      </c>
      <c r="J200" s="50" t="str">
        <f t="shared" si="94"/>
        <v>F</v>
      </c>
      <c r="K200" s="64" t="str">
        <f t="shared" si="88"/>
        <v>Helen Jenner</v>
      </c>
      <c r="L200" s="64" t="str">
        <f t="shared" si="89"/>
        <v>Harold Wood Running Club</v>
      </c>
      <c r="M200" s="171">
        <v>0</v>
      </c>
      <c r="N200" s="178">
        <v>26</v>
      </c>
      <c r="O200" s="178">
        <v>6</v>
      </c>
      <c r="P200" s="138">
        <f t="shared" si="75"/>
        <v>0</v>
      </c>
      <c r="Q200" s="137">
        <f t="shared" si="76"/>
        <v>26</v>
      </c>
      <c r="R200" s="143"/>
      <c r="S200" s="143"/>
      <c r="T200" s="143"/>
      <c r="U200" s="144"/>
      <c r="V200" s="144"/>
      <c r="W200" s="144"/>
      <c r="X200" s="145"/>
      <c r="Y200" s="152" t="str">
        <f t="shared" si="77"/>
        <v xml:space="preserve">   26.06 </v>
      </c>
      <c r="Z200" s="136"/>
      <c r="AA200" s="50">
        <f t="shared" si="90"/>
        <v>38</v>
      </c>
      <c r="AB200" s="129">
        <f t="shared" si="91"/>
        <v>29289</v>
      </c>
      <c r="AC200" s="58" t="str">
        <f t="shared" si="78"/>
        <v/>
      </c>
      <c r="AD200" s="58" t="str">
        <f t="shared" si="79"/>
        <v>FHarold Wood Running Club</v>
      </c>
      <c r="AE200" s="60">
        <f>IF(AD200="","",COUNTIF($AD$2:AD200,AD200))</f>
        <v>4</v>
      </c>
      <c r="AF200" s="62">
        <f>IF(AD200="","",SUMIF(AD$2:AD200,AD200,G$2:G200))</f>
        <v>97</v>
      </c>
      <c r="AG200" s="62" t="str">
        <f>IF(AK200&lt;&gt;"",COUNTIF($AK$1:AK199,AK200)+AK200,IF(AL200&lt;&gt;"",COUNTIF($AL$1:AL199,AL200)+AL200,""))</f>
        <v/>
      </c>
      <c r="AH200" s="62" t="str">
        <f t="shared" si="80"/>
        <v>Harold Wood Running Club</v>
      </c>
      <c r="AI200" s="62" t="str">
        <f>IF(AND(J200="M", AH200&lt;&gt;"U/A",AE200=Prizewinners!$J$1),AF200,"")</f>
        <v/>
      </c>
      <c r="AJ200" s="58" t="str">
        <f>IF(AND(J200="F",  AH200&lt;&gt;"U/A",AE200=Prizewinners!$J$16),AF200,"")</f>
        <v/>
      </c>
      <c r="AK200" s="58" t="str">
        <f t="shared" si="81"/>
        <v/>
      </c>
      <c r="AL200" s="58" t="str">
        <f t="shared" si="82"/>
        <v/>
      </c>
      <c r="AM200" s="58" t="str">
        <f t="shared" si="83"/>
        <v>FHarold Wood Running Club4</v>
      </c>
      <c r="AN200" s="58" t="str">
        <f t="shared" si="84"/>
        <v/>
      </c>
      <c r="AO200" s="58" t="str">
        <f t="shared" si="85"/>
        <v/>
      </c>
      <c r="AP200" s="58" t="str">
        <f t="shared" si="86"/>
        <v/>
      </c>
      <c r="AQ200" s="58" t="str">
        <f t="shared" si="87"/>
        <v>Helen Jenner</v>
      </c>
    </row>
    <row r="201" spans="1:43" x14ac:dyDescent="0.25">
      <c r="A201" s="12" t="str">
        <f t="shared" si="73"/>
        <v>VM60,13</v>
      </c>
      <c r="B201" s="12" t="str">
        <f t="shared" si="74"/>
        <v>M,149</v>
      </c>
      <c r="C201" s="11">
        <f t="shared" si="95"/>
        <v>200</v>
      </c>
      <c r="D201" s="171">
        <v>151</v>
      </c>
      <c r="E201" s="12">
        <f t="shared" si="72"/>
        <v>1</v>
      </c>
      <c r="F201" s="12">
        <f>COUNTIF(H$2:H201,H201)</f>
        <v>13</v>
      </c>
      <c r="G201" s="12">
        <f>COUNTIF(J$2:J201,J201)</f>
        <v>149</v>
      </c>
      <c r="H201" s="12" t="str">
        <f t="shared" si="92"/>
        <v>VM60</v>
      </c>
      <c r="I201" s="50" t="str">
        <f t="shared" si="93"/>
        <v>VM60</v>
      </c>
      <c r="J201" s="50" t="str">
        <f t="shared" si="94"/>
        <v>M</v>
      </c>
      <c r="K201" s="64" t="str">
        <f t="shared" si="88"/>
        <v>Peter Chaplin</v>
      </c>
      <c r="L201" s="64" t="str">
        <f t="shared" si="89"/>
        <v>Pitsea RC</v>
      </c>
      <c r="M201" s="171">
        <v>0</v>
      </c>
      <c r="N201" s="178">
        <v>26</v>
      </c>
      <c r="O201" s="178">
        <v>8</v>
      </c>
      <c r="P201" s="138">
        <f t="shared" si="75"/>
        <v>0</v>
      </c>
      <c r="Q201" s="137">
        <f t="shared" si="76"/>
        <v>26</v>
      </c>
      <c r="R201" s="143"/>
      <c r="S201" s="143"/>
      <c r="T201" s="143"/>
      <c r="U201" s="144"/>
      <c r="V201" s="144"/>
      <c r="W201" s="144"/>
      <c r="X201" s="145"/>
      <c r="Y201" s="152" t="str">
        <f t="shared" si="77"/>
        <v xml:space="preserve">   26.08 </v>
      </c>
      <c r="Z201" s="136"/>
      <c r="AA201" s="50">
        <f t="shared" si="90"/>
        <v>64</v>
      </c>
      <c r="AB201" s="129">
        <f t="shared" si="91"/>
        <v>19725</v>
      </c>
      <c r="AC201" s="58" t="str">
        <f t="shared" si="78"/>
        <v/>
      </c>
      <c r="AD201" s="58" t="str">
        <f t="shared" si="79"/>
        <v>MPitsea RC</v>
      </c>
      <c r="AE201" s="60">
        <f>IF(AD201="","",COUNTIF($AD$2:AD201,AD201))</f>
        <v>1</v>
      </c>
      <c r="AF201" s="62">
        <f>IF(AD201="","",SUMIF(AD$2:AD201,AD201,G$2:G201))</f>
        <v>149</v>
      </c>
      <c r="AG201" s="62" t="str">
        <f>IF(AK201&lt;&gt;"",COUNTIF($AK$1:AK200,AK201)+AK201,IF(AL201&lt;&gt;"",COUNTIF($AL$1:AL200,AL201)+AL201,""))</f>
        <v/>
      </c>
      <c r="AH201" s="62" t="str">
        <f t="shared" si="80"/>
        <v>Pitsea RC</v>
      </c>
      <c r="AI201" s="62" t="str">
        <f>IF(AND(J201="M", AH201&lt;&gt;"U/A",AE201=Prizewinners!$J$1),AF201,"")</f>
        <v/>
      </c>
      <c r="AJ201" s="58" t="str">
        <f>IF(AND(J201="F",  AH201&lt;&gt;"U/A",AE201=Prizewinners!$J$16),AF201,"")</f>
        <v/>
      </c>
      <c r="AK201" s="58" t="str">
        <f t="shared" si="81"/>
        <v/>
      </c>
      <c r="AL201" s="58" t="str">
        <f t="shared" si="82"/>
        <v/>
      </c>
      <c r="AM201" s="58" t="str">
        <f t="shared" si="83"/>
        <v>MPitsea RC1</v>
      </c>
      <c r="AN201" s="58" t="str">
        <f t="shared" si="84"/>
        <v/>
      </c>
      <c r="AO201" s="58" t="str">
        <f t="shared" si="85"/>
        <v/>
      </c>
      <c r="AP201" s="58" t="str">
        <f t="shared" si="86"/>
        <v/>
      </c>
      <c r="AQ201" s="58" t="str">
        <f t="shared" si="87"/>
        <v>Peter Chaplin</v>
      </c>
    </row>
    <row r="202" spans="1:43" x14ac:dyDescent="0.25">
      <c r="A202" s="12" t="str">
        <f t="shared" si="73"/>
        <v>VM60,14</v>
      </c>
      <c r="B202" s="12" t="str">
        <f t="shared" si="74"/>
        <v>M,150</v>
      </c>
      <c r="C202" s="11">
        <f t="shared" si="95"/>
        <v>201</v>
      </c>
      <c r="D202" s="171">
        <v>454</v>
      </c>
      <c r="E202" s="12">
        <f t="shared" si="72"/>
        <v>1</v>
      </c>
      <c r="F202" s="12">
        <f>COUNTIF(H$2:H202,H202)</f>
        <v>14</v>
      </c>
      <c r="G202" s="12">
        <f>COUNTIF(J$2:J202,J202)</f>
        <v>150</v>
      </c>
      <c r="H202" s="12" t="str">
        <f t="shared" si="92"/>
        <v>VM60</v>
      </c>
      <c r="I202" s="50" t="str">
        <f t="shared" si="93"/>
        <v>VM60</v>
      </c>
      <c r="J202" s="50" t="str">
        <f t="shared" si="94"/>
        <v>M</v>
      </c>
      <c r="K202" s="64" t="str">
        <f t="shared" si="88"/>
        <v>Peter Bulaitis</v>
      </c>
      <c r="L202" s="64" t="str">
        <f t="shared" si="89"/>
        <v>Orion Harriers</v>
      </c>
      <c r="M202" s="171">
        <v>0</v>
      </c>
      <c r="N202" s="178">
        <v>26</v>
      </c>
      <c r="O202" s="178">
        <v>9</v>
      </c>
      <c r="P202" s="138">
        <f t="shared" si="75"/>
        <v>0</v>
      </c>
      <c r="Q202" s="137">
        <f t="shared" si="76"/>
        <v>26</v>
      </c>
      <c r="R202" s="143"/>
      <c r="S202" s="143"/>
      <c r="T202" s="143"/>
      <c r="U202" s="144"/>
      <c r="V202" s="144"/>
      <c r="W202" s="144"/>
      <c r="X202" s="145"/>
      <c r="Y202" s="152" t="str">
        <f t="shared" si="77"/>
        <v xml:space="preserve">   26.09 </v>
      </c>
      <c r="Z202" s="136"/>
      <c r="AA202" s="50">
        <f t="shared" si="90"/>
        <v>64</v>
      </c>
      <c r="AB202" s="129">
        <f t="shared" si="91"/>
        <v>19774</v>
      </c>
      <c r="AC202" s="58" t="str">
        <f t="shared" si="78"/>
        <v/>
      </c>
      <c r="AD202" s="58" t="str">
        <f t="shared" si="79"/>
        <v>MOrion Harriers</v>
      </c>
      <c r="AE202" s="60">
        <f>IF(AD202="","",COUNTIF($AD$2:AD202,AD202))</f>
        <v>14</v>
      </c>
      <c r="AF202" s="62">
        <f>IF(AD202="","",SUMIF(AD$2:AD202,AD202,G$2:G202))</f>
        <v>1300</v>
      </c>
      <c r="AG202" s="62" t="str">
        <f>IF(AK202&lt;&gt;"",COUNTIF($AK$1:AK201,AK202)+AK202,IF(AL202&lt;&gt;"",COUNTIF($AL$1:AL201,AL202)+AL202,""))</f>
        <v/>
      </c>
      <c r="AH202" s="62" t="str">
        <f t="shared" si="80"/>
        <v>Orion Harriers</v>
      </c>
      <c r="AI202" s="62" t="str">
        <f>IF(AND(J202="M", AH202&lt;&gt;"U/A",AE202=Prizewinners!$J$1),AF202,"")</f>
        <v/>
      </c>
      <c r="AJ202" s="58" t="str">
        <f>IF(AND(J202="F",  AH202&lt;&gt;"U/A",AE202=Prizewinners!$J$16),AF202,"")</f>
        <v/>
      </c>
      <c r="AK202" s="58" t="str">
        <f t="shared" si="81"/>
        <v/>
      </c>
      <c r="AL202" s="58" t="str">
        <f t="shared" si="82"/>
        <v/>
      </c>
      <c r="AM202" s="58" t="str">
        <f t="shared" si="83"/>
        <v>MOrion Harriers14</v>
      </c>
      <c r="AN202" s="58" t="str">
        <f t="shared" si="84"/>
        <v/>
      </c>
      <c r="AO202" s="58" t="str">
        <f t="shared" si="85"/>
        <v/>
      </c>
      <c r="AP202" s="58" t="str">
        <f t="shared" si="86"/>
        <v/>
      </c>
      <c r="AQ202" s="58" t="str">
        <f t="shared" si="87"/>
        <v>Peter Bulaitis</v>
      </c>
    </row>
    <row r="203" spans="1:43" x14ac:dyDescent="0.25">
      <c r="A203" s="12" t="str">
        <f t="shared" si="73"/>
        <v>VM50,29</v>
      </c>
      <c r="B203" s="12" t="str">
        <f t="shared" si="74"/>
        <v>M,151</v>
      </c>
      <c r="C203" s="11">
        <f t="shared" si="95"/>
        <v>202</v>
      </c>
      <c r="D203" s="171">
        <v>403</v>
      </c>
      <c r="E203" s="12">
        <f t="shared" si="72"/>
        <v>1</v>
      </c>
      <c r="F203" s="12">
        <f>COUNTIF(H$2:H203,H203)</f>
        <v>29</v>
      </c>
      <c r="G203" s="12">
        <f>COUNTIF(J$2:J203,J203)</f>
        <v>151</v>
      </c>
      <c r="H203" s="12" t="str">
        <f t="shared" si="92"/>
        <v>VM50</v>
      </c>
      <c r="I203" s="50" t="str">
        <f t="shared" si="93"/>
        <v>VM50</v>
      </c>
      <c r="J203" s="50" t="str">
        <f t="shared" si="94"/>
        <v>M</v>
      </c>
      <c r="K203" s="64" t="str">
        <f t="shared" si="88"/>
        <v>Dennis Sherwood</v>
      </c>
      <c r="L203" s="64" t="str">
        <f t="shared" si="89"/>
        <v>Springfield Striders RC</v>
      </c>
      <c r="M203" s="171">
        <v>0</v>
      </c>
      <c r="N203" s="178">
        <v>26</v>
      </c>
      <c r="O203" s="178">
        <v>10</v>
      </c>
      <c r="P203" s="138">
        <f t="shared" si="75"/>
        <v>0</v>
      </c>
      <c r="Q203" s="137">
        <f t="shared" si="76"/>
        <v>26</v>
      </c>
      <c r="R203" s="143"/>
      <c r="S203" s="143"/>
      <c r="T203" s="143"/>
      <c r="U203" s="144"/>
      <c r="V203" s="144"/>
      <c r="W203" s="144"/>
      <c r="X203" s="145"/>
      <c r="Y203" s="152" t="str">
        <f t="shared" si="77"/>
        <v xml:space="preserve">   26.10 </v>
      </c>
      <c r="Z203" s="136"/>
      <c r="AA203" s="50">
        <f t="shared" si="90"/>
        <v>53</v>
      </c>
      <c r="AB203" s="129">
        <f t="shared" si="91"/>
        <v>23897</v>
      </c>
      <c r="AC203" s="58" t="str">
        <f t="shared" si="78"/>
        <v/>
      </c>
      <c r="AD203" s="58" t="str">
        <f t="shared" si="79"/>
        <v>MSpringfield Striders RC</v>
      </c>
      <c r="AE203" s="60">
        <f>IF(AD203="","",COUNTIF($AD$2:AD203,AD203))</f>
        <v>1</v>
      </c>
      <c r="AF203" s="62">
        <f>IF(AD203="","",SUMIF(AD$2:AD203,AD203,G$2:G203))</f>
        <v>151</v>
      </c>
      <c r="AG203" s="62" t="str">
        <f>IF(AK203&lt;&gt;"",COUNTIF($AK$1:AK202,AK203)+AK203,IF(AL203&lt;&gt;"",COUNTIF($AL$1:AL202,AL203)+AL203,""))</f>
        <v/>
      </c>
      <c r="AH203" s="62" t="str">
        <f t="shared" si="80"/>
        <v>Springfield Striders RC</v>
      </c>
      <c r="AI203" s="62" t="str">
        <f>IF(AND(J203="M", AH203&lt;&gt;"U/A",AE203=Prizewinners!$J$1),AF203,"")</f>
        <v/>
      </c>
      <c r="AJ203" s="58" t="str">
        <f>IF(AND(J203="F",  AH203&lt;&gt;"U/A",AE203=Prizewinners!$J$16),AF203,"")</f>
        <v/>
      </c>
      <c r="AK203" s="58" t="str">
        <f t="shared" si="81"/>
        <v/>
      </c>
      <c r="AL203" s="58" t="str">
        <f t="shared" si="82"/>
        <v/>
      </c>
      <c r="AM203" s="58" t="str">
        <f t="shared" si="83"/>
        <v>MSpringfield Striders RC1</v>
      </c>
      <c r="AN203" s="58" t="str">
        <f t="shared" si="84"/>
        <v/>
      </c>
      <c r="AO203" s="58" t="str">
        <f t="shared" si="85"/>
        <v/>
      </c>
      <c r="AP203" s="58" t="str">
        <f t="shared" si="86"/>
        <v/>
      </c>
      <c r="AQ203" s="58" t="str">
        <f t="shared" si="87"/>
        <v>Dennis Sherwood</v>
      </c>
    </row>
    <row r="204" spans="1:43" x14ac:dyDescent="0.25">
      <c r="A204" s="12" t="str">
        <f t="shared" si="73"/>
        <v>VF45,13</v>
      </c>
      <c r="B204" s="12" t="str">
        <f t="shared" si="74"/>
        <v>F,52</v>
      </c>
      <c r="C204" s="11">
        <f t="shared" si="95"/>
        <v>203</v>
      </c>
      <c r="D204" s="171">
        <v>143</v>
      </c>
      <c r="E204" s="12">
        <f t="shared" si="72"/>
        <v>1</v>
      </c>
      <c r="F204" s="12">
        <f>COUNTIF(H$2:H204,H204)</f>
        <v>13</v>
      </c>
      <c r="G204" s="12">
        <f>COUNTIF(J$2:J204,J204)</f>
        <v>52</v>
      </c>
      <c r="H204" s="12" t="str">
        <f t="shared" si="92"/>
        <v>VF45</v>
      </c>
      <c r="I204" s="50" t="str">
        <f t="shared" si="93"/>
        <v>VF45</v>
      </c>
      <c r="J204" s="50" t="str">
        <f t="shared" si="94"/>
        <v>F</v>
      </c>
      <c r="K204" s="64" t="str">
        <f t="shared" si="88"/>
        <v>Patricia O'Neill</v>
      </c>
      <c r="L204" s="64" t="str">
        <f t="shared" si="89"/>
        <v>East London Runners</v>
      </c>
      <c r="M204" s="171">
        <v>0</v>
      </c>
      <c r="N204" s="178">
        <v>26</v>
      </c>
      <c r="O204" s="178">
        <v>11</v>
      </c>
      <c r="P204" s="138">
        <f t="shared" si="75"/>
        <v>0</v>
      </c>
      <c r="Q204" s="137">
        <f t="shared" si="76"/>
        <v>26</v>
      </c>
      <c r="R204" s="143"/>
      <c r="S204" s="143"/>
      <c r="T204" s="143"/>
      <c r="U204" s="144"/>
      <c r="V204" s="144"/>
      <c r="W204" s="144"/>
      <c r="X204" s="145"/>
      <c r="Y204" s="152" t="str">
        <f t="shared" si="77"/>
        <v xml:space="preserve">   26.11 </v>
      </c>
      <c r="Z204" s="136"/>
      <c r="AA204" s="50">
        <f t="shared" si="90"/>
        <v>48</v>
      </c>
      <c r="AB204" s="129">
        <f t="shared" si="91"/>
        <v>25529</v>
      </c>
      <c r="AC204" s="58" t="str">
        <f t="shared" si="78"/>
        <v/>
      </c>
      <c r="AD204" s="58" t="str">
        <f t="shared" si="79"/>
        <v>FEast London Runners</v>
      </c>
      <c r="AE204" s="60">
        <f>IF(AD204="","",COUNTIF($AD$2:AD204,AD204))</f>
        <v>11</v>
      </c>
      <c r="AF204" s="62">
        <f>IF(AD204="","",SUMIF(AD$2:AD204,AD204,G$2:G204))</f>
        <v>266</v>
      </c>
      <c r="AG204" s="62" t="str">
        <f>IF(AK204&lt;&gt;"",COUNTIF($AK$1:AK203,AK204)+AK204,IF(AL204&lt;&gt;"",COUNTIF($AL$1:AL203,AL204)+AL204,""))</f>
        <v/>
      </c>
      <c r="AH204" s="62" t="str">
        <f t="shared" si="80"/>
        <v>East London Runners</v>
      </c>
      <c r="AI204" s="62" t="str">
        <f>IF(AND(J204="M", AH204&lt;&gt;"U/A",AE204=Prizewinners!$J$1),AF204,"")</f>
        <v/>
      </c>
      <c r="AJ204" s="58" t="str">
        <f>IF(AND(J204="F",  AH204&lt;&gt;"U/A",AE204=Prizewinners!$J$16),AF204,"")</f>
        <v/>
      </c>
      <c r="AK204" s="58" t="str">
        <f t="shared" si="81"/>
        <v/>
      </c>
      <c r="AL204" s="58" t="str">
        <f t="shared" si="82"/>
        <v/>
      </c>
      <c r="AM204" s="58" t="str">
        <f t="shared" si="83"/>
        <v>FEast London Runners11</v>
      </c>
      <c r="AN204" s="58" t="str">
        <f t="shared" si="84"/>
        <v/>
      </c>
      <c r="AO204" s="58" t="str">
        <f t="shared" si="85"/>
        <v/>
      </c>
      <c r="AP204" s="58" t="str">
        <f t="shared" si="86"/>
        <v/>
      </c>
      <c r="AQ204" s="58" t="str">
        <f t="shared" si="87"/>
        <v>Patricia O'Neill</v>
      </c>
    </row>
    <row r="205" spans="1:43" x14ac:dyDescent="0.25">
      <c r="A205" s="12" t="str">
        <f t="shared" si="73"/>
        <v>VF45,14</v>
      </c>
      <c r="B205" s="12" t="str">
        <f t="shared" si="74"/>
        <v>F,53</v>
      </c>
      <c r="C205" s="11">
        <f t="shared" si="95"/>
        <v>204</v>
      </c>
      <c r="D205" s="171">
        <v>471</v>
      </c>
      <c r="E205" s="12">
        <f t="shared" si="72"/>
        <v>1</v>
      </c>
      <c r="F205" s="12">
        <f>COUNTIF(H$2:H205,H205)</f>
        <v>14</v>
      </c>
      <c r="G205" s="12">
        <f>COUNTIF(J$2:J205,J205)</f>
        <v>53</v>
      </c>
      <c r="H205" s="12" t="str">
        <f t="shared" si="92"/>
        <v>VF45</v>
      </c>
      <c r="I205" s="50" t="str">
        <f t="shared" si="93"/>
        <v>VF45</v>
      </c>
      <c r="J205" s="50" t="str">
        <f t="shared" si="94"/>
        <v>F</v>
      </c>
      <c r="K205" s="64" t="str">
        <f t="shared" si="88"/>
        <v>Amanda Keasley</v>
      </c>
      <c r="L205" s="64" t="str">
        <f t="shared" si="89"/>
        <v>Havering 90 Joggers</v>
      </c>
      <c r="M205" s="171">
        <v>0</v>
      </c>
      <c r="N205" s="178">
        <v>26</v>
      </c>
      <c r="O205" s="178">
        <v>16</v>
      </c>
      <c r="P205" s="138">
        <f t="shared" si="75"/>
        <v>0</v>
      </c>
      <c r="Q205" s="137">
        <f t="shared" si="76"/>
        <v>26</v>
      </c>
      <c r="R205" s="143"/>
      <c r="S205" s="143"/>
      <c r="T205" s="143"/>
      <c r="U205" s="144"/>
      <c r="V205" s="144"/>
      <c r="W205" s="144"/>
      <c r="X205" s="145"/>
      <c r="Y205" s="152" t="str">
        <f t="shared" si="77"/>
        <v xml:space="preserve">   26.16 </v>
      </c>
      <c r="Z205" s="136"/>
      <c r="AA205" s="50">
        <f t="shared" si="90"/>
        <v>50</v>
      </c>
      <c r="AB205" s="129">
        <f t="shared" si="91"/>
        <v>24749</v>
      </c>
      <c r="AC205" s="58" t="str">
        <f t="shared" si="78"/>
        <v>F9</v>
      </c>
      <c r="AD205" s="58" t="str">
        <f t="shared" si="79"/>
        <v>FHavering 90 Joggers</v>
      </c>
      <c r="AE205" s="60">
        <f>IF(AD205="","",COUNTIF($AD$2:AD205,AD205))</f>
        <v>3</v>
      </c>
      <c r="AF205" s="62">
        <f>IF(AD205="","",SUMIF(AD$2:AD205,AD205,G$2:G205))</f>
        <v>144</v>
      </c>
      <c r="AG205" s="62">
        <f>IF(AK205&lt;&gt;"",COUNTIF($AK$1:AK204,AK205)+AK205,IF(AL205&lt;&gt;"",COUNTIF($AL$1:AL204,AL205)+AL205,""))</f>
        <v>9</v>
      </c>
      <c r="AH205" s="62" t="str">
        <f t="shared" si="80"/>
        <v>Havering 90 Joggers</v>
      </c>
      <c r="AI205" s="62" t="str">
        <f>IF(AND(J205="M", AH205&lt;&gt;"U/A",AE205=Prizewinners!$J$1),AF205,"")</f>
        <v/>
      </c>
      <c r="AJ205" s="58">
        <f>IF(AND(J205="F",  AH205&lt;&gt;"U/A",AE205=Prizewinners!$J$16),AF205,"")</f>
        <v>144</v>
      </c>
      <c r="AK205" s="58" t="str">
        <f t="shared" si="81"/>
        <v/>
      </c>
      <c r="AL205" s="58">
        <f t="shared" si="82"/>
        <v>9</v>
      </c>
      <c r="AM205" s="58" t="str">
        <f t="shared" si="83"/>
        <v>FHavering 90 Joggers3</v>
      </c>
      <c r="AN205" s="58" t="str">
        <f t="shared" si="84"/>
        <v>Kate Pettit</v>
      </c>
      <c r="AO205" s="58" t="str">
        <f t="shared" si="85"/>
        <v>Emma Bolton</v>
      </c>
      <c r="AP205" s="58" t="str">
        <f t="shared" si="86"/>
        <v>Amanda Keasley</v>
      </c>
      <c r="AQ205" s="58" t="str">
        <f t="shared" si="87"/>
        <v>Amanda Keasley</v>
      </c>
    </row>
    <row r="206" spans="1:43" x14ac:dyDescent="0.25">
      <c r="A206" s="12" t="str">
        <f t="shared" si="73"/>
        <v>SF,12</v>
      </c>
      <c r="B206" s="12" t="str">
        <f t="shared" si="74"/>
        <v>F,54</v>
      </c>
      <c r="C206" s="11">
        <f t="shared" si="95"/>
        <v>205</v>
      </c>
      <c r="D206" s="171">
        <v>23</v>
      </c>
      <c r="E206" s="12">
        <f t="shared" si="72"/>
        <v>1</v>
      </c>
      <c r="F206" s="12">
        <f>COUNTIF(H$2:H206,H206)</f>
        <v>12</v>
      </c>
      <c r="G206" s="12">
        <f>COUNTIF(J$2:J206,J206)</f>
        <v>54</v>
      </c>
      <c r="H206" s="12" t="str">
        <f t="shared" si="92"/>
        <v>SF</v>
      </c>
      <c r="I206" s="50" t="str">
        <f t="shared" si="93"/>
        <v>SF</v>
      </c>
      <c r="J206" s="50" t="str">
        <f t="shared" si="94"/>
        <v>F</v>
      </c>
      <c r="K206" s="64" t="str">
        <f t="shared" si="88"/>
        <v>Katie Self</v>
      </c>
      <c r="L206" s="64" t="str">
        <f t="shared" si="89"/>
        <v>East End Road Runners</v>
      </c>
      <c r="M206" s="171">
        <v>0</v>
      </c>
      <c r="N206" s="178">
        <v>26</v>
      </c>
      <c r="O206" s="178">
        <v>17</v>
      </c>
      <c r="P206" s="138">
        <f t="shared" si="75"/>
        <v>0</v>
      </c>
      <c r="Q206" s="137">
        <f t="shared" si="76"/>
        <v>26</v>
      </c>
      <c r="R206" s="143"/>
      <c r="S206" s="143"/>
      <c r="T206" s="143"/>
      <c r="U206" s="144"/>
      <c r="V206" s="144"/>
      <c r="W206" s="144"/>
      <c r="X206" s="145"/>
      <c r="Y206" s="152" t="str">
        <f t="shared" si="77"/>
        <v xml:space="preserve">   26.17 </v>
      </c>
      <c r="Z206" s="136"/>
      <c r="AA206" s="50">
        <f t="shared" si="90"/>
        <v>23</v>
      </c>
      <c r="AB206" s="129">
        <f t="shared" si="91"/>
        <v>34898</v>
      </c>
      <c r="AC206" s="58" t="str">
        <f t="shared" si="78"/>
        <v/>
      </c>
      <c r="AD206" s="58" t="str">
        <f t="shared" si="79"/>
        <v>FEast End Road Runners</v>
      </c>
      <c r="AE206" s="60">
        <f>IF(AD206="","",COUNTIF($AD$2:AD206,AD206))</f>
        <v>4</v>
      </c>
      <c r="AF206" s="62">
        <f>IF(AD206="","",SUMIF(AD$2:AD206,AD206,G$2:G206))</f>
        <v>145</v>
      </c>
      <c r="AG206" s="62" t="str">
        <f>IF(AK206&lt;&gt;"",COUNTIF($AK$1:AK205,AK206)+AK206,IF(AL206&lt;&gt;"",COUNTIF($AL$1:AL205,AL206)+AL206,""))</f>
        <v/>
      </c>
      <c r="AH206" s="62" t="str">
        <f t="shared" si="80"/>
        <v>East End Road Runners</v>
      </c>
      <c r="AI206" s="62" t="str">
        <f>IF(AND(J206="M", AH206&lt;&gt;"U/A",AE206=Prizewinners!$J$1),AF206,"")</f>
        <v/>
      </c>
      <c r="AJ206" s="58" t="str">
        <f>IF(AND(J206="F",  AH206&lt;&gt;"U/A",AE206=Prizewinners!$J$16),AF206,"")</f>
        <v/>
      </c>
      <c r="AK206" s="58" t="str">
        <f t="shared" si="81"/>
        <v/>
      </c>
      <c r="AL206" s="58" t="str">
        <f t="shared" si="82"/>
        <v/>
      </c>
      <c r="AM206" s="58" t="str">
        <f t="shared" si="83"/>
        <v>FEast End Road Runners4</v>
      </c>
      <c r="AN206" s="58" t="str">
        <f t="shared" si="84"/>
        <v/>
      </c>
      <c r="AO206" s="58" t="str">
        <f t="shared" si="85"/>
        <v/>
      </c>
      <c r="AP206" s="58" t="str">
        <f t="shared" si="86"/>
        <v/>
      </c>
      <c r="AQ206" s="58" t="str">
        <f t="shared" si="87"/>
        <v>Katie Self</v>
      </c>
    </row>
    <row r="207" spans="1:43" x14ac:dyDescent="0.25">
      <c r="A207" s="12" t="str">
        <f t="shared" si="73"/>
        <v>VF45,15</v>
      </c>
      <c r="B207" s="12" t="str">
        <f t="shared" si="74"/>
        <v>F,55</v>
      </c>
      <c r="C207" s="11">
        <f t="shared" si="95"/>
        <v>206</v>
      </c>
      <c r="D207" s="171">
        <v>476</v>
      </c>
      <c r="E207" s="12">
        <f t="shared" si="72"/>
        <v>1</v>
      </c>
      <c r="F207" s="12">
        <f>COUNTIF(H$2:H207,H207)</f>
        <v>15</v>
      </c>
      <c r="G207" s="12">
        <f>COUNTIF(J$2:J207,J207)</f>
        <v>55</v>
      </c>
      <c r="H207" s="12" t="str">
        <f t="shared" si="92"/>
        <v>VF45</v>
      </c>
      <c r="I207" s="50" t="str">
        <f t="shared" si="93"/>
        <v>VF45</v>
      </c>
      <c r="J207" s="50" t="str">
        <f t="shared" si="94"/>
        <v>F</v>
      </c>
      <c r="K207" s="64" t="str">
        <f t="shared" si="88"/>
        <v>Alison Sale</v>
      </c>
      <c r="L207" s="64" t="str">
        <f t="shared" si="89"/>
        <v>Ilford AC</v>
      </c>
      <c r="M207" s="171">
        <v>0</v>
      </c>
      <c r="N207" s="178">
        <v>26</v>
      </c>
      <c r="O207" s="178">
        <v>19</v>
      </c>
      <c r="P207" s="138">
        <f t="shared" si="75"/>
        <v>0</v>
      </c>
      <c r="Q207" s="137">
        <f t="shared" si="76"/>
        <v>26</v>
      </c>
      <c r="R207" s="143"/>
      <c r="S207" s="143"/>
      <c r="T207" s="143"/>
      <c r="U207" s="144"/>
      <c r="V207" s="144"/>
      <c r="W207" s="144"/>
      <c r="X207" s="145"/>
      <c r="Y207" s="152" t="str">
        <f t="shared" si="77"/>
        <v xml:space="preserve">   26.19 </v>
      </c>
      <c r="Z207" s="136"/>
      <c r="AA207" s="50">
        <f t="shared" si="90"/>
        <v>53</v>
      </c>
      <c r="AB207" s="129">
        <f t="shared" si="91"/>
        <v>23938</v>
      </c>
      <c r="AC207" s="58" t="str">
        <f t="shared" si="78"/>
        <v/>
      </c>
      <c r="AD207" s="58" t="str">
        <f t="shared" si="79"/>
        <v>FIlford AC</v>
      </c>
      <c r="AE207" s="60">
        <f>IF(AD207="","",COUNTIF($AD$2:AD207,AD207))</f>
        <v>8</v>
      </c>
      <c r="AF207" s="62">
        <f>IF(AD207="","",SUMIF(AD$2:AD207,AD207,G$2:G207))</f>
        <v>240</v>
      </c>
      <c r="AG207" s="62" t="str">
        <f>IF(AK207&lt;&gt;"",COUNTIF($AK$1:AK206,AK207)+AK207,IF(AL207&lt;&gt;"",COUNTIF($AL$1:AL206,AL207)+AL207,""))</f>
        <v/>
      </c>
      <c r="AH207" s="62" t="str">
        <f t="shared" si="80"/>
        <v>Ilford AC</v>
      </c>
      <c r="AI207" s="62" t="str">
        <f>IF(AND(J207="M", AH207&lt;&gt;"U/A",AE207=Prizewinners!$J$1),AF207,"")</f>
        <v/>
      </c>
      <c r="AJ207" s="58" t="str">
        <f>IF(AND(J207="F",  AH207&lt;&gt;"U/A",AE207=Prizewinners!$J$16),AF207,"")</f>
        <v/>
      </c>
      <c r="AK207" s="58" t="str">
        <f t="shared" si="81"/>
        <v/>
      </c>
      <c r="AL207" s="58" t="str">
        <f t="shared" si="82"/>
        <v/>
      </c>
      <c r="AM207" s="58" t="str">
        <f t="shared" si="83"/>
        <v>FIlford AC8</v>
      </c>
      <c r="AN207" s="58" t="str">
        <f t="shared" si="84"/>
        <v/>
      </c>
      <c r="AO207" s="58" t="str">
        <f t="shared" si="85"/>
        <v/>
      </c>
      <c r="AP207" s="58" t="str">
        <f t="shared" si="86"/>
        <v/>
      </c>
      <c r="AQ207" s="58" t="str">
        <f t="shared" si="87"/>
        <v>Alison Sale</v>
      </c>
    </row>
    <row r="208" spans="1:43" x14ac:dyDescent="0.25">
      <c r="A208" s="12" t="str">
        <f t="shared" si="73"/>
        <v>VF35,17</v>
      </c>
      <c r="B208" s="12" t="str">
        <f t="shared" si="74"/>
        <v>F,56</v>
      </c>
      <c r="C208" s="11">
        <f t="shared" si="95"/>
        <v>207</v>
      </c>
      <c r="D208" s="171">
        <v>387</v>
      </c>
      <c r="E208" s="12">
        <f t="shared" si="72"/>
        <v>1</v>
      </c>
      <c r="F208" s="12">
        <f>COUNTIF(H$2:H208,H208)</f>
        <v>17</v>
      </c>
      <c r="G208" s="12">
        <f>COUNTIF(J$2:J208,J208)</f>
        <v>56</v>
      </c>
      <c r="H208" s="12" t="str">
        <f t="shared" si="92"/>
        <v>VF35</v>
      </c>
      <c r="I208" s="50" t="str">
        <f t="shared" si="93"/>
        <v>VF35</v>
      </c>
      <c r="J208" s="50" t="str">
        <f t="shared" si="94"/>
        <v>F</v>
      </c>
      <c r="K208" s="64" t="str">
        <f t="shared" si="88"/>
        <v>Lynsey Mann</v>
      </c>
      <c r="L208" s="64" t="str">
        <f t="shared" si="89"/>
        <v>Harold Wood Running Club</v>
      </c>
      <c r="M208" s="171">
        <v>0</v>
      </c>
      <c r="N208" s="178">
        <v>26</v>
      </c>
      <c r="O208" s="178">
        <v>21</v>
      </c>
      <c r="P208" s="138">
        <f t="shared" si="75"/>
        <v>0</v>
      </c>
      <c r="Q208" s="137">
        <f t="shared" si="76"/>
        <v>26</v>
      </c>
      <c r="R208" s="143"/>
      <c r="S208" s="143"/>
      <c r="T208" s="143"/>
      <c r="U208" s="144"/>
      <c r="V208" s="144"/>
      <c r="W208" s="144"/>
      <c r="X208" s="145"/>
      <c r="Y208" s="152" t="str">
        <f t="shared" si="77"/>
        <v xml:space="preserve">   26.21 </v>
      </c>
      <c r="Z208" s="136"/>
      <c r="AA208" s="50">
        <f t="shared" si="90"/>
        <v>35</v>
      </c>
      <c r="AB208" s="129">
        <f t="shared" si="91"/>
        <v>30321</v>
      </c>
      <c r="AC208" s="58" t="str">
        <f t="shared" si="78"/>
        <v/>
      </c>
      <c r="AD208" s="58" t="str">
        <f t="shared" si="79"/>
        <v>FHarold Wood Running Club</v>
      </c>
      <c r="AE208" s="60">
        <f>IF(AD208="","",COUNTIF($AD$2:AD208,AD208))</f>
        <v>5</v>
      </c>
      <c r="AF208" s="62">
        <f>IF(AD208="","",SUMIF(AD$2:AD208,AD208,G$2:G208))</f>
        <v>153</v>
      </c>
      <c r="AG208" s="62" t="str">
        <f>IF(AK208&lt;&gt;"",COUNTIF($AK$1:AK207,AK208)+AK208,IF(AL208&lt;&gt;"",COUNTIF($AL$1:AL207,AL208)+AL208,""))</f>
        <v/>
      </c>
      <c r="AH208" s="62" t="str">
        <f t="shared" si="80"/>
        <v>Harold Wood Running Club</v>
      </c>
      <c r="AI208" s="62" t="str">
        <f>IF(AND(J208="M", AH208&lt;&gt;"U/A",AE208=Prizewinners!$J$1),AF208,"")</f>
        <v/>
      </c>
      <c r="AJ208" s="58" t="str">
        <f>IF(AND(J208="F",  AH208&lt;&gt;"U/A",AE208=Prizewinners!$J$16),AF208,"")</f>
        <v/>
      </c>
      <c r="AK208" s="58" t="str">
        <f t="shared" si="81"/>
        <v/>
      </c>
      <c r="AL208" s="58" t="str">
        <f t="shared" si="82"/>
        <v/>
      </c>
      <c r="AM208" s="58" t="str">
        <f t="shared" si="83"/>
        <v>FHarold Wood Running Club5</v>
      </c>
      <c r="AN208" s="58" t="str">
        <f t="shared" si="84"/>
        <v/>
      </c>
      <c r="AO208" s="58" t="str">
        <f t="shared" si="85"/>
        <v/>
      </c>
      <c r="AP208" s="58" t="str">
        <f t="shared" si="86"/>
        <v/>
      </c>
      <c r="AQ208" s="58" t="str">
        <f t="shared" si="87"/>
        <v>Lynsey Mann</v>
      </c>
    </row>
    <row r="209" spans="1:43" x14ac:dyDescent="0.25">
      <c r="A209" s="12" t="str">
        <f t="shared" si="73"/>
        <v>VF45,16</v>
      </c>
      <c r="B209" s="12" t="str">
        <f t="shared" si="74"/>
        <v>F,57</v>
      </c>
      <c r="C209" s="11">
        <f t="shared" si="95"/>
        <v>208</v>
      </c>
      <c r="D209" s="171">
        <v>63</v>
      </c>
      <c r="E209" s="12">
        <f t="shared" si="72"/>
        <v>1</v>
      </c>
      <c r="F209" s="12">
        <f>COUNTIF(H$2:H209,H209)</f>
        <v>16</v>
      </c>
      <c r="G209" s="12">
        <f>COUNTIF(J$2:J209,J209)</f>
        <v>57</v>
      </c>
      <c r="H209" s="12" t="str">
        <f t="shared" si="92"/>
        <v>VF45</v>
      </c>
      <c r="I209" s="50" t="str">
        <f t="shared" si="93"/>
        <v>VF45</v>
      </c>
      <c r="J209" s="50" t="str">
        <f t="shared" si="94"/>
        <v>F</v>
      </c>
      <c r="K209" s="64" t="str">
        <f t="shared" si="88"/>
        <v>Fen Coles</v>
      </c>
      <c r="L209" s="64" t="str">
        <f t="shared" si="89"/>
        <v>Eton Manor AC</v>
      </c>
      <c r="M209" s="171">
        <v>0</v>
      </c>
      <c r="N209" s="178">
        <v>26</v>
      </c>
      <c r="O209" s="178">
        <v>21</v>
      </c>
      <c r="P209" s="138">
        <f t="shared" si="75"/>
        <v>0</v>
      </c>
      <c r="Q209" s="137">
        <f t="shared" si="76"/>
        <v>26</v>
      </c>
      <c r="R209" s="143"/>
      <c r="S209" s="143"/>
      <c r="T209" s="143"/>
      <c r="U209" s="144"/>
      <c r="V209" s="144"/>
      <c r="W209" s="144"/>
      <c r="X209" s="145"/>
      <c r="Y209" s="152" t="str">
        <f t="shared" si="77"/>
        <v xml:space="preserve">   26.21 </v>
      </c>
      <c r="Z209" s="136"/>
      <c r="AA209" s="50">
        <f t="shared" si="90"/>
        <v>48</v>
      </c>
      <c r="AB209" s="129">
        <f t="shared" si="91"/>
        <v>25593</v>
      </c>
      <c r="AC209" s="58" t="str">
        <f t="shared" si="78"/>
        <v/>
      </c>
      <c r="AD209" s="58" t="str">
        <f t="shared" si="79"/>
        <v>FEton Manor AC</v>
      </c>
      <c r="AE209" s="60">
        <f>IF(AD209="","",COUNTIF($AD$2:AD209,AD209))</f>
        <v>8</v>
      </c>
      <c r="AF209" s="62">
        <f>IF(AD209="","",SUMIF(AD$2:AD209,AD209,G$2:G209))</f>
        <v>221</v>
      </c>
      <c r="AG209" s="62" t="str">
        <f>IF(AK209&lt;&gt;"",COUNTIF($AK$1:AK208,AK209)+AK209,IF(AL209&lt;&gt;"",COUNTIF($AL$1:AL208,AL209)+AL209,""))</f>
        <v/>
      </c>
      <c r="AH209" s="62" t="str">
        <f t="shared" si="80"/>
        <v>Eton Manor AC</v>
      </c>
      <c r="AI209" s="62" t="str">
        <f>IF(AND(J209="M", AH209&lt;&gt;"U/A",AE209=Prizewinners!$J$1),AF209,"")</f>
        <v/>
      </c>
      <c r="AJ209" s="58" t="str">
        <f>IF(AND(J209="F",  AH209&lt;&gt;"U/A",AE209=Prizewinners!$J$16),AF209,"")</f>
        <v/>
      </c>
      <c r="AK209" s="58" t="str">
        <f t="shared" si="81"/>
        <v/>
      </c>
      <c r="AL209" s="58" t="str">
        <f t="shared" si="82"/>
        <v/>
      </c>
      <c r="AM209" s="58" t="str">
        <f t="shared" si="83"/>
        <v>FEton Manor AC8</v>
      </c>
      <c r="AN209" s="58" t="str">
        <f t="shared" si="84"/>
        <v/>
      </c>
      <c r="AO209" s="58" t="str">
        <f t="shared" si="85"/>
        <v/>
      </c>
      <c r="AP209" s="58" t="str">
        <f t="shared" si="86"/>
        <v/>
      </c>
      <c r="AQ209" s="58" t="str">
        <f t="shared" si="87"/>
        <v>Fen Coles</v>
      </c>
    </row>
    <row r="210" spans="1:43" x14ac:dyDescent="0.25">
      <c r="A210" s="12" t="str">
        <f t="shared" si="73"/>
        <v>VM40,46</v>
      </c>
      <c r="B210" s="12" t="str">
        <f t="shared" si="74"/>
        <v>M,152</v>
      </c>
      <c r="C210" s="11">
        <f t="shared" si="95"/>
        <v>209</v>
      </c>
      <c r="D210" s="171">
        <v>409</v>
      </c>
      <c r="E210" s="12">
        <f t="shared" si="72"/>
        <v>1</v>
      </c>
      <c r="F210" s="12">
        <f>COUNTIF(H$2:H210,H210)</f>
        <v>46</v>
      </c>
      <c r="G210" s="12">
        <f>COUNTIF(J$2:J210,J210)</f>
        <v>152</v>
      </c>
      <c r="H210" s="12" t="str">
        <f t="shared" si="92"/>
        <v>VM40</v>
      </c>
      <c r="I210" s="50" t="str">
        <f t="shared" si="93"/>
        <v>VM40</v>
      </c>
      <c r="J210" s="50" t="str">
        <f t="shared" si="94"/>
        <v>M</v>
      </c>
      <c r="K210" s="64" t="str">
        <f t="shared" si="88"/>
        <v>Arthur Diaz</v>
      </c>
      <c r="L210" s="64" t="str">
        <f t="shared" si="89"/>
        <v>East London Runners</v>
      </c>
      <c r="M210" s="171">
        <v>0</v>
      </c>
      <c r="N210" s="178">
        <v>26</v>
      </c>
      <c r="O210" s="178">
        <v>25</v>
      </c>
      <c r="P210" s="138">
        <f t="shared" si="75"/>
        <v>0</v>
      </c>
      <c r="Q210" s="137">
        <f t="shared" si="76"/>
        <v>26</v>
      </c>
      <c r="R210" s="143"/>
      <c r="S210" s="143"/>
      <c r="T210" s="143"/>
      <c r="U210" s="144"/>
      <c r="V210" s="144"/>
      <c r="W210" s="144"/>
      <c r="X210" s="145"/>
      <c r="Y210" s="152" t="str">
        <f t="shared" si="77"/>
        <v xml:space="preserve">   26.25 </v>
      </c>
      <c r="Z210" s="136"/>
      <c r="AA210" s="50">
        <f t="shared" si="90"/>
        <v>43</v>
      </c>
      <c r="AB210" s="129">
        <f t="shared" si="91"/>
        <v>27585</v>
      </c>
      <c r="AC210" s="58" t="str">
        <f t="shared" si="78"/>
        <v/>
      </c>
      <c r="AD210" s="58" t="str">
        <f t="shared" si="79"/>
        <v>MEast London Runners</v>
      </c>
      <c r="AE210" s="60">
        <f>IF(AD210="","",COUNTIF($AD$2:AD210,AD210))</f>
        <v>47</v>
      </c>
      <c r="AF210" s="62">
        <f>IF(AD210="","",SUMIF(AD$2:AD210,AD210,G$2:G210))</f>
        <v>3306</v>
      </c>
      <c r="AG210" s="62" t="str">
        <f>IF(AK210&lt;&gt;"",COUNTIF($AK$1:AK209,AK210)+AK210,IF(AL210&lt;&gt;"",COUNTIF($AL$1:AL209,AL210)+AL210,""))</f>
        <v/>
      </c>
      <c r="AH210" s="62" t="str">
        <f t="shared" si="80"/>
        <v>East London Runners</v>
      </c>
      <c r="AI210" s="62" t="str">
        <f>IF(AND(J210="M", AH210&lt;&gt;"U/A",AE210=Prizewinners!$J$1),AF210,"")</f>
        <v/>
      </c>
      <c r="AJ210" s="58" t="str">
        <f>IF(AND(J210="F",  AH210&lt;&gt;"U/A",AE210=Prizewinners!$J$16),AF210,"")</f>
        <v/>
      </c>
      <c r="AK210" s="58" t="str">
        <f t="shared" si="81"/>
        <v/>
      </c>
      <c r="AL210" s="58" t="str">
        <f t="shared" si="82"/>
        <v/>
      </c>
      <c r="AM210" s="58" t="str">
        <f t="shared" si="83"/>
        <v>MEast London Runners47</v>
      </c>
      <c r="AN210" s="58" t="str">
        <f t="shared" si="84"/>
        <v/>
      </c>
      <c r="AO210" s="58" t="str">
        <f t="shared" si="85"/>
        <v/>
      </c>
      <c r="AP210" s="58" t="str">
        <f t="shared" si="86"/>
        <v/>
      </c>
      <c r="AQ210" s="58" t="str">
        <f t="shared" si="87"/>
        <v>Arthur Diaz</v>
      </c>
    </row>
    <row r="211" spans="1:43" x14ac:dyDescent="0.25">
      <c r="A211" s="12" t="str">
        <f t="shared" si="73"/>
        <v>VF55,10</v>
      </c>
      <c r="B211" s="12" t="str">
        <f t="shared" si="74"/>
        <v>F,58</v>
      </c>
      <c r="C211" s="11">
        <f t="shared" si="95"/>
        <v>210</v>
      </c>
      <c r="D211" s="171">
        <v>149</v>
      </c>
      <c r="E211" s="12">
        <f t="shared" si="72"/>
        <v>1</v>
      </c>
      <c r="F211" s="12">
        <f>COUNTIF(H$2:H211,H211)</f>
        <v>10</v>
      </c>
      <c r="G211" s="12">
        <f>COUNTIF(J$2:J211,J211)</f>
        <v>58</v>
      </c>
      <c r="H211" s="12" t="str">
        <f t="shared" si="92"/>
        <v>VF55</v>
      </c>
      <c r="I211" s="50" t="str">
        <f t="shared" si="93"/>
        <v>VF55</v>
      </c>
      <c r="J211" s="50" t="str">
        <f t="shared" si="94"/>
        <v>F</v>
      </c>
      <c r="K211" s="64" t="str">
        <f t="shared" si="88"/>
        <v>Mary O'Brien</v>
      </c>
      <c r="L211" s="64" t="str">
        <f t="shared" si="89"/>
        <v>East London Runners</v>
      </c>
      <c r="M211" s="171">
        <v>0</v>
      </c>
      <c r="N211" s="178">
        <v>26</v>
      </c>
      <c r="O211" s="178">
        <v>28</v>
      </c>
      <c r="P211" s="138">
        <f t="shared" si="75"/>
        <v>0</v>
      </c>
      <c r="Q211" s="137">
        <f t="shared" si="76"/>
        <v>26</v>
      </c>
      <c r="R211" s="143"/>
      <c r="S211" s="143"/>
      <c r="T211" s="143"/>
      <c r="U211" s="144"/>
      <c r="V211" s="144"/>
      <c r="W211" s="144"/>
      <c r="X211" s="145"/>
      <c r="Y211" s="152" t="str">
        <f t="shared" si="77"/>
        <v xml:space="preserve">   26.28 </v>
      </c>
      <c r="Z211" s="136"/>
      <c r="AA211" s="50">
        <f t="shared" si="90"/>
        <v>64</v>
      </c>
      <c r="AB211" s="129">
        <f t="shared" si="91"/>
        <v>19879</v>
      </c>
      <c r="AC211" s="58" t="str">
        <f t="shared" si="78"/>
        <v/>
      </c>
      <c r="AD211" s="58" t="str">
        <f t="shared" si="79"/>
        <v>FEast London Runners</v>
      </c>
      <c r="AE211" s="60">
        <f>IF(AD211="","",COUNTIF($AD$2:AD211,AD211))</f>
        <v>12</v>
      </c>
      <c r="AF211" s="62">
        <f>IF(AD211="","",SUMIF(AD$2:AD211,AD211,G$2:G211))</f>
        <v>324</v>
      </c>
      <c r="AG211" s="62" t="str">
        <f>IF(AK211&lt;&gt;"",COUNTIF($AK$1:AK210,AK211)+AK211,IF(AL211&lt;&gt;"",COUNTIF($AL$1:AL210,AL211)+AL211,""))</f>
        <v/>
      </c>
      <c r="AH211" s="62" t="str">
        <f t="shared" si="80"/>
        <v>East London Runners</v>
      </c>
      <c r="AI211" s="62" t="str">
        <f>IF(AND(J211="M", AH211&lt;&gt;"U/A",AE211=Prizewinners!$J$1),AF211,"")</f>
        <v/>
      </c>
      <c r="AJ211" s="58" t="str">
        <f>IF(AND(J211="F",  AH211&lt;&gt;"U/A",AE211=Prizewinners!$J$16),AF211,"")</f>
        <v/>
      </c>
      <c r="AK211" s="58" t="str">
        <f t="shared" si="81"/>
        <v/>
      </c>
      <c r="AL211" s="58" t="str">
        <f t="shared" si="82"/>
        <v/>
      </c>
      <c r="AM211" s="58" t="str">
        <f t="shared" si="83"/>
        <v>FEast London Runners12</v>
      </c>
      <c r="AN211" s="58" t="str">
        <f t="shared" si="84"/>
        <v/>
      </c>
      <c r="AO211" s="58" t="str">
        <f t="shared" si="85"/>
        <v/>
      </c>
      <c r="AP211" s="58" t="str">
        <f t="shared" si="86"/>
        <v/>
      </c>
      <c r="AQ211" s="58" t="str">
        <f t="shared" si="87"/>
        <v>Mary O'Brien</v>
      </c>
    </row>
    <row r="212" spans="1:43" x14ac:dyDescent="0.25">
      <c r="A212" s="12" t="str">
        <f t="shared" si="73"/>
        <v>VM60,15</v>
      </c>
      <c r="B212" s="12" t="str">
        <f t="shared" si="74"/>
        <v>M,153</v>
      </c>
      <c r="C212" s="11">
        <f t="shared" si="95"/>
        <v>211</v>
      </c>
      <c r="D212" s="171">
        <v>78</v>
      </c>
      <c r="E212" s="12">
        <f t="shared" si="72"/>
        <v>1</v>
      </c>
      <c r="F212" s="12">
        <f>COUNTIF(H$2:H212,H212)</f>
        <v>15</v>
      </c>
      <c r="G212" s="12">
        <f>COUNTIF(J$2:J212,J212)</f>
        <v>153</v>
      </c>
      <c r="H212" s="12" t="str">
        <f t="shared" si="92"/>
        <v>VM60</v>
      </c>
      <c r="I212" s="50" t="str">
        <f t="shared" si="93"/>
        <v>VM60</v>
      </c>
      <c r="J212" s="50" t="str">
        <f t="shared" si="94"/>
        <v>M</v>
      </c>
      <c r="K212" s="64" t="str">
        <f t="shared" si="88"/>
        <v>Martin Mason</v>
      </c>
      <c r="L212" s="64" t="str">
        <f t="shared" si="89"/>
        <v>Barking Road Runners</v>
      </c>
      <c r="M212" s="171">
        <v>0</v>
      </c>
      <c r="N212" s="178">
        <v>26</v>
      </c>
      <c r="O212" s="178">
        <v>32</v>
      </c>
      <c r="P212" s="138">
        <f t="shared" si="75"/>
        <v>0</v>
      </c>
      <c r="Q212" s="137">
        <f t="shared" si="76"/>
        <v>26</v>
      </c>
      <c r="R212" s="143"/>
      <c r="S212" s="143"/>
      <c r="T212" s="143"/>
      <c r="U212" s="144"/>
      <c r="V212" s="144"/>
      <c r="W212" s="144"/>
      <c r="X212" s="145"/>
      <c r="Y212" s="152" t="str">
        <f t="shared" si="77"/>
        <v xml:space="preserve">   26.32 </v>
      </c>
      <c r="Z212" s="136"/>
      <c r="AA212" s="50">
        <f t="shared" si="90"/>
        <v>68</v>
      </c>
      <c r="AB212" s="129">
        <f t="shared" si="91"/>
        <v>18325</v>
      </c>
      <c r="AC212" s="58" t="str">
        <f t="shared" si="78"/>
        <v/>
      </c>
      <c r="AD212" s="58" t="str">
        <f t="shared" si="79"/>
        <v>MBarking Road Runners</v>
      </c>
      <c r="AE212" s="60">
        <f>IF(AD212="","",COUNTIF($AD$2:AD212,AD212))</f>
        <v>11</v>
      </c>
      <c r="AF212" s="62">
        <f>IF(AD212="","",SUMIF(AD$2:AD212,AD212,G$2:G212))</f>
        <v>701</v>
      </c>
      <c r="AG212" s="62" t="str">
        <f>IF(AK212&lt;&gt;"",COUNTIF($AK$1:AK211,AK212)+AK212,IF(AL212&lt;&gt;"",COUNTIF($AL$1:AL211,AL212)+AL212,""))</f>
        <v/>
      </c>
      <c r="AH212" s="62" t="str">
        <f t="shared" si="80"/>
        <v>Barking Road Runners</v>
      </c>
      <c r="AI212" s="62" t="str">
        <f>IF(AND(J212="M", AH212&lt;&gt;"U/A",AE212=Prizewinners!$J$1),AF212,"")</f>
        <v/>
      </c>
      <c r="AJ212" s="58" t="str">
        <f>IF(AND(J212="F",  AH212&lt;&gt;"U/A",AE212=Prizewinners!$J$16),AF212,"")</f>
        <v/>
      </c>
      <c r="AK212" s="58" t="str">
        <f t="shared" si="81"/>
        <v/>
      </c>
      <c r="AL212" s="58" t="str">
        <f t="shared" si="82"/>
        <v/>
      </c>
      <c r="AM212" s="58" t="str">
        <f t="shared" si="83"/>
        <v>MBarking Road Runners11</v>
      </c>
      <c r="AN212" s="58" t="str">
        <f t="shared" si="84"/>
        <v/>
      </c>
      <c r="AO212" s="58" t="str">
        <f t="shared" si="85"/>
        <v/>
      </c>
      <c r="AP212" s="58" t="str">
        <f t="shared" si="86"/>
        <v/>
      </c>
      <c r="AQ212" s="58" t="str">
        <f t="shared" si="87"/>
        <v>Martin Mason</v>
      </c>
    </row>
    <row r="213" spans="1:43" x14ac:dyDescent="0.25">
      <c r="A213" s="12" t="str">
        <f t="shared" si="73"/>
        <v>VF45,17</v>
      </c>
      <c r="B213" s="12" t="str">
        <f t="shared" si="74"/>
        <v>F,59</v>
      </c>
      <c r="C213" s="11">
        <f t="shared" si="95"/>
        <v>212</v>
      </c>
      <c r="D213" s="171">
        <v>60</v>
      </c>
      <c r="E213" s="12">
        <f t="shared" si="72"/>
        <v>1</v>
      </c>
      <c r="F213" s="12">
        <f>COUNTIF(H$2:H213,H213)</f>
        <v>17</v>
      </c>
      <c r="G213" s="12">
        <f>COUNTIF(J$2:J213,J213)</f>
        <v>59</v>
      </c>
      <c r="H213" s="12" t="str">
        <f t="shared" si="92"/>
        <v>VF45</v>
      </c>
      <c r="I213" s="50" t="str">
        <f t="shared" si="93"/>
        <v>VF45</v>
      </c>
      <c r="J213" s="50" t="str">
        <f t="shared" si="94"/>
        <v>F</v>
      </c>
      <c r="K213" s="64" t="str">
        <f t="shared" si="88"/>
        <v>Michele Sullivan</v>
      </c>
      <c r="L213" s="64" t="str">
        <f t="shared" si="89"/>
        <v>Havering 90 Joggers</v>
      </c>
      <c r="M213" s="171">
        <v>0</v>
      </c>
      <c r="N213" s="178">
        <v>26</v>
      </c>
      <c r="O213" s="178">
        <v>36</v>
      </c>
      <c r="P213" s="138">
        <f t="shared" si="75"/>
        <v>0</v>
      </c>
      <c r="Q213" s="137">
        <f t="shared" si="76"/>
        <v>26</v>
      </c>
      <c r="R213" s="143"/>
      <c r="S213" s="143"/>
      <c r="T213" s="143"/>
      <c r="U213" s="144"/>
      <c r="V213" s="144"/>
      <c r="W213" s="144"/>
      <c r="X213" s="145"/>
      <c r="Y213" s="152" t="str">
        <f t="shared" si="77"/>
        <v xml:space="preserve">   26.36 </v>
      </c>
      <c r="Z213" s="136"/>
      <c r="AA213" s="50">
        <f t="shared" si="90"/>
        <v>50</v>
      </c>
      <c r="AB213" s="129">
        <f t="shared" si="91"/>
        <v>24936</v>
      </c>
      <c r="AC213" s="58" t="str">
        <f t="shared" si="78"/>
        <v/>
      </c>
      <c r="AD213" s="58" t="str">
        <f t="shared" si="79"/>
        <v>FHavering 90 Joggers</v>
      </c>
      <c r="AE213" s="60">
        <f>IF(AD213="","",COUNTIF($AD$2:AD213,AD213))</f>
        <v>4</v>
      </c>
      <c r="AF213" s="62">
        <f>IF(AD213="","",SUMIF(AD$2:AD213,AD213,G$2:G213))</f>
        <v>203</v>
      </c>
      <c r="AG213" s="62" t="str">
        <f>IF(AK213&lt;&gt;"",COUNTIF($AK$1:AK212,AK213)+AK213,IF(AL213&lt;&gt;"",COUNTIF($AL$1:AL212,AL213)+AL213,""))</f>
        <v/>
      </c>
      <c r="AH213" s="62" t="str">
        <f t="shared" si="80"/>
        <v>Havering 90 Joggers</v>
      </c>
      <c r="AI213" s="62" t="str">
        <f>IF(AND(J213="M", AH213&lt;&gt;"U/A",AE213=Prizewinners!$J$1),AF213,"")</f>
        <v/>
      </c>
      <c r="AJ213" s="58" t="str">
        <f>IF(AND(J213="F",  AH213&lt;&gt;"U/A",AE213=Prizewinners!$J$16),AF213,"")</f>
        <v/>
      </c>
      <c r="AK213" s="58" t="str">
        <f t="shared" si="81"/>
        <v/>
      </c>
      <c r="AL213" s="58" t="str">
        <f t="shared" si="82"/>
        <v/>
      </c>
      <c r="AM213" s="58" t="str">
        <f t="shared" si="83"/>
        <v>FHavering 90 Joggers4</v>
      </c>
      <c r="AN213" s="58" t="str">
        <f t="shared" si="84"/>
        <v/>
      </c>
      <c r="AO213" s="58" t="str">
        <f t="shared" si="85"/>
        <v/>
      </c>
      <c r="AP213" s="58" t="str">
        <f t="shared" si="86"/>
        <v/>
      </c>
      <c r="AQ213" s="58" t="str">
        <f t="shared" si="87"/>
        <v>Michele Sullivan</v>
      </c>
    </row>
    <row r="214" spans="1:43" x14ac:dyDescent="0.25">
      <c r="A214" s="12" t="str">
        <f t="shared" si="73"/>
        <v>VM60,16</v>
      </c>
      <c r="B214" s="12" t="str">
        <f t="shared" si="74"/>
        <v>M,154</v>
      </c>
      <c r="C214" s="11">
        <f t="shared" si="95"/>
        <v>213</v>
      </c>
      <c r="D214" s="171">
        <v>20</v>
      </c>
      <c r="E214" s="12">
        <f t="shared" si="72"/>
        <v>1</v>
      </c>
      <c r="F214" s="12">
        <f>COUNTIF(H$2:H214,H214)</f>
        <v>16</v>
      </c>
      <c r="G214" s="12">
        <f>COUNTIF(J$2:J214,J214)</f>
        <v>154</v>
      </c>
      <c r="H214" s="12" t="str">
        <f t="shared" si="92"/>
        <v>VM60</v>
      </c>
      <c r="I214" s="50" t="str">
        <f t="shared" si="93"/>
        <v>VM60</v>
      </c>
      <c r="J214" s="50" t="str">
        <f t="shared" si="94"/>
        <v>M</v>
      </c>
      <c r="K214" s="64" t="str">
        <f t="shared" si="88"/>
        <v>Phil Hudson</v>
      </c>
      <c r="L214" s="64" t="str">
        <f t="shared" si="89"/>
        <v>Ware Joggers</v>
      </c>
      <c r="M214" s="171">
        <v>0</v>
      </c>
      <c r="N214" s="178">
        <v>26</v>
      </c>
      <c r="O214" s="178">
        <v>46</v>
      </c>
      <c r="P214" s="138">
        <f t="shared" si="75"/>
        <v>0</v>
      </c>
      <c r="Q214" s="137">
        <f t="shared" si="76"/>
        <v>26</v>
      </c>
      <c r="R214" s="143"/>
      <c r="S214" s="143"/>
      <c r="T214" s="143"/>
      <c r="U214" s="144"/>
      <c r="V214" s="144"/>
      <c r="W214" s="144"/>
      <c r="X214" s="145"/>
      <c r="Y214" s="152" t="str">
        <f t="shared" si="77"/>
        <v xml:space="preserve">   26.46 </v>
      </c>
      <c r="Z214" s="136"/>
      <c r="AA214" s="50">
        <f t="shared" si="90"/>
        <v>62</v>
      </c>
      <c r="AB214" s="129">
        <f t="shared" si="91"/>
        <v>20693</v>
      </c>
      <c r="AC214" s="58" t="str">
        <f t="shared" si="78"/>
        <v/>
      </c>
      <c r="AD214" s="58" t="str">
        <f t="shared" si="79"/>
        <v>MWare Joggers</v>
      </c>
      <c r="AE214" s="60">
        <f>IF(AD214="","",COUNTIF($AD$2:AD214,AD214))</f>
        <v>1</v>
      </c>
      <c r="AF214" s="62">
        <f>IF(AD214="","",SUMIF(AD$2:AD214,AD214,G$2:G214))</f>
        <v>154</v>
      </c>
      <c r="AG214" s="62" t="str">
        <f>IF(AK214&lt;&gt;"",COUNTIF($AK$1:AK213,AK214)+AK214,IF(AL214&lt;&gt;"",COUNTIF($AL$1:AL213,AL214)+AL214,""))</f>
        <v/>
      </c>
      <c r="AH214" s="62" t="str">
        <f t="shared" si="80"/>
        <v>Ware Joggers</v>
      </c>
      <c r="AI214" s="62" t="str">
        <f>IF(AND(J214="M", AH214&lt;&gt;"U/A",AE214=Prizewinners!$J$1),AF214,"")</f>
        <v/>
      </c>
      <c r="AJ214" s="58" t="str">
        <f>IF(AND(J214="F",  AH214&lt;&gt;"U/A",AE214=Prizewinners!$J$16),AF214,"")</f>
        <v/>
      </c>
      <c r="AK214" s="58" t="str">
        <f t="shared" si="81"/>
        <v/>
      </c>
      <c r="AL214" s="58" t="str">
        <f t="shared" si="82"/>
        <v/>
      </c>
      <c r="AM214" s="58" t="str">
        <f t="shared" si="83"/>
        <v>MWare Joggers1</v>
      </c>
      <c r="AN214" s="58" t="str">
        <f t="shared" si="84"/>
        <v/>
      </c>
      <c r="AO214" s="58" t="str">
        <f t="shared" si="85"/>
        <v/>
      </c>
      <c r="AP214" s="58" t="str">
        <f t="shared" si="86"/>
        <v/>
      </c>
      <c r="AQ214" s="58" t="str">
        <f t="shared" si="87"/>
        <v>Phil Hudson</v>
      </c>
    </row>
    <row r="215" spans="1:43" x14ac:dyDescent="0.25">
      <c r="A215" s="12" t="str">
        <f t="shared" si="73"/>
        <v>VF55,11</v>
      </c>
      <c r="B215" s="12" t="str">
        <f t="shared" si="74"/>
        <v>F,60</v>
      </c>
      <c r="C215" s="11">
        <f t="shared" si="95"/>
        <v>214</v>
      </c>
      <c r="D215" s="171">
        <v>31</v>
      </c>
      <c r="E215" s="12">
        <f t="shared" si="72"/>
        <v>1</v>
      </c>
      <c r="F215" s="12">
        <f>COUNTIF(H$2:H215,H215)</f>
        <v>11</v>
      </c>
      <c r="G215" s="12">
        <f>COUNTIF(J$2:J215,J215)</f>
        <v>60</v>
      </c>
      <c r="H215" s="12" t="str">
        <f t="shared" si="92"/>
        <v>VF55</v>
      </c>
      <c r="I215" s="50" t="str">
        <f t="shared" si="93"/>
        <v>VF55</v>
      </c>
      <c r="J215" s="50" t="str">
        <f t="shared" si="94"/>
        <v>F</v>
      </c>
      <c r="K215" s="64" t="str">
        <f t="shared" si="88"/>
        <v>Lisa Smith</v>
      </c>
      <c r="L215" s="64" t="str">
        <f t="shared" si="89"/>
        <v>orion harriers</v>
      </c>
      <c r="M215" s="171">
        <v>0</v>
      </c>
      <c r="N215" s="178">
        <v>26</v>
      </c>
      <c r="O215" s="178">
        <v>50</v>
      </c>
      <c r="P215" s="138">
        <f t="shared" si="75"/>
        <v>0</v>
      </c>
      <c r="Q215" s="137">
        <f t="shared" si="76"/>
        <v>26</v>
      </c>
      <c r="R215" s="143"/>
      <c r="S215" s="143"/>
      <c r="T215" s="143"/>
      <c r="U215" s="144"/>
      <c r="V215" s="144"/>
      <c r="W215" s="144"/>
      <c r="X215" s="145"/>
      <c r="Y215" s="152" t="str">
        <f t="shared" si="77"/>
        <v xml:space="preserve">   26.50 </v>
      </c>
      <c r="Z215" s="136"/>
      <c r="AA215" s="50">
        <f t="shared" si="90"/>
        <v>59</v>
      </c>
      <c r="AB215" s="129">
        <f t="shared" si="91"/>
        <v>21555</v>
      </c>
      <c r="AC215" s="58" t="str">
        <f t="shared" si="78"/>
        <v/>
      </c>
      <c r="AD215" s="58" t="str">
        <f t="shared" si="79"/>
        <v>Forion harriers</v>
      </c>
      <c r="AE215" s="60">
        <f>IF(AD215="","",COUNTIF($AD$2:AD215,AD215))</f>
        <v>8</v>
      </c>
      <c r="AF215" s="62">
        <f>IF(AD215="","",SUMIF(AD$2:AD215,AD215,G$2:G215))</f>
        <v>243</v>
      </c>
      <c r="AG215" s="62" t="str">
        <f>IF(AK215&lt;&gt;"",COUNTIF($AK$1:AK214,AK215)+AK215,IF(AL215&lt;&gt;"",COUNTIF($AL$1:AL214,AL215)+AL215,""))</f>
        <v/>
      </c>
      <c r="AH215" s="62" t="str">
        <f t="shared" si="80"/>
        <v>orion harriers</v>
      </c>
      <c r="AI215" s="62" t="str">
        <f>IF(AND(J215="M", AH215&lt;&gt;"U/A",AE215=Prizewinners!$J$1),AF215,"")</f>
        <v/>
      </c>
      <c r="AJ215" s="58" t="str">
        <f>IF(AND(J215="F",  AH215&lt;&gt;"U/A",AE215=Prizewinners!$J$16),AF215,"")</f>
        <v/>
      </c>
      <c r="AK215" s="58" t="str">
        <f t="shared" si="81"/>
        <v/>
      </c>
      <c r="AL215" s="58" t="str">
        <f t="shared" si="82"/>
        <v/>
      </c>
      <c r="AM215" s="58" t="str">
        <f t="shared" si="83"/>
        <v>Forion harriers8</v>
      </c>
      <c r="AN215" s="58" t="str">
        <f t="shared" si="84"/>
        <v/>
      </c>
      <c r="AO215" s="58" t="str">
        <f t="shared" si="85"/>
        <v/>
      </c>
      <c r="AP215" s="58" t="str">
        <f t="shared" si="86"/>
        <v/>
      </c>
      <c r="AQ215" s="58" t="str">
        <f t="shared" si="87"/>
        <v>Lisa Smith</v>
      </c>
    </row>
    <row r="216" spans="1:43" x14ac:dyDescent="0.25">
      <c r="A216" s="12" t="str">
        <f t="shared" si="73"/>
        <v>VF35,18</v>
      </c>
      <c r="B216" s="12" t="str">
        <f t="shared" si="74"/>
        <v>F,61</v>
      </c>
      <c r="C216" s="11">
        <f t="shared" si="95"/>
        <v>215</v>
      </c>
      <c r="D216" s="171">
        <v>326</v>
      </c>
      <c r="E216" s="12">
        <f t="shared" si="72"/>
        <v>1</v>
      </c>
      <c r="F216" s="12">
        <f>COUNTIF(H$2:H216,H216)</f>
        <v>18</v>
      </c>
      <c r="G216" s="12">
        <f>COUNTIF(J$2:J216,J216)</f>
        <v>61</v>
      </c>
      <c r="H216" s="12" t="str">
        <f t="shared" si="92"/>
        <v>VF35</v>
      </c>
      <c r="I216" s="50" t="str">
        <f t="shared" si="93"/>
        <v>VF35</v>
      </c>
      <c r="J216" s="50" t="str">
        <f t="shared" si="94"/>
        <v>F</v>
      </c>
      <c r="K216" s="64" t="str">
        <f t="shared" si="88"/>
        <v>Alexandra Rutishauser-Perera</v>
      </c>
      <c r="L216" s="64" t="str">
        <f t="shared" si="89"/>
        <v>East London Runners</v>
      </c>
      <c r="M216" s="171">
        <v>0</v>
      </c>
      <c r="N216" s="178">
        <v>26</v>
      </c>
      <c r="O216" s="178">
        <v>54</v>
      </c>
      <c r="P216" s="138">
        <f t="shared" si="75"/>
        <v>0</v>
      </c>
      <c r="Q216" s="137">
        <f t="shared" si="76"/>
        <v>26</v>
      </c>
      <c r="R216" s="143"/>
      <c r="S216" s="143"/>
      <c r="T216" s="143"/>
      <c r="U216" s="144"/>
      <c r="V216" s="144"/>
      <c r="W216" s="144"/>
      <c r="X216" s="145"/>
      <c r="Y216" s="152" t="str">
        <f t="shared" si="77"/>
        <v xml:space="preserve">   26.54 </v>
      </c>
      <c r="Z216" s="136"/>
      <c r="AA216" s="50">
        <f t="shared" si="90"/>
        <v>40</v>
      </c>
      <c r="AB216" s="129">
        <f t="shared" si="91"/>
        <v>28632</v>
      </c>
      <c r="AC216" s="58" t="str">
        <f t="shared" si="78"/>
        <v/>
      </c>
      <c r="AD216" s="58" t="str">
        <f t="shared" si="79"/>
        <v>FEast London Runners</v>
      </c>
      <c r="AE216" s="60">
        <f>IF(AD216="","",COUNTIF($AD$2:AD216,AD216))</f>
        <v>13</v>
      </c>
      <c r="AF216" s="62">
        <f>IF(AD216="","",SUMIF(AD$2:AD216,AD216,G$2:G216))</f>
        <v>385</v>
      </c>
      <c r="AG216" s="62" t="str">
        <f>IF(AK216&lt;&gt;"",COUNTIF($AK$1:AK215,AK216)+AK216,IF(AL216&lt;&gt;"",COUNTIF($AL$1:AL215,AL216)+AL216,""))</f>
        <v/>
      </c>
      <c r="AH216" s="62" t="str">
        <f t="shared" si="80"/>
        <v>East London Runners</v>
      </c>
      <c r="AI216" s="62" t="str">
        <f>IF(AND(J216="M", AH216&lt;&gt;"U/A",AE216=Prizewinners!$J$1),AF216,"")</f>
        <v/>
      </c>
      <c r="AJ216" s="58" t="str">
        <f>IF(AND(J216="F",  AH216&lt;&gt;"U/A",AE216=Prizewinners!$J$16),AF216,"")</f>
        <v/>
      </c>
      <c r="AK216" s="58" t="str">
        <f t="shared" si="81"/>
        <v/>
      </c>
      <c r="AL216" s="58" t="str">
        <f t="shared" si="82"/>
        <v/>
      </c>
      <c r="AM216" s="58" t="str">
        <f t="shared" si="83"/>
        <v>FEast London Runners13</v>
      </c>
      <c r="AN216" s="58" t="str">
        <f t="shared" si="84"/>
        <v/>
      </c>
      <c r="AO216" s="58" t="str">
        <f t="shared" si="85"/>
        <v/>
      </c>
      <c r="AP216" s="58" t="str">
        <f t="shared" si="86"/>
        <v/>
      </c>
      <c r="AQ216" s="58" t="str">
        <f t="shared" si="87"/>
        <v>Alexandra Rutishauser-Perera</v>
      </c>
    </row>
    <row r="217" spans="1:43" x14ac:dyDescent="0.25">
      <c r="A217" s="12" t="str">
        <f t="shared" si="73"/>
        <v>VM60,17</v>
      </c>
      <c r="B217" s="12" t="str">
        <f t="shared" si="74"/>
        <v>M,155</v>
      </c>
      <c r="C217" s="11">
        <f t="shared" si="95"/>
        <v>216</v>
      </c>
      <c r="D217" s="171">
        <v>479</v>
      </c>
      <c r="E217" s="12">
        <f t="shared" si="72"/>
        <v>1</v>
      </c>
      <c r="F217" s="12">
        <f>COUNTIF(H$2:H217,H217)</f>
        <v>17</v>
      </c>
      <c r="G217" s="12">
        <f>COUNTIF(J$2:J217,J217)</f>
        <v>155</v>
      </c>
      <c r="H217" s="12" t="str">
        <f t="shared" si="92"/>
        <v>VM60</v>
      </c>
      <c r="I217" s="50" t="str">
        <f t="shared" si="93"/>
        <v>VM60</v>
      </c>
      <c r="J217" s="50" t="str">
        <f t="shared" si="94"/>
        <v>M</v>
      </c>
      <c r="K217" s="64" t="str">
        <f t="shared" si="88"/>
        <v>Richard Rockliffe</v>
      </c>
      <c r="L217" s="64" t="str">
        <f t="shared" si="89"/>
        <v>Harold Wood Running Club</v>
      </c>
      <c r="M217" s="171">
        <v>0</v>
      </c>
      <c r="N217" s="178">
        <v>26</v>
      </c>
      <c r="O217" s="178">
        <v>55</v>
      </c>
      <c r="P217" s="138">
        <f t="shared" si="75"/>
        <v>0</v>
      </c>
      <c r="Q217" s="137">
        <f t="shared" si="76"/>
        <v>26</v>
      </c>
      <c r="R217" s="143"/>
      <c r="S217" s="143"/>
      <c r="T217" s="143"/>
      <c r="U217" s="144"/>
      <c r="V217" s="144"/>
      <c r="W217" s="144"/>
      <c r="X217" s="145"/>
      <c r="Y217" s="152" t="str">
        <f t="shared" si="77"/>
        <v xml:space="preserve">   26.55 </v>
      </c>
      <c r="Z217" s="136"/>
      <c r="AA217" s="50">
        <f t="shared" si="90"/>
        <v>66</v>
      </c>
      <c r="AB217" s="129">
        <f t="shared" si="91"/>
        <v>19178</v>
      </c>
      <c r="AC217" s="58" t="str">
        <f t="shared" si="78"/>
        <v/>
      </c>
      <c r="AD217" s="58" t="str">
        <f t="shared" si="79"/>
        <v>MHarold Wood Running Club</v>
      </c>
      <c r="AE217" s="60">
        <f>IF(AD217="","",COUNTIF($AD$2:AD217,AD217))</f>
        <v>9</v>
      </c>
      <c r="AF217" s="62">
        <f>IF(AD217="","",SUMIF(AD$2:AD217,AD217,G$2:G217))</f>
        <v>757</v>
      </c>
      <c r="AG217" s="62" t="str">
        <f>IF(AK217&lt;&gt;"",COUNTIF($AK$1:AK216,AK217)+AK217,IF(AL217&lt;&gt;"",COUNTIF($AL$1:AL216,AL217)+AL217,""))</f>
        <v/>
      </c>
      <c r="AH217" s="62" t="str">
        <f t="shared" si="80"/>
        <v>Harold Wood Running Club</v>
      </c>
      <c r="AI217" s="62" t="str">
        <f>IF(AND(J217="M", AH217&lt;&gt;"U/A",AE217=Prizewinners!$J$1),AF217,"")</f>
        <v/>
      </c>
      <c r="AJ217" s="58" t="str">
        <f>IF(AND(J217="F",  AH217&lt;&gt;"U/A",AE217=Prizewinners!$J$16),AF217,"")</f>
        <v/>
      </c>
      <c r="AK217" s="58" t="str">
        <f t="shared" si="81"/>
        <v/>
      </c>
      <c r="AL217" s="58" t="str">
        <f t="shared" si="82"/>
        <v/>
      </c>
      <c r="AM217" s="58" t="str">
        <f t="shared" si="83"/>
        <v>MHarold Wood Running Club9</v>
      </c>
      <c r="AN217" s="58" t="str">
        <f t="shared" si="84"/>
        <v/>
      </c>
      <c r="AO217" s="58" t="str">
        <f t="shared" si="85"/>
        <v/>
      </c>
      <c r="AP217" s="58" t="str">
        <f t="shared" si="86"/>
        <v/>
      </c>
      <c r="AQ217" s="58" t="str">
        <f t="shared" si="87"/>
        <v>Richard Rockliffe</v>
      </c>
    </row>
    <row r="218" spans="1:43" x14ac:dyDescent="0.25">
      <c r="A218" s="12" t="str">
        <f t="shared" si="73"/>
        <v>SM,59</v>
      </c>
      <c r="B218" s="12" t="str">
        <f t="shared" si="74"/>
        <v>M,156</v>
      </c>
      <c r="C218" s="11">
        <f t="shared" si="95"/>
        <v>217</v>
      </c>
      <c r="D218" s="171">
        <v>389</v>
      </c>
      <c r="E218" s="12">
        <f t="shared" si="72"/>
        <v>1</v>
      </c>
      <c r="F218" s="12">
        <f>COUNTIF(H$2:H218,H218)</f>
        <v>59</v>
      </c>
      <c r="G218" s="12">
        <f>COUNTIF(J$2:J218,J218)</f>
        <v>156</v>
      </c>
      <c r="H218" s="12" t="str">
        <f t="shared" si="92"/>
        <v>SM</v>
      </c>
      <c r="I218" s="50" t="str">
        <f t="shared" si="93"/>
        <v>SM</v>
      </c>
      <c r="J218" s="50" t="str">
        <f t="shared" si="94"/>
        <v>M</v>
      </c>
      <c r="K218" s="64" t="str">
        <f t="shared" si="88"/>
        <v>Luke Summers</v>
      </c>
      <c r="L218" s="64" t="str">
        <f t="shared" si="89"/>
        <v>Dagenham 88 Runners</v>
      </c>
      <c r="M218" s="171">
        <v>0</v>
      </c>
      <c r="N218" s="178">
        <v>27</v>
      </c>
      <c r="O218" s="178">
        <v>6</v>
      </c>
      <c r="P218" s="138">
        <f t="shared" si="75"/>
        <v>0</v>
      </c>
      <c r="Q218" s="137">
        <f t="shared" si="76"/>
        <v>27</v>
      </c>
      <c r="R218" s="143"/>
      <c r="S218" s="143"/>
      <c r="T218" s="143"/>
      <c r="U218" s="144"/>
      <c r="V218" s="144"/>
      <c r="W218" s="144"/>
      <c r="X218" s="145"/>
      <c r="Y218" s="152" t="str">
        <f t="shared" si="77"/>
        <v xml:space="preserve">   27.06 </v>
      </c>
      <c r="Z218" s="136"/>
      <c r="AA218" s="50">
        <f t="shared" si="90"/>
        <v>24</v>
      </c>
      <c r="AB218" s="129">
        <f t="shared" si="91"/>
        <v>34505</v>
      </c>
      <c r="AC218" s="58" t="str">
        <f t="shared" si="78"/>
        <v/>
      </c>
      <c r="AD218" s="58" t="str">
        <f t="shared" si="79"/>
        <v>MDagenham 88 Runners</v>
      </c>
      <c r="AE218" s="60">
        <f>IF(AD218="","",COUNTIF($AD$2:AD218,AD218))</f>
        <v>10</v>
      </c>
      <c r="AF218" s="62">
        <f>IF(AD218="","",SUMIF(AD$2:AD218,AD218,G$2:G218))</f>
        <v>1095</v>
      </c>
      <c r="AG218" s="62" t="str">
        <f>IF(AK218&lt;&gt;"",COUNTIF($AK$1:AK217,AK218)+AK218,IF(AL218&lt;&gt;"",COUNTIF($AL$1:AL217,AL218)+AL218,""))</f>
        <v/>
      </c>
      <c r="AH218" s="62" t="str">
        <f t="shared" si="80"/>
        <v>Dagenham 88 Runners</v>
      </c>
      <c r="AI218" s="62" t="str">
        <f>IF(AND(J218="M", AH218&lt;&gt;"U/A",AE218=Prizewinners!$J$1),AF218,"")</f>
        <v/>
      </c>
      <c r="AJ218" s="58" t="str">
        <f>IF(AND(J218="F",  AH218&lt;&gt;"U/A",AE218=Prizewinners!$J$16),AF218,"")</f>
        <v/>
      </c>
      <c r="AK218" s="58" t="str">
        <f t="shared" si="81"/>
        <v/>
      </c>
      <c r="AL218" s="58" t="str">
        <f t="shared" si="82"/>
        <v/>
      </c>
      <c r="AM218" s="58" t="str">
        <f t="shared" si="83"/>
        <v>MDagenham 88 Runners10</v>
      </c>
      <c r="AN218" s="58" t="str">
        <f t="shared" si="84"/>
        <v/>
      </c>
      <c r="AO218" s="58" t="str">
        <f t="shared" si="85"/>
        <v/>
      </c>
      <c r="AP218" s="58" t="str">
        <f t="shared" si="86"/>
        <v/>
      </c>
      <c r="AQ218" s="58" t="str">
        <f t="shared" si="87"/>
        <v>Luke Summers</v>
      </c>
    </row>
    <row r="219" spans="1:43" x14ac:dyDescent="0.25">
      <c r="A219" s="12" t="str">
        <f t="shared" si="73"/>
        <v>VF55,12</v>
      </c>
      <c r="B219" s="12" t="str">
        <f t="shared" si="74"/>
        <v>F,62</v>
      </c>
      <c r="C219" s="11">
        <f t="shared" si="95"/>
        <v>218</v>
      </c>
      <c r="D219" s="171">
        <v>34</v>
      </c>
      <c r="E219" s="12">
        <f t="shared" si="72"/>
        <v>1</v>
      </c>
      <c r="F219" s="12">
        <f>COUNTIF(H$2:H219,H219)</f>
        <v>12</v>
      </c>
      <c r="G219" s="12">
        <f>COUNTIF(J$2:J219,J219)</f>
        <v>62</v>
      </c>
      <c r="H219" s="12" t="str">
        <f t="shared" si="92"/>
        <v>VF55</v>
      </c>
      <c r="I219" s="50" t="str">
        <f t="shared" si="93"/>
        <v>VF55</v>
      </c>
      <c r="J219" s="50" t="str">
        <f t="shared" si="94"/>
        <v>F</v>
      </c>
      <c r="K219" s="64" t="str">
        <f t="shared" si="88"/>
        <v>Fiona Day</v>
      </c>
      <c r="L219" s="64" t="str">
        <f t="shared" si="89"/>
        <v>East London Runners</v>
      </c>
      <c r="M219" s="171">
        <v>0</v>
      </c>
      <c r="N219" s="178">
        <v>27</v>
      </c>
      <c r="O219" s="178">
        <v>8</v>
      </c>
      <c r="P219" s="138">
        <f t="shared" si="75"/>
        <v>0</v>
      </c>
      <c r="Q219" s="137">
        <f t="shared" si="76"/>
        <v>27</v>
      </c>
      <c r="R219" s="143"/>
      <c r="S219" s="143"/>
      <c r="T219" s="143"/>
      <c r="U219" s="144"/>
      <c r="V219" s="144"/>
      <c r="W219" s="144"/>
      <c r="X219" s="145"/>
      <c r="Y219" s="152" t="str">
        <f t="shared" si="77"/>
        <v xml:space="preserve">   27.08 </v>
      </c>
      <c r="Z219" s="136"/>
      <c r="AA219" s="50">
        <f t="shared" si="90"/>
        <v>61</v>
      </c>
      <c r="AB219" s="129">
        <f t="shared" si="91"/>
        <v>20853</v>
      </c>
      <c r="AC219" s="58" t="str">
        <f t="shared" si="78"/>
        <v/>
      </c>
      <c r="AD219" s="58" t="str">
        <f t="shared" si="79"/>
        <v>FEast London Runners</v>
      </c>
      <c r="AE219" s="60">
        <f>IF(AD219="","",COUNTIF($AD$2:AD219,AD219))</f>
        <v>14</v>
      </c>
      <c r="AF219" s="62">
        <f>IF(AD219="","",SUMIF(AD$2:AD219,AD219,G$2:G219))</f>
        <v>447</v>
      </c>
      <c r="AG219" s="62" t="str">
        <f>IF(AK219&lt;&gt;"",COUNTIF($AK$1:AK218,AK219)+AK219,IF(AL219&lt;&gt;"",COUNTIF($AL$1:AL218,AL219)+AL219,""))</f>
        <v/>
      </c>
      <c r="AH219" s="62" t="str">
        <f t="shared" si="80"/>
        <v>East London Runners</v>
      </c>
      <c r="AI219" s="62" t="str">
        <f>IF(AND(J219="M", AH219&lt;&gt;"U/A",AE219=Prizewinners!$J$1),AF219,"")</f>
        <v/>
      </c>
      <c r="AJ219" s="58" t="str">
        <f>IF(AND(J219="F",  AH219&lt;&gt;"U/A",AE219=Prizewinners!$J$16),AF219,"")</f>
        <v/>
      </c>
      <c r="AK219" s="58" t="str">
        <f t="shared" si="81"/>
        <v/>
      </c>
      <c r="AL219" s="58" t="str">
        <f t="shared" si="82"/>
        <v/>
      </c>
      <c r="AM219" s="58" t="str">
        <f t="shared" si="83"/>
        <v>FEast London Runners14</v>
      </c>
      <c r="AN219" s="58" t="str">
        <f t="shared" si="84"/>
        <v/>
      </c>
      <c r="AO219" s="58" t="str">
        <f t="shared" si="85"/>
        <v/>
      </c>
      <c r="AP219" s="58" t="str">
        <f t="shared" si="86"/>
        <v/>
      </c>
      <c r="AQ219" s="58" t="str">
        <f t="shared" si="87"/>
        <v>Fiona Day</v>
      </c>
    </row>
    <row r="220" spans="1:43" x14ac:dyDescent="0.25">
      <c r="A220" s="12" t="str">
        <f t="shared" si="73"/>
        <v>VM40,47</v>
      </c>
      <c r="B220" s="12" t="str">
        <f t="shared" si="74"/>
        <v>M,157</v>
      </c>
      <c r="C220" s="11">
        <f t="shared" si="95"/>
        <v>219</v>
      </c>
      <c r="D220" s="171">
        <v>496</v>
      </c>
      <c r="E220" s="12">
        <f t="shared" si="72"/>
        <v>1</v>
      </c>
      <c r="F220" s="12">
        <f>COUNTIF(H$2:H220,H220)</f>
        <v>47</v>
      </c>
      <c r="G220" s="12">
        <f>COUNTIF(J$2:J220,J220)</f>
        <v>157</v>
      </c>
      <c r="H220" s="12" t="str">
        <f t="shared" si="92"/>
        <v>VM40</v>
      </c>
      <c r="I220" s="50" t="str">
        <f t="shared" si="93"/>
        <v>VM40</v>
      </c>
      <c r="J220" s="50" t="str">
        <f t="shared" si="94"/>
        <v>M</v>
      </c>
      <c r="K220" s="64" t="str">
        <f t="shared" si="88"/>
        <v>Emdad Rahman</v>
      </c>
      <c r="L220" s="64" t="str">
        <f t="shared" si="89"/>
        <v>Dagenham 88 Runners</v>
      </c>
      <c r="M220" s="171">
        <v>0</v>
      </c>
      <c r="N220" s="178">
        <v>27</v>
      </c>
      <c r="O220" s="178">
        <v>10</v>
      </c>
      <c r="P220" s="138">
        <f t="shared" si="75"/>
        <v>0</v>
      </c>
      <c r="Q220" s="137">
        <f t="shared" si="76"/>
        <v>27</v>
      </c>
      <c r="R220" s="143"/>
      <c r="S220" s="143"/>
      <c r="T220" s="143"/>
      <c r="U220" s="144"/>
      <c r="V220" s="144"/>
      <c r="W220" s="144"/>
      <c r="X220" s="145"/>
      <c r="Y220" s="152" t="str">
        <f t="shared" si="77"/>
        <v xml:space="preserve">   27.10 </v>
      </c>
      <c r="Z220" s="136"/>
      <c r="AA220" s="50">
        <f t="shared" si="90"/>
        <v>42</v>
      </c>
      <c r="AB220" s="129">
        <f t="shared" si="91"/>
        <v>27892</v>
      </c>
      <c r="AC220" s="58" t="str">
        <f t="shared" si="78"/>
        <v/>
      </c>
      <c r="AD220" s="58" t="str">
        <f t="shared" si="79"/>
        <v>MDagenham 88 Runners</v>
      </c>
      <c r="AE220" s="60">
        <f>IF(AD220="","",COUNTIF($AD$2:AD220,AD220))</f>
        <v>11</v>
      </c>
      <c r="AF220" s="62">
        <f>IF(AD220="","",SUMIF(AD$2:AD220,AD220,G$2:G220))</f>
        <v>1252</v>
      </c>
      <c r="AG220" s="62" t="str">
        <f>IF(AK220&lt;&gt;"",COUNTIF($AK$1:AK219,AK220)+AK220,IF(AL220&lt;&gt;"",COUNTIF($AL$1:AL219,AL220)+AL220,""))</f>
        <v/>
      </c>
      <c r="AH220" s="62" t="str">
        <f t="shared" si="80"/>
        <v>Dagenham 88 Runners</v>
      </c>
      <c r="AI220" s="62" t="str">
        <f>IF(AND(J220="M", AH220&lt;&gt;"U/A",AE220=Prizewinners!$J$1),AF220,"")</f>
        <v/>
      </c>
      <c r="AJ220" s="58" t="str">
        <f>IF(AND(J220="F",  AH220&lt;&gt;"U/A",AE220=Prizewinners!$J$16),AF220,"")</f>
        <v/>
      </c>
      <c r="AK220" s="58" t="str">
        <f t="shared" si="81"/>
        <v/>
      </c>
      <c r="AL220" s="58" t="str">
        <f t="shared" si="82"/>
        <v/>
      </c>
      <c r="AM220" s="58" t="str">
        <f t="shared" si="83"/>
        <v>MDagenham 88 Runners11</v>
      </c>
      <c r="AN220" s="58" t="str">
        <f t="shared" si="84"/>
        <v/>
      </c>
      <c r="AO220" s="58" t="str">
        <f t="shared" si="85"/>
        <v/>
      </c>
      <c r="AP220" s="58" t="str">
        <f t="shared" si="86"/>
        <v/>
      </c>
      <c r="AQ220" s="58" t="str">
        <f t="shared" si="87"/>
        <v>Emdad Rahman</v>
      </c>
    </row>
    <row r="221" spans="1:43" x14ac:dyDescent="0.25">
      <c r="A221" s="12" t="str">
        <f t="shared" si="73"/>
        <v>VF55,13</v>
      </c>
      <c r="B221" s="12" t="str">
        <f t="shared" si="74"/>
        <v>F,63</v>
      </c>
      <c r="C221" s="11">
        <f t="shared" si="95"/>
        <v>220</v>
      </c>
      <c r="D221" s="171">
        <v>333</v>
      </c>
      <c r="E221" s="12">
        <f t="shared" si="72"/>
        <v>1</v>
      </c>
      <c r="F221" s="12">
        <f>COUNTIF(H$2:H221,H221)</f>
        <v>13</v>
      </c>
      <c r="G221" s="12">
        <f>COUNTIF(J$2:J221,J221)</f>
        <v>63</v>
      </c>
      <c r="H221" s="12" t="str">
        <f t="shared" si="92"/>
        <v>VF55</v>
      </c>
      <c r="I221" s="50" t="str">
        <f t="shared" si="93"/>
        <v>VF55</v>
      </c>
      <c r="J221" s="50" t="str">
        <f t="shared" si="94"/>
        <v>F</v>
      </c>
      <c r="K221" s="64" t="str">
        <f t="shared" si="88"/>
        <v>Caroline Moore</v>
      </c>
      <c r="L221" s="64" t="str">
        <f t="shared" si="89"/>
        <v>East London Runners</v>
      </c>
      <c r="M221" s="171">
        <v>0</v>
      </c>
      <c r="N221" s="178">
        <v>27</v>
      </c>
      <c r="O221" s="178">
        <v>11</v>
      </c>
      <c r="P221" s="138">
        <f t="shared" si="75"/>
        <v>0</v>
      </c>
      <c r="Q221" s="137">
        <f t="shared" si="76"/>
        <v>27</v>
      </c>
      <c r="R221" s="143"/>
      <c r="S221" s="143"/>
      <c r="T221" s="143"/>
      <c r="U221" s="144"/>
      <c r="V221" s="144"/>
      <c r="W221" s="144"/>
      <c r="X221" s="145"/>
      <c r="Y221" s="152" t="str">
        <f t="shared" si="77"/>
        <v xml:space="preserve">   27.11 </v>
      </c>
      <c r="Z221" s="136"/>
      <c r="AA221" s="50">
        <f t="shared" si="90"/>
        <v>56</v>
      </c>
      <c r="AB221" s="129">
        <f t="shared" si="91"/>
        <v>22659</v>
      </c>
      <c r="AC221" s="58" t="str">
        <f t="shared" si="78"/>
        <v/>
      </c>
      <c r="AD221" s="58" t="str">
        <f t="shared" si="79"/>
        <v>FEast London Runners</v>
      </c>
      <c r="AE221" s="60">
        <f>IF(AD221="","",COUNTIF($AD$2:AD221,AD221))</f>
        <v>15</v>
      </c>
      <c r="AF221" s="62">
        <f>IF(AD221="","",SUMIF(AD$2:AD221,AD221,G$2:G221))</f>
        <v>510</v>
      </c>
      <c r="AG221" s="62" t="str">
        <f>IF(AK221&lt;&gt;"",COUNTIF($AK$1:AK220,AK221)+AK221,IF(AL221&lt;&gt;"",COUNTIF($AL$1:AL220,AL221)+AL221,""))</f>
        <v/>
      </c>
      <c r="AH221" s="62" t="str">
        <f t="shared" si="80"/>
        <v>East London Runners</v>
      </c>
      <c r="AI221" s="62" t="str">
        <f>IF(AND(J221="M", AH221&lt;&gt;"U/A",AE221=Prizewinners!$J$1),AF221,"")</f>
        <v/>
      </c>
      <c r="AJ221" s="58" t="str">
        <f>IF(AND(J221="F",  AH221&lt;&gt;"U/A",AE221=Prizewinners!$J$16),AF221,"")</f>
        <v/>
      </c>
      <c r="AK221" s="58" t="str">
        <f t="shared" si="81"/>
        <v/>
      </c>
      <c r="AL221" s="58" t="str">
        <f t="shared" si="82"/>
        <v/>
      </c>
      <c r="AM221" s="58" t="str">
        <f t="shared" si="83"/>
        <v>FEast London Runners15</v>
      </c>
      <c r="AN221" s="58" t="str">
        <f t="shared" si="84"/>
        <v/>
      </c>
      <c r="AO221" s="58" t="str">
        <f t="shared" si="85"/>
        <v/>
      </c>
      <c r="AP221" s="58" t="str">
        <f t="shared" si="86"/>
        <v/>
      </c>
      <c r="AQ221" s="58" t="str">
        <f t="shared" si="87"/>
        <v>Caroline Moore</v>
      </c>
    </row>
    <row r="222" spans="1:43" x14ac:dyDescent="0.25">
      <c r="A222" s="12" t="str">
        <f t="shared" si="73"/>
        <v>VF45,18</v>
      </c>
      <c r="B222" s="12" t="str">
        <f t="shared" si="74"/>
        <v>F,64</v>
      </c>
      <c r="C222" s="11">
        <f t="shared" si="95"/>
        <v>221</v>
      </c>
      <c r="D222" s="171">
        <v>490</v>
      </c>
      <c r="E222" s="12">
        <f t="shared" si="72"/>
        <v>1</v>
      </c>
      <c r="F222" s="12">
        <f>COUNTIF(H$2:H222,H222)</f>
        <v>18</v>
      </c>
      <c r="G222" s="12">
        <f>COUNTIF(J$2:J222,J222)</f>
        <v>64</v>
      </c>
      <c r="H222" s="12" t="str">
        <f t="shared" si="92"/>
        <v>VF45</v>
      </c>
      <c r="I222" s="50" t="str">
        <f t="shared" si="93"/>
        <v>VF45</v>
      </c>
      <c r="J222" s="50" t="str">
        <f t="shared" si="94"/>
        <v>F</v>
      </c>
      <c r="K222" s="64" t="str">
        <f t="shared" si="88"/>
        <v>Melanie Green</v>
      </c>
      <c r="L222" s="64" t="str">
        <f t="shared" si="89"/>
        <v>Havering 90 Joggers</v>
      </c>
      <c r="M222" s="171">
        <v>0</v>
      </c>
      <c r="N222" s="178">
        <v>27</v>
      </c>
      <c r="O222" s="178">
        <v>12</v>
      </c>
      <c r="P222" s="138">
        <f t="shared" si="75"/>
        <v>0</v>
      </c>
      <c r="Q222" s="137">
        <f t="shared" si="76"/>
        <v>27</v>
      </c>
      <c r="R222" s="143"/>
      <c r="S222" s="143"/>
      <c r="T222" s="143"/>
      <c r="U222" s="144"/>
      <c r="V222" s="144"/>
      <c r="W222" s="144"/>
      <c r="X222" s="145"/>
      <c r="Y222" s="152" t="str">
        <f t="shared" si="77"/>
        <v xml:space="preserve">   27.12 </v>
      </c>
      <c r="Z222" s="136"/>
      <c r="AA222" s="50">
        <f t="shared" si="90"/>
        <v>45</v>
      </c>
      <c r="AB222" s="129">
        <f t="shared" si="91"/>
        <v>26794</v>
      </c>
      <c r="AC222" s="58" t="str">
        <f t="shared" si="78"/>
        <v/>
      </c>
      <c r="AD222" s="58" t="str">
        <f t="shared" si="79"/>
        <v>FHavering 90 Joggers</v>
      </c>
      <c r="AE222" s="60">
        <f>IF(AD222="","",COUNTIF($AD$2:AD222,AD222))</f>
        <v>5</v>
      </c>
      <c r="AF222" s="62">
        <f>IF(AD222="","",SUMIF(AD$2:AD222,AD222,G$2:G222))</f>
        <v>267</v>
      </c>
      <c r="AG222" s="62" t="str">
        <f>IF(AK222&lt;&gt;"",COUNTIF($AK$1:AK221,AK222)+AK222,IF(AL222&lt;&gt;"",COUNTIF($AL$1:AL221,AL222)+AL222,""))</f>
        <v/>
      </c>
      <c r="AH222" s="62" t="str">
        <f t="shared" si="80"/>
        <v>Havering 90 Joggers</v>
      </c>
      <c r="AI222" s="62" t="str">
        <f>IF(AND(J222="M", AH222&lt;&gt;"U/A",AE222=Prizewinners!$J$1),AF222,"")</f>
        <v/>
      </c>
      <c r="AJ222" s="58" t="str">
        <f>IF(AND(J222="F",  AH222&lt;&gt;"U/A",AE222=Prizewinners!$J$16),AF222,"")</f>
        <v/>
      </c>
      <c r="AK222" s="58" t="str">
        <f t="shared" si="81"/>
        <v/>
      </c>
      <c r="AL222" s="58" t="str">
        <f t="shared" si="82"/>
        <v/>
      </c>
      <c r="AM222" s="58" t="str">
        <f t="shared" si="83"/>
        <v>FHavering 90 Joggers5</v>
      </c>
      <c r="AN222" s="58" t="str">
        <f t="shared" si="84"/>
        <v/>
      </c>
      <c r="AO222" s="58" t="str">
        <f t="shared" si="85"/>
        <v/>
      </c>
      <c r="AP222" s="58" t="str">
        <f t="shared" si="86"/>
        <v/>
      </c>
      <c r="AQ222" s="58" t="str">
        <f t="shared" si="87"/>
        <v>Melanie Green</v>
      </c>
    </row>
    <row r="223" spans="1:43" x14ac:dyDescent="0.25">
      <c r="A223" s="12" t="str">
        <f t="shared" si="73"/>
        <v>VF55,14</v>
      </c>
      <c r="B223" s="12" t="str">
        <f t="shared" si="74"/>
        <v>F,65</v>
      </c>
      <c r="C223" s="11">
        <f t="shared" si="95"/>
        <v>222</v>
      </c>
      <c r="D223" s="171">
        <v>350</v>
      </c>
      <c r="E223" s="12">
        <f t="shared" si="72"/>
        <v>1</v>
      </c>
      <c r="F223" s="12">
        <f>COUNTIF(H$2:H223,H223)</f>
        <v>14</v>
      </c>
      <c r="G223" s="12">
        <f>COUNTIF(J$2:J223,J223)</f>
        <v>65</v>
      </c>
      <c r="H223" s="12" t="str">
        <f t="shared" si="92"/>
        <v>VF55</v>
      </c>
      <c r="I223" s="50" t="str">
        <f t="shared" si="93"/>
        <v>VF55</v>
      </c>
      <c r="J223" s="50" t="str">
        <f t="shared" si="94"/>
        <v>F</v>
      </c>
      <c r="K223" s="64" t="str">
        <f t="shared" si="88"/>
        <v>julia galea</v>
      </c>
      <c r="L223" s="64" t="str">
        <f t="shared" si="89"/>
        <v>Ilford AC</v>
      </c>
      <c r="M223" s="171">
        <v>0</v>
      </c>
      <c r="N223" s="178">
        <v>27</v>
      </c>
      <c r="O223" s="178">
        <v>16</v>
      </c>
      <c r="P223" s="138">
        <f t="shared" si="75"/>
        <v>0</v>
      </c>
      <c r="Q223" s="137">
        <f t="shared" si="76"/>
        <v>27</v>
      </c>
      <c r="R223" s="143"/>
      <c r="S223" s="143"/>
      <c r="T223" s="143"/>
      <c r="U223" s="144"/>
      <c r="V223" s="144"/>
      <c r="W223" s="144"/>
      <c r="X223" s="145"/>
      <c r="Y223" s="152" t="str">
        <f t="shared" si="77"/>
        <v xml:space="preserve">   27.16 </v>
      </c>
      <c r="Z223" s="136"/>
      <c r="AA223" s="50">
        <f t="shared" si="90"/>
        <v>63</v>
      </c>
      <c r="AB223" s="129">
        <f t="shared" si="91"/>
        <v>20300</v>
      </c>
      <c r="AC223" s="58" t="str">
        <f t="shared" si="78"/>
        <v/>
      </c>
      <c r="AD223" s="58" t="str">
        <f t="shared" si="79"/>
        <v>FIlford AC</v>
      </c>
      <c r="AE223" s="60">
        <f>IF(AD223="","",COUNTIF($AD$2:AD223,AD223))</f>
        <v>9</v>
      </c>
      <c r="AF223" s="62">
        <f>IF(AD223="","",SUMIF(AD$2:AD223,AD223,G$2:G223))</f>
        <v>305</v>
      </c>
      <c r="AG223" s="62" t="str">
        <f>IF(AK223&lt;&gt;"",COUNTIF($AK$1:AK222,AK223)+AK223,IF(AL223&lt;&gt;"",COUNTIF($AL$1:AL222,AL223)+AL223,""))</f>
        <v/>
      </c>
      <c r="AH223" s="62" t="str">
        <f t="shared" si="80"/>
        <v>Ilford AC</v>
      </c>
      <c r="AI223" s="62" t="str">
        <f>IF(AND(J223="M", AH223&lt;&gt;"U/A",AE223=Prizewinners!$J$1),AF223,"")</f>
        <v/>
      </c>
      <c r="AJ223" s="58" t="str">
        <f>IF(AND(J223="F",  AH223&lt;&gt;"U/A",AE223=Prizewinners!$J$16),AF223,"")</f>
        <v/>
      </c>
      <c r="AK223" s="58" t="str">
        <f t="shared" si="81"/>
        <v/>
      </c>
      <c r="AL223" s="58" t="str">
        <f t="shared" si="82"/>
        <v/>
      </c>
      <c r="AM223" s="58" t="str">
        <f t="shared" si="83"/>
        <v>FIlford AC9</v>
      </c>
      <c r="AN223" s="58" t="str">
        <f t="shared" si="84"/>
        <v/>
      </c>
      <c r="AO223" s="58" t="str">
        <f t="shared" si="85"/>
        <v/>
      </c>
      <c r="AP223" s="58" t="str">
        <f t="shared" si="86"/>
        <v/>
      </c>
      <c r="AQ223" s="58" t="str">
        <f t="shared" si="87"/>
        <v>julia galea</v>
      </c>
    </row>
    <row r="224" spans="1:43" x14ac:dyDescent="0.25">
      <c r="A224" s="12" t="str">
        <f t="shared" si="73"/>
        <v>VM40,48</v>
      </c>
      <c r="B224" s="12" t="str">
        <f t="shared" si="74"/>
        <v>M,158</v>
      </c>
      <c r="C224" s="11">
        <f t="shared" si="95"/>
        <v>223</v>
      </c>
      <c r="D224" s="171">
        <v>385</v>
      </c>
      <c r="E224" s="12">
        <f t="shared" si="72"/>
        <v>1</v>
      </c>
      <c r="F224" s="12">
        <f>COUNTIF(H$2:H224,H224)</f>
        <v>48</v>
      </c>
      <c r="G224" s="12">
        <f>COUNTIF(J$2:J224,J224)</f>
        <v>158</v>
      </c>
      <c r="H224" s="12" t="str">
        <f t="shared" si="92"/>
        <v>VM40</v>
      </c>
      <c r="I224" s="50" t="str">
        <f t="shared" si="93"/>
        <v>VM40</v>
      </c>
      <c r="J224" s="50" t="str">
        <f t="shared" si="94"/>
        <v>M</v>
      </c>
      <c r="K224" s="64" t="str">
        <f t="shared" si="88"/>
        <v>Chris Thomas</v>
      </c>
      <c r="L224" s="64" t="str">
        <f t="shared" si="89"/>
        <v>Havering 90 Joggers</v>
      </c>
      <c r="M224" s="171">
        <v>0</v>
      </c>
      <c r="N224" s="178">
        <v>27</v>
      </c>
      <c r="O224" s="178">
        <v>17</v>
      </c>
      <c r="P224" s="138">
        <f t="shared" si="75"/>
        <v>0</v>
      </c>
      <c r="Q224" s="137">
        <f t="shared" si="76"/>
        <v>27</v>
      </c>
      <c r="R224" s="143"/>
      <c r="S224" s="143"/>
      <c r="T224" s="143"/>
      <c r="U224" s="144"/>
      <c r="V224" s="144"/>
      <c r="W224" s="144"/>
      <c r="X224" s="145"/>
      <c r="Y224" s="152" t="str">
        <f t="shared" si="77"/>
        <v xml:space="preserve">   27.17 </v>
      </c>
      <c r="Z224" s="136"/>
      <c r="AA224" s="50">
        <f t="shared" si="90"/>
        <v>41</v>
      </c>
      <c r="AB224" s="129">
        <f t="shared" si="91"/>
        <v>28145</v>
      </c>
      <c r="AC224" s="58" t="str">
        <f t="shared" si="78"/>
        <v/>
      </c>
      <c r="AD224" s="58" t="str">
        <f t="shared" si="79"/>
        <v>MHavering 90 Joggers</v>
      </c>
      <c r="AE224" s="60">
        <f>IF(AD224="","",COUNTIF($AD$2:AD224,AD224))</f>
        <v>10</v>
      </c>
      <c r="AF224" s="62">
        <f>IF(AD224="","",SUMIF(AD$2:AD224,AD224,G$2:G224))</f>
        <v>1071</v>
      </c>
      <c r="AG224" s="62" t="str">
        <f>IF(AK224&lt;&gt;"",COUNTIF($AK$1:AK223,AK224)+AK224,IF(AL224&lt;&gt;"",COUNTIF($AL$1:AL223,AL224)+AL224,""))</f>
        <v/>
      </c>
      <c r="AH224" s="62" t="str">
        <f t="shared" si="80"/>
        <v>Havering 90 Joggers</v>
      </c>
      <c r="AI224" s="62" t="str">
        <f>IF(AND(J224="M", AH224&lt;&gt;"U/A",AE224=Prizewinners!$J$1),AF224,"")</f>
        <v/>
      </c>
      <c r="AJ224" s="58" t="str">
        <f>IF(AND(J224="F",  AH224&lt;&gt;"U/A",AE224=Prizewinners!$J$16),AF224,"")</f>
        <v/>
      </c>
      <c r="AK224" s="58" t="str">
        <f t="shared" si="81"/>
        <v/>
      </c>
      <c r="AL224" s="58" t="str">
        <f t="shared" si="82"/>
        <v/>
      </c>
      <c r="AM224" s="58" t="str">
        <f t="shared" si="83"/>
        <v>MHavering 90 Joggers10</v>
      </c>
      <c r="AN224" s="58" t="str">
        <f t="shared" si="84"/>
        <v/>
      </c>
      <c r="AO224" s="58" t="str">
        <f t="shared" si="85"/>
        <v/>
      </c>
      <c r="AP224" s="58" t="str">
        <f t="shared" si="86"/>
        <v/>
      </c>
      <c r="AQ224" s="58" t="str">
        <f t="shared" si="87"/>
        <v>Chris Thomas</v>
      </c>
    </row>
    <row r="225" spans="1:43" x14ac:dyDescent="0.25">
      <c r="A225" s="12" t="str">
        <f t="shared" si="73"/>
        <v>VF45,19</v>
      </c>
      <c r="B225" s="12" t="str">
        <f t="shared" si="74"/>
        <v>F,66</v>
      </c>
      <c r="C225" s="11">
        <f t="shared" si="95"/>
        <v>224</v>
      </c>
      <c r="D225" s="171">
        <v>446</v>
      </c>
      <c r="E225" s="12">
        <f t="shared" si="72"/>
        <v>1</v>
      </c>
      <c r="F225" s="12">
        <f>COUNTIF(H$2:H225,H225)</f>
        <v>19</v>
      </c>
      <c r="G225" s="12">
        <f>COUNTIF(J$2:J225,J225)</f>
        <v>66</v>
      </c>
      <c r="H225" s="12" t="str">
        <f t="shared" si="92"/>
        <v>VF45</v>
      </c>
      <c r="I225" s="50" t="str">
        <f t="shared" si="93"/>
        <v>VF45</v>
      </c>
      <c r="J225" s="50" t="str">
        <f t="shared" si="94"/>
        <v>F</v>
      </c>
      <c r="K225" s="64" t="str">
        <f t="shared" si="88"/>
        <v>Lara Harradine</v>
      </c>
      <c r="L225" s="64" t="str">
        <f t="shared" si="89"/>
        <v>Havering 90 Joggers</v>
      </c>
      <c r="M225" s="171">
        <v>0</v>
      </c>
      <c r="N225" s="178">
        <v>27</v>
      </c>
      <c r="O225" s="178">
        <v>26</v>
      </c>
      <c r="P225" s="138">
        <f t="shared" si="75"/>
        <v>0</v>
      </c>
      <c r="Q225" s="137">
        <f t="shared" si="76"/>
        <v>27</v>
      </c>
      <c r="R225" s="143"/>
      <c r="S225" s="143"/>
      <c r="T225" s="143"/>
      <c r="U225" s="144"/>
      <c r="V225" s="144"/>
      <c r="W225" s="144"/>
      <c r="X225" s="145"/>
      <c r="Y225" s="152" t="str">
        <f t="shared" si="77"/>
        <v xml:space="preserve">   27.26 </v>
      </c>
      <c r="Z225" s="136"/>
      <c r="AA225" s="50">
        <f t="shared" si="90"/>
        <v>48</v>
      </c>
      <c r="AB225" s="129">
        <f t="shared" si="91"/>
        <v>25468</v>
      </c>
      <c r="AC225" s="58" t="str">
        <f t="shared" si="78"/>
        <v/>
      </c>
      <c r="AD225" s="58" t="str">
        <f t="shared" si="79"/>
        <v>FHavering 90 Joggers</v>
      </c>
      <c r="AE225" s="60">
        <f>IF(AD225="","",COUNTIF($AD$2:AD225,AD225))</f>
        <v>6</v>
      </c>
      <c r="AF225" s="62">
        <f>IF(AD225="","",SUMIF(AD$2:AD225,AD225,G$2:G225))</f>
        <v>333</v>
      </c>
      <c r="AG225" s="62" t="str">
        <f>IF(AK225&lt;&gt;"",COUNTIF($AK$1:AK224,AK225)+AK225,IF(AL225&lt;&gt;"",COUNTIF($AL$1:AL224,AL225)+AL225,""))</f>
        <v/>
      </c>
      <c r="AH225" s="62" t="str">
        <f t="shared" si="80"/>
        <v>Havering 90 Joggers</v>
      </c>
      <c r="AI225" s="62" t="str">
        <f>IF(AND(J225="M", AH225&lt;&gt;"U/A",AE225=Prizewinners!$J$1),AF225,"")</f>
        <v/>
      </c>
      <c r="AJ225" s="58" t="str">
        <f>IF(AND(J225="F",  AH225&lt;&gt;"U/A",AE225=Prizewinners!$J$16),AF225,"")</f>
        <v/>
      </c>
      <c r="AK225" s="58" t="str">
        <f t="shared" si="81"/>
        <v/>
      </c>
      <c r="AL225" s="58" t="str">
        <f t="shared" si="82"/>
        <v/>
      </c>
      <c r="AM225" s="58" t="str">
        <f t="shared" si="83"/>
        <v>FHavering 90 Joggers6</v>
      </c>
      <c r="AN225" s="58" t="str">
        <f t="shared" si="84"/>
        <v/>
      </c>
      <c r="AO225" s="58" t="str">
        <f t="shared" si="85"/>
        <v/>
      </c>
      <c r="AP225" s="58" t="str">
        <f t="shared" si="86"/>
        <v/>
      </c>
      <c r="AQ225" s="58" t="str">
        <f t="shared" si="87"/>
        <v>Lara Harradine</v>
      </c>
    </row>
    <row r="226" spans="1:43" x14ac:dyDescent="0.25">
      <c r="A226" s="12" t="str">
        <f t="shared" si="73"/>
        <v>VF45,20</v>
      </c>
      <c r="B226" s="12" t="str">
        <f t="shared" si="74"/>
        <v>F,67</v>
      </c>
      <c r="C226" s="11">
        <f t="shared" si="95"/>
        <v>225</v>
      </c>
      <c r="D226" s="171">
        <v>332</v>
      </c>
      <c r="E226" s="12">
        <f t="shared" si="72"/>
        <v>1</v>
      </c>
      <c r="F226" s="12">
        <f>COUNTIF(H$2:H226,H226)</f>
        <v>20</v>
      </c>
      <c r="G226" s="12">
        <f>COUNTIF(J$2:J226,J226)</f>
        <v>67</v>
      </c>
      <c r="H226" s="12" t="str">
        <f t="shared" si="92"/>
        <v>VF45</v>
      </c>
      <c r="I226" s="50" t="str">
        <f t="shared" si="93"/>
        <v>VF45</v>
      </c>
      <c r="J226" s="50" t="str">
        <f t="shared" si="94"/>
        <v>F</v>
      </c>
      <c r="K226" s="64" t="str">
        <f t="shared" si="88"/>
        <v>Rosina Salmon</v>
      </c>
      <c r="L226" s="64" t="str">
        <f t="shared" si="89"/>
        <v>Dagenham 88 Runners</v>
      </c>
      <c r="M226" s="171">
        <v>0</v>
      </c>
      <c r="N226" s="178">
        <v>27</v>
      </c>
      <c r="O226" s="178">
        <v>32</v>
      </c>
      <c r="P226" s="138">
        <f t="shared" si="75"/>
        <v>0</v>
      </c>
      <c r="Q226" s="137">
        <f t="shared" si="76"/>
        <v>27</v>
      </c>
      <c r="R226" s="143"/>
      <c r="S226" s="143"/>
      <c r="T226" s="143"/>
      <c r="U226" s="144"/>
      <c r="V226" s="144"/>
      <c r="W226" s="144"/>
      <c r="X226" s="145"/>
      <c r="Y226" s="152" t="str">
        <f t="shared" si="77"/>
        <v xml:space="preserve">   27.32 </v>
      </c>
      <c r="Z226" s="136"/>
      <c r="AA226" s="50">
        <f t="shared" si="90"/>
        <v>48</v>
      </c>
      <c r="AB226" s="129">
        <f t="shared" si="91"/>
        <v>25498</v>
      </c>
      <c r="AC226" s="58" t="str">
        <f t="shared" si="78"/>
        <v>F8</v>
      </c>
      <c r="AD226" s="58" t="str">
        <f t="shared" si="79"/>
        <v>FDagenham 88 Runners</v>
      </c>
      <c r="AE226" s="60">
        <f>IF(AD226="","",COUNTIF($AD$2:AD226,AD226))</f>
        <v>3</v>
      </c>
      <c r="AF226" s="62">
        <f>IF(AD226="","",SUMIF(AD$2:AD226,AD226,G$2:G226))</f>
        <v>137</v>
      </c>
      <c r="AG226" s="62">
        <f>IF(AK226&lt;&gt;"",COUNTIF($AK$1:AK225,AK226)+AK226,IF(AL226&lt;&gt;"",COUNTIF($AL$1:AL225,AL226)+AL226,""))</f>
        <v>8</v>
      </c>
      <c r="AH226" s="62" t="str">
        <f t="shared" si="80"/>
        <v>Dagenham 88 Runners</v>
      </c>
      <c r="AI226" s="62" t="str">
        <f>IF(AND(J226="M", AH226&lt;&gt;"U/A",AE226=Prizewinners!$J$1),AF226,"")</f>
        <v/>
      </c>
      <c r="AJ226" s="58">
        <f>IF(AND(J226="F",  AH226&lt;&gt;"U/A",AE226=Prizewinners!$J$16),AF226,"")</f>
        <v>137</v>
      </c>
      <c r="AK226" s="58" t="str">
        <f t="shared" si="81"/>
        <v/>
      </c>
      <c r="AL226" s="58">
        <f t="shared" si="82"/>
        <v>8</v>
      </c>
      <c r="AM226" s="58" t="str">
        <f t="shared" si="83"/>
        <v>FDagenham 88 Runners3</v>
      </c>
      <c r="AN226" s="58" t="str">
        <f t="shared" si="84"/>
        <v>Hannah Sheikh</v>
      </c>
      <c r="AO226" s="58" t="str">
        <f t="shared" si="85"/>
        <v>Louise Chappell</v>
      </c>
      <c r="AP226" s="58" t="str">
        <f t="shared" si="86"/>
        <v>Rosina Salmon</v>
      </c>
      <c r="AQ226" s="58" t="str">
        <f t="shared" si="87"/>
        <v>Rosina Salmon</v>
      </c>
    </row>
    <row r="227" spans="1:43" x14ac:dyDescent="0.25">
      <c r="A227" s="12" t="str">
        <f t="shared" si="73"/>
        <v>VF45,21</v>
      </c>
      <c r="B227" s="12" t="str">
        <f t="shared" si="74"/>
        <v>F,68</v>
      </c>
      <c r="C227" s="11">
        <f t="shared" si="95"/>
        <v>226</v>
      </c>
      <c r="D227" s="171">
        <v>411</v>
      </c>
      <c r="E227" s="12">
        <f t="shared" si="72"/>
        <v>1</v>
      </c>
      <c r="F227" s="12">
        <f>COUNTIF(H$2:H227,H227)</f>
        <v>21</v>
      </c>
      <c r="G227" s="12">
        <f>COUNTIF(J$2:J227,J227)</f>
        <v>68</v>
      </c>
      <c r="H227" s="12" t="str">
        <f t="shared" si="92"/>
        <v>VF45</v>
      </c>
      <c r="I227" s="50" t="str">
        <f t="shared" si="93"/>
        <v>VF45</v>
      </c>
      <c r="J227" s="50" t="str">
        <f t="shared" si="94"/>
        <v>F</v>
      </c>
      <c r="K227" s="64" t="str">
        <f t="shared" si="88"/>
        <v>Doris Gaga</v>
      </c>
      <c r="L227" s="64" t="str">
        <f t="shared" si="89"/>
        <v>Ilford AC</v>
      </c>
      <c r="M227" s="171">
        <v>0</v>
      </c>
      <c r="N227" s="178">
        <v>27</v>
      </c>
      <c r="O227" s="178">
        <v>33</v>
      </c>
      <c r="P227" s="138">
        <f t="shared" si="75"/>
        <v>0</v>
      </c>
      <c r="Q227" s="137">
        <f t="shared" si="76"/>
        <v>27</v>
      </c>
      <c r="R227" s="143"/>
      <c r="S227" s="143"/>
      <c r="T227" s="143"/>
      <c r="U227" s="144"/>
      <c r="V227" s="144"/>
      <c r="W227" s="144"/>
      <c r="X227" s="145"/>
      <c r="Y227" s="152" t="str">
        <f t="shared" si="77"/>
        <v xml:space="preserve">   27.33 </v>
      </c>
      <c r="Z227" s="136"/>
      <c r="AA227" s="50">
        <f t="shared" si="90"/>
        <v>54</v>
      </c>
      <c r="AB227" s="129">
        <f t="shared" si="91"/>
        <v>23481</v>
      </c>
      <c r="AC227" s="58" t="str">
        <f t="shared" si="78"/>
        <v/>
      </c>
      <c r="AD227" s="58" t="str">
        <f t="shared" si="79"/>
        <v>FIlford AC</v>
      </c>
      <c r="AE227" s="60">
        <f>IF(AD227="","",COUNTIF($AD$2:AD227,AD227))</f>
        <v>10</v>
      </c>
      <c r="AF227" s="62">
        <f>IF(AD227="","",SUMIF(AD$2:AD227,AD227,G$2:G227))</f>
        <v>373</v>
      </c>
      <c r="AG227" s="62" t="str">
        <f>IF(AK227&lt;&gt;"",COUNTIF($AK$1:AK226,AK227)+AK227,IF(AL227&lt;&gt;"",COUNTIF($AL$1:AL226,AL227)+AL227,""))</f>
        <v/>
      </c>
      <c r="AH227" s="62" t="str">
        <f t="shared" si="80"/>
        <v>Ilford AC</v>
      </c>
      <c r="AI227" s="62" t="str">
        <f>IF(AND(J227="M", AH227&lt;&gt;"U/A",AE227=Prizewinners!$J$1),AF227,"")</f>
        <v/>
      </c>
      <c r="AJ227" s="58" t="str">
        <f>IF(AND(J227="F",  AH227&lt;&gt;"U/A",AE227=Prizewinners!$J$16),AF227,"")</f>
        <v/>
      </c>
      <c r="AK227" s="58" t="str">
        <f t="shared" si="81"/>
        <v/>
      </c>
      <c r="AL227" s="58" t="str">
        <f t="shared" si="82"/>
        <v/>
      </c>
      <c r="AM227" s="58" t="str">
        <f t="shared" si="83"/>
        <v>FIlford AC10</v>
      </c>
      <c r="AN227" s="58" t="str">
        <f t="shared" si="84"/>
        <v/>
      </c>
      <c r="AO227" s="58" t="str">
        <f t="shared" si="85"/>
        <v/>
      </c>
      <c r="AP227" s="58" t="str">
        <f t="shared" si="86"/>
        <v/>
      </c>
      <c r="AQ227" s="58" t="str">
        <f t="shared" si="87"/>
        <v>Doris Gaga</v>
      </c>
    </row>
    <row r="228" spans="1:43" x14ac:dyDescent="0.25">
      <c r="A228" s="12" t="str">
        <f t="shared" si="73"/>
        <v>VF45,22</v>
      </c>
      <c r="B228" s="12" t="str">
        <f t="shared" si="74"/>
        <v>F,69</v>
      </c>
      <c r="C228" s="11">
        <f t="shared" si="95"/>
        <v>227</v>
      </c>
      <c r="D228" s="171">
        <v>487</v>
      </c>
      <c r="E228" s="12">
        <f t="shared" si="72"/>
        <v>1</v>
      </c>
      <c r="F228" s="12">
        <f>COUNTIF(H$2:H228,H228)</f>
        <v>22</v>
      </c>
      <c r="G228" s="12">
        <f>COUNTIF(J$2:J228,J228)</f>
        <v>69</v>
      </c>
      <c r="H228" s="12" t="str">
        <f t="shared" si="92"/>
        <v>VF45</v>
      </c>
      <c r="I228" s="50" t="str">
        <f t="shared" si="93"/>
        <v>VF45</v>
      </c>
      <c r="J228" s="50" t="str">
        <f t="shared" si="94"/>
        <v>F</v>
      </c>
      <c r="K228" s="64" t="str">
        <f t="shared" si="88"/>
        <v>Jayne Browne</v>
      </c>
      <c r="L228" s="64" t="str">
        <f t="shared" si="89"/>
        <v>East London runners</v>
      </c>
      <c r="M228" s="171">
        <v>0</v>
      </c>
      <c r="N228" s="178">
        <v>27</v>
      </c>
      <c r="O228" s="178">
        <v>39</v>
      </c>
      <c r="P228" s="138">
        <f t="shared" si="75"/>
        <v>0</v>
      </c>
      <c r="Q228" s="137">
        <f t="shared" si="76"/>
        <v>27</v>
      </c>
      <c r="R228" s="143"/>
      <c r="S228" s="143"/>
      <c r="T228" s="143"/>
      <c r="U228" s="144"/>
      <c r="V228" s="144"/>
      <c r="W228" s="144"/>
      <c r="X228" s="145"/>
      <c r="Y228" s="152" t="str">
        <f t="shared" si="77"/>
        <v xml:space="preserve">   27.39 </v>
      </c>
      <c r="Z228" s="136"/>
      <c r="AA228" s="50">
        <f t="shared" si="90"/>
        <v>54</v>
      </c>
      <c r="AB228" s="129">
        <f t="shared" si="91"/>
        <v>23285</v>
      </c>
      <c r="AC228" s="58" t="str">
        <f t="shared" si="78"/>
        <v/>
      </c>
      <c r="AD228" s="58" t="str">
        <f t="shared" si="79"/>
        <v>FEast London runners</v>
      </c>
      <c r="AE228" s="60">
        <f>IF(AD228="","",COUNTIF($AD$2:AD228,AD228))</f>
        <v>16</v>
      </c>
      <c r="AF228" s="62">
        <f>IF(AD228="","",SUMIF(AD$2:AD228,AD228,G$2:G228))</f>
        <v>579</v>
      </c>
      <c r="AG228" s="62" t="str">
        <f>IF(AK228&lt;&gt;"",COUNTIF($AK$1:AK227,AK228)+AK228,IF(AL228&lt;&gt;"",COUNTIF($AL$1:AL227,AL228)+AL228,""))</f>
        <v/>
      </c>
      <c r="AH228" s="62" t="str">
        <f t="shared" si="80"/>
        <v>East London runners</v>
      </c>
      <c r="AI228" s="62" t="str">
        <f>IF(AND(J228="M", AH228&lt;&gt;"U/A",AE228=Prizewinners!$J$1),AF228,"")</f>
        <v/>
      </c>
      <c r="AJ228" s="58" t="str">
        <f>IF(AND(J228="F",  AH228&lt;&gt;"U/A",AE228=Prizewinners!$J$16),AF228,"")</f>
        <v/>
      </c>
      <c r="AK228" s="58" t="str">
        <f t="shared" si="81"/>
        <v/>
      </c>
      <c r="AL228" s="58" t="str">
        <f t="shared" si="82"/>
        <v/>
      </c>
      <c r="AM228" s="58" t="str">
        <f t="shared" si="83"/>
        <v>FEast London runners16</v>
      </c>
      <c r="AN228" s="58" t="str">
        <f t="shared" si="84"/>
        <v/>
      </c>
      <c r="AO228" s="58" t="str">
        <f t="shared" si="85"/>
        <v/>
      </c>
      <c r="AP228" s="58" t="str">
        <f t="shared" si="86"/>
        <v/>
      </c>
      <c r="AQ228" s="58" t="str">
        <f t="shared" si="87"/>
        <v>Jayne Browne</v>
      </c>
    </row>
    <row r="229" spans="1:43" x14ac:dyDescent="0.25">
      <c r="A229" s="12" t="str">
        <f t="shared" si="73"/>
        <v>VF45,23</v>
      </c>
      <c r="B229" s="12" t="str">
        <f t="shared" si="74"/>
        <v>F,70</v>
      </c>
      <c r="C229" s="11">
        <f t="shared" si="95"/>
        <v>228</v>
      </c>
      <c r="D229" s="171">
        <v>61</v>
      </c>
      <c r="E229" s="12">
        <f t="shared" si="72"/>
        <v>1</v>
      </c>
      <c r="F229" s="12">
        <f>COUNTIF(H$2:H229,H229)</f>
        <v>23</v>
      </c>
      <c r="G229" s="12">
        <f>COUNTIF(J$2:J229,J229)</f>
        <v>70</v>
      </c>
      <c r="H229" s="12" t="str">
        <f t="shared" si="92"/>
        <v>VF45</v>
      </c>
      <c r="I229" s="50" t="str">
        <f t="shared" si="93"/>
        <v>VF45</v>
      </c>
      <c r="J229" s="50" t="str">
        <f t="shared" si="94"/>
        <v>F</v>
      </c>
      <c r="K229" s="64" t="str">
        <f t="shared" si="88"/>
        <v>Hayley Dalton</v>
      </c>
      <c r="L229" s="64" t="str">
        <f t="shared" si="89"/>
        <v>Eton Manor AC</v>
      </c>
      <c r="M229" s="171">
        <v>0</v>
      </c>
      <c r="N229" s="178">
        <v>27</v>
      </c>
      <c r="O229" s="178">
        <v>42</v>
      </c>
      <c r="P229" s="138">
        <f t="shared" si="75"/>
        <v>0</v>
      </c>
      <c r="Q229" s="137">
        <f t="shared" si="76"/>
        <v>27</v>
      </c>
      <c r="R229" s="143"/>
      <c r="S229" s="143"/>
      <c r="T229" s="143"/>
      <c r="U229" s="144"/>
      <c r="V229" s="144"/>
      <c r="W229" s="144"/>
      <c r="X229" s="145"/>
      <c r="Y229" s="152" t="str">
        <f t="shared" si="77"/>
        <v xml:space="preserve">   27.42 </v>
      </c>
      <c r="Z229" s="136"/>
      <c r="AA229" s="50">
        <f t="shared" si="90"/>
        <v>47</v>
      </c>
      <c r="AB229" s="129">
        <f t="shared" si="91"/>
        <v>25926</v>
      </c>
      <c r="AC229" s="58" t="str">
        <f t="shared" si="78"/>
        <v/>
      </c>
      <c r="AD229" s="58" t="str">
        <f t="shared" si="79"/>
        <v>FEton Manor AC</v>
      </c>
      <c r="AE229" s="60">
        <f>IF(AD229="","",COUNTIF($AD$2:AD229,AD229))</f>
        <v>9</v>
      </c>
      <c r="AF229" s="62">
        <f>IF(AD229="","",SUMIF(AD$2:AD229,AD229,G$2:G229))</f>
        <v>291</v>
      </c>
      <c r="AG229" s="62" t="str">
        <f>IF(AK229&lt;&gt;"",COUNTIF($AK$1:AK228,AK229)+AK229,IF(AL229&lt;&gt;"",COUNTIF($AL$1:AL228,AL229)+AL229,""))</f>
        <v/>
      </c>
      <c r="AH229" s="62" t="str">
        <f t="shared" si="80"/>
        <v>Eton Manor AC</v>
      </c>
      <c r="AI229" s="62" t="str">
        <f>IF(AND(J229="M", AH229&lt;&gt;"U/A",AE229=Prizewinners!$J$1),AF229,"")</f>
        <v/>
      </c>
      <c r="AJ229" s="58" t="str">
        <f>IF(AND(J229="F",  AH229&lt;&gt;"U/A",AE229=Prizewinners!$J$16),AF229,"")</f>
        <v/>
      </c>
      <c r="AK229" s="58" t="str">
        <f t="shared" si="81"/>
        <v/>
      </c>
      <c r="AL229" s="58" t="str">
        <f t="shared" si="82"/>
        <v/>
      </c>
      <c r="AM229" s="58" t="str">
        <f t="shared" si="83"/>
        <v>FEton Manor AC9</v>
      </c>
      <c r="AN229" s="58" t="str">
        <f t="shared" si="84"/>
        <v/>
      </c>
      <c r="AO229" s="58" t="str">
        <f t="shared" si="85"/>
        <v/>
      </c>
      <c r="AP229" s="58" t="str">
        <f t="shared" si="86"/>
        <v/>
      </c>
      <c r="AQ229" s="58" t="str">
        <f t="shared" si="87"/>
        <v>Hayley Dalton</v>
      </c>
    </row>
    <row r="230" spans="1:43" x14ac:dyDescent="0.25">
      <c r="A230" s="12" t="str">
        <f t="shared" si="73"/>
        <v>VF55,15</v>
      </c>
      <c r="B230" s="12" t="str">
        <f t="shared" si="74"/>
        <v>F,71</v>
      </c>
      <c r="C230" s="11">
        <f t="shared" si="95"/>
        <v>229</v>
      </c>
      <c r="D230" s="171">
        <v>150</v>
      </c>
      <c r="E230" s="12">
        <f t="shared" si="72"/>
        <v>1</v>
      </c>
      <c r="F230" s="12">
        <f>COUNTIF(H$2:H230,H230)</f>
        <v>15</v>
      </c>
      <c r="G230" s="12">
        <f>COUNTIF(J$2:J230,J230)</f>
        <v>71</v>
      </c>
      <c r="H230" s="12" t="str">
        <f t="shared" si="92"/>
        <v>VF55</v>
      </c>
      <c r="I230" s="50" t="str">
        <f t="shared" si="93"/>
        <v>VF55</v>
      </c>
      <c r="J230" s="50" t="str">
        <f t="shared" si="94"/>
        <v>F</v>
      </c>
      <c r="K230" s="64" t="str">
        <f t="shared" si="88"/>
        <v>Mary Connolly</v>
      </c>
      <c r="L230" s="64" t="str">
        <f t="shared" si="89"/>
        <v>East London Runners</v>
      </c>
      <c r="M230" s="171">
        <v>0</v>
      </c>
      <c r="N230" s="178">
        <v>27</v>
      </c>
      <c r="O230" s="178">
        <v>56</v>
      </c>
      <c r="P230" s="138">
        <f t="shared" si="75"/>
        <v>0</v>
      </c>
      <c r="Q230" s="137">
        <f t="shared" si="76"/>
        <v>27</v>
      </c>
      <c r="R230" s="143"/>
      <c r="S230" s="143"/>
      <c r="T230" s="143"/>
      <c r="U230" s="144"/>
      <c r="V230" s="144"/>
      <c r="W230" s="144"/>
      <c r="X230" s="145"/>
      <c r="Y230" s="152" t="str">
        <f t="shared" si="77"/>
        <v xml:space="preserve">   27.56 </v>
      </c>
      <c r="Z230" s="136"/>
      <c r="AA230" s="50">
        <f t="shared" si="90"/>
        <v>56</v>
      </c>
      <c r="AB230" s="129">
        <f t="shared" si="91"/>
        <v>22672</v>
      </c>
      <c r="AC230" s="58" t="str">
        <f t="shared" si="78"/>
        <v/>
      </c>
      <c r="AD230" s="58" t="str">
        <f t="shared" si="79"/>
        <v>FEast London Runners</v>
      </c>
      <c r="AE230" s="60">
        <f>IF(AD230="","",COUNTIF($AD$2:AD230,AD230))</f>
        <v>17</v>
      </c>
      <c r="AF230" s="62">
        <f>IF(AD230="","",SUMIF(AD$2:AD230,AD230,G$2:G230))</f>
        <v>650</v>
      </c>
      <c r="AG230" s="62" t="str">
        <f>IF(AK230&lt;&gt;"",COUNTIF($AK$1:AK229,AK230)+AK230,IF(AL230&lt;&gt;"",COUNTIF($AL$1:AL229,AL230)+AL230,""))</f>
        <v/>
      </c>
      <c r="AH230" s="62" t="str">
        <f t="shared" si="80"/>
        <v>East London Runners</v>
      </c>
      <c r="AI230" s="62" t="str">
        <f>IF(AND(J230="M", AH230&lt;&gt;"U/A",AE230=Prizewinners!$J$1),AF230,"")</f>
        <v/>
      </c>
      <c r="AJ230" s="58" t="str">
        <f>IF(AND(J230="F",  AH230&lt;&gt;"U/A",AE230=Prizewinners!$J$16),AF230,"")</f>
        <v/>
      </c>
      <c r="AK230" s="58" t="str">
        <f t="shared" si="81"/>
        <v/>
      </c>
      <c r="AL230" s="58" t="str">
        <f t="shared" si="82"/>
        <v/>
      </c>
      <c r="AM230" s="58" t="str">
        <f t="shared" si="83"/>
        <v>FEast London Runners17</v>
      </c>
      <c r="AN230" s="58" t="str">
        <f t="shared" si="84"/>
        <v/>
      </c>
      <c r="AO230" s="58" t="str">
        <f t="shared" si="85"/>
        <v/>
      </c>
      <c r="AP230" s="58" t="str">
        <f t="shared" si="86"/>
        <v/>
      </c>
      <c r="AQ230" s="58" t="str">
        <f t="shared" si="87"/>
        <v>Mary Connolly</v>
      </c>
    </row>
    <row r="231" spans="1:43" x14ac:dyDescent="0.25">
      <c r="A231" s="12" t="str">
        <f t="shared" si="73"/>
        <v>SF,13</v>
      </c>
      <c r="B231" s="12" t="str">
        <f t="shared" si="74"/>
        <v>F,72</v>
      </c>
      <c r="C231" s="11">
        <f t="shared" si="95"/>
        <v>230</v>
      </c>
      <c r="D231" s="171">
        <v>70</v>
      </c>
      <c r="E231" s="12">
        <f t="shared" si="72"/>
        <v>1</v>
      </c>
      <c r="F231" s="12">
        <f>COUNTIF(H$2:H231,H231)</f>
        <v>13</v>
      </c>
      <c r="G231" s="12">
        <f>COUNTIF(J$2:J231,J231)</f>
        <v>72</v>
      </c>
      <c r="H231" s="12" t="str">
        <f t="shared" si="92"/>
        <v>SF</v>
      </c>
      <c r="I231" s="50" t="str">
        <f t="shared" si="93"/>
        <v>SF</v>
      </c>
      <c r="J231" s="50" t="str">
        <f t="shared" si="94"/>
        <v>F</v>
      </c>
      <c r="K231" s="64" t="str">
        <f t="shared" si="88"/>
        <v>Katie McInnes</v>
      </c>
      <c r="L231" s="64" t="str">
        <f t="shared" si="89"/>
        <v>Chorlton Runners</v>
      </c>
      <c r="M231" s="171">
        <v>0</v>
      </c>
      <c r="N231" s="178">
        <v>27</v>
      </c>
      <c r="O231" s="178">
        <v>59</v>
      </c>
      <c r="P231" s="138">
        <f t="shared" si="75"/>
        <v>0</v>
      </c>
      <c r="Q231" s="137">
        <f t="shared" si="76"/>
        <v>27</v>
      </c>
      <c r="R231" s="143"/>
      <c r="S231" s="143"/>
      <c r="T231" s="143"/>
      <c r="U231" s="144"/>
      <c r="V231" s="144"/>
      <c r="W231" s="144"/>
      <c r="X231" s="145"/>
      <c r="Y231" s="152" t="str">
        <f t="shared" si="77"/>
        <v xml:space="preserve">   27.59 </v>
      </c>
      <c r="Z231" s="136"/>
      <c r="AA231" s="50">
        <f t="shared" si="90"/>
        <v>31</v>
      </c>
      <c r="AB231" s="129">
        <f t="shared" si="91"/>
        <v>31931</v>
      </c>
      <c r="AC231" s="58" t="str">
        <f t="shared" si="78"/>
        <v/>
      </c>
      <c r="AD231" s="58" t="str">
        <f t="shared" si="79"/>
        <v>FChorlton Runners</v>
      </c>
      <c r="AE231" s="60">
        <f>IF(AD231="","",COUNTIF($AD$2:AD231,AD231))</f>
        <v>1</v>
      </c>
      <c r="AF231" s="62">
        <f>IF(AD231="","",SUMIF(AD$2:AD231,AD231,G$2:G231))</f>
        <v>72</v>
      </c>
      <c r="AG231" s="62" t="str">
        <f>IF(AK231&lt;&gt;"",COUNTIF($AK$1:AK230,AK231)+AK231,IF(AL231&lt;&gt;"",COUNTIF($AL$1:AL230,AL231)+AL231,""))</f>
        <v/>
      </c>
      <c r="AH231" s="62" t="str">
        <f t="shared" si="80"/>
        <v>Chorlton Runners</v>
      </c>
      <c r="AI231" s="62" t="str">
        <f>IF(AND(J231="M", AH231&lt;&gt;"U/A",AE231=Prizewinners!$J$1),AF231,"")</f>
        <v/>
      </c>
      <c r="AJ231" s="58" t="str">
        <f>IF(AND(J231="F",  AH231&lt;&gt;"U/A",AE231=Prizewinners!$J$16),AF231,"")</f>
        <v/>
      </c>
      <c r="AK231" s="58" t="str">
        <f t="shared" si="81"/>
        <v/>
      </c>
      <c r="AL231" s="58" t="str">
        <f t="shared" si="82"/>
        <v/>
      </c>
      <c r="AM231" s="58" t="str">
        <f t="shared" si="83"/>
        <v>FChorlton Runners1</v>
      </c>
      <c r="AN231" s="58" t="str">
        <f t="shared" si="84"/>
        <v/>
      </c>
      <c r="AO231" s="58" t="str">
        <f t="shared" si="85"/>
        <v/>
      </c>
      <c r="AP231" s="58" t="str">
        <f t="shared" si="86"/>
        <v/>
      </c>
      <c r="AQ231" s="58" t="str">
        <f t="shared" si="87"/>
        <v>Katie McInnes</v>
      </c>
    </row>
    <row r="232" spans="1:43" x14ac:dyDescent="0.25">
      <c r="A232" s="12" t="str">
        <f t="shared" si="73"/>
        <v>VF35,19</v>
      </c>
      <c r="B232" s="12" t="str">
        <f t="shared" si="74"/>
        <v>F,73</v>
      </c>
      <c r="C232" s="11">
        <f t="shared" si="95"/>
        <v>231</v>
      </c>
      <c r="D232" s="171">
        <v>30</v>
      </c>
      <c r="E232" s="12">
        <f t="shared" si="72"/>
        <v>1</v>
      </c>
      <c r="F232" s="12">
        <f>COUNTIF(H$2:H232,H232)</f>
        <v>19</v>
      </c>
      <c r="G232" s="12">
        <f>COUNTIF(J$2:J232,J232)</f>
        <v>73</v>
      </c>
      <c r="H232" s="12" t="str">
        <f t="shared" si="92"/>
        <v>VF35</v>
      </c>
      <c r="I232" s="50" t="str">
        <f t="shared" si="93"/>
        <v>VF35</v>
      </c>
      <c r="J232" s="50" t="str">
        <f t="shared" si="94"/>
        <v>F</v>
      </c>
      <c r="K232" s="64" t="str">
        <f t="shared" si="88"/>
        <v>Sacha Ackland</v>
      </c>
      <c r="L232" s="64" t="str">
        <f t="shared" si="89"/>
        <v>Eton Manor AC</v>
      </c>
      <c r="M232" s="171">
        <v>0</v>
      </c>
      <c r="N232" s="178">
        <v>28</v>
      </c>
      <c r="O232" s="178">
        <v>1</v>
      </c>
      <c r="P232" s="138">
        <f t="shared" si="75"/>
        <v>0</v>
      </c>
      <c r="Q232" s="137">
        <f t="shared" si="76"/>
        <v>28</v>
      </c>
      <c r="R232" s="143"/>
      <c r="S232" s="143"/>
      <c r="T232" s="143"/>
      <c r="U232" s="144"/>
      <c r="V232" s="144"/>
      <c r="W232" s="144"/>
      <c r="X232" s="145"/>
      <c r="Y232" s="152" t="str">
        <f t="shared" si="77"/>
        <v xml:space="preserve">   28.01 </v>
      </c>
      <c r="Z232" s="136"/>
      <c r="AA232" s="50">
        <f t="shared" si="90"/>
        <v>44</v>
      </c>
      <c r="AB232" s="129">
        <f t="shared" si="91"/>
        <v>27239</v>
      </c>
      <c r="AC232" s="58" t="str">
        <f t="shared" si="78"/>
        <v/>
      </c>
      <c r="AD232" s="58" t="str">
        <f t="shared" si="79"/>
        <v>FEton Manor AC</v>
      </c>
      <c r="AE232" s="60">
        <f>IF(AD232="","",COUNTIF($AD$2:AD232,AD232))</f>
        <v>10</v>
      </c>
      <c r="AF232" s="62">
        <f>IF(AD232="","",SUMIF(AD$2:AD232,AD232,G$2:G232))</f>
        <v>364</v>
      </c>
      <c r="AG232" s="62" t="str">
        <f>IF(AK232&lt;&gt;"",COUNTIF($AK$1:AK231,AK232)+AK232,IF(AL232&lt;&gt;"",COUNTIF($AL$1:AL231,AL232)+AL232,""))</f>
        <v/>
      </c>
      <c r="AH232" s="62" t="str">
        <f t="shared" si="80"/>
        <v>Eton Manor AC</v>
      </c>
      <c r="AI232" s="62" t="str">
        <f>IF(AND(J232="M", AH232&lt;&gt;"U/A",AE232=Prizewinners!$J$1),AF232,"")</f>
        <v/>
      </c>
      <c r="AJ232" s="58" t="str">
        <f>IF(AND(J232="F",  AH232&lt;&gt;"U/A",AE232=Prizewinners!$J$16),AF232,"")</f>
        <v/>
      </c>
      <c r="AK232" s="58" t="str">
        <f t="shared" si="81"/>
        <v/>
      </c>
      <c r="AL232" s="58" t="str">
        <f t="shared" si="82"/>
        <v/>
      </c>
      <c r="AM232" s="58" t="str">
        <f t="shared" si="83"/>
        <v>FEton Manor AC10</v>
      </c>
      <c r="AN232" s="58" t="str">
        <f t="shared" si="84"/>
        <v/>
      </c>
      <c r="AO232" s="58" t="str">
        <f t="shared" si="85"/>
        <v/>
      </c>
      <c r="AP232" s="58" t="str">
        <f t="shared" si="86"/>
        <v/>
      </c>
      <c r="AQ232" s="58" t="str">
        <f t="shared" si="87"/>
        <v>Sacha Ackland</v>
      </c>
    </row>
    <row r="233" spans="1:43" x14ac:dyDescent="0.25">
      <c r="A233" s="12" t="str">
        <f t="shared" si="73"/>
        <v>VM50,30</v>
      </c>
      <c r="B233" s="12" t="str">
        <f t="shared" si="74"/>
        <v>M,159</v>
      </c>
      <c r="C233" s="11">
        <f t="shared" si="95"/>
        <v>232</v>
      </c>
      <c r="D233" s="171">
        <v>130</v>
      </c>
      <c r="E233" s="12">
        <f t="shared" si="72"/>
        <v>1</v>
      </c>
      <c r="F233" s="12">
        <f>COUNTIF(H$2:H233,H233)</f>
        <v>30</v>
      </c>
      <c r="G233" s="12">
        <f>COUNTIF(J$2:J233,J233)</f>
        <v>159</v>
      </c>
      <c r="H233" s="12" t="str">
        <f t="shared" si="92"/>
        <v>VM50</v>
      </c>
      <c r="I233" s="50" t="str">
        <f t="shared" si="93"/>
        <v>VM50</v>
      </c>
      <c r="J233" s="50" t="str">
        <f t="shared" si="94"/>
        <v>M</v>
      </c>
      <c r="K233" s="64" t="str">
        <f t="shared" si="88"/>
        <v>Mark Pearce</v>
      </c>
      <c r="L233" s="64" t="str">
        <f t="shared" si="89"/>
        <v>U/A</v>
      </c>
      <c r="M233" s="171">
        <v>0</v>
      </c>
      <c r="N233" s="178">
        <v>28</v>
      </c>
      <c r="O233" s="178">
        <v>4</v>
      </c>
      <c r="P233" s="138">
        <f t="shared" si="75"/>
        <v>0</v>
      </c>
      <c r="Q233" s="137">
        <f t="shared" si="76"/>
        <v>28</v>
      </c>
      <c r="R233" s="143"/>
      <c r="S233" s="143"/>
      <c r="T233" s="143"/>
      <c r="U233" s="144"/>
      <c r="V233" s="144"/>
      <c r="W233" s="144"/>
      <c r="X233" s="145"/>
      <c r="Y233" s="152" t="str">
        <f t="shared" si="77"/>
        <v xml:space="preserve">   28.04 </v>
      </c>
      <c r="Z233" s="136"/>
      <c r="AA233" s="50">
        <f t="shared" si="90"/>
        <v>50</v>
      </c>
      <c r="AB233" s="129">
        <f t="shared" si="91"/>
        <v>24998</v>
      </c>
      <c r="AC233" s="58" t="str">
        <f t="shared" si="78"/>
        <v/>
      </c>
      <c r="AD233" s="58" t="str">
        <f t="shared" si="79"/>
        <v>MU/A</v>
      </c>
      <c r="AE233" s="60">
        <f>IF(AD233="","",COUNTIF($AD$2:AD233,AD233))</f>
        <v>3</v>
      </c>
      <c r="AF233" s="62">
        <f>IF(AD233="","",SUMIF(AD$2:AD233,AD233,G$2:G233))</f>
        <v>311</v>
      </c>
      <c r="AG233" s="62" t="str">
        <f>IF(AK233&lt;&gt;"",COUNTIF($AK$1:AK232,AK233)+AK233,IF(AL233&lt;&gt;"",COUNTIF($AL$1:AL232,AL233)+AL233,""))</f>
        <v/>
      </c>
      <c r="AH233" s="62" t="str">
        <f t="shared" si="80"/>
        <v>U/A</v>
      </c>
      <c r="AI233" s="62" t="str">
        <f>IF(AND(J233="M", AH233&lt;&gt;"U/A",AE233=Prizewinners!$J$1),AF233,"")</f>
        <v/>
      </c>
      <c r="AJ233" s="58" t="str">
        <f>IF(AND(J233="F",  AH233&lt;&gt;"U/A",AE233=Prizewinners!$J$16),AF233,"")</f>
        <v/>
      </c>
      <c r="AK233" s="58" t="str">
        <f t="shared" si="81"/>
        <v/>
      </c>
      <c r="AL233" s="58" t="str">
        <f t="shared" si="82"/>
        <v/>
      </c>
      <c r="AM233" s="58" t="str">
        <f t="shared" si="83"/>
        <v>MU/A3</v>
      </c>
      <c r="AN233" s="58" t="str">
        <f t="shared" si="84"/>
        <v/>
      </c>
      <c r="AO233" s="58" t="str">
        <f t="shared" si="85"/>
        <v/>
      </c>
      <c r="AP233" s="58" t="str">
        <f t="shared" si="86"/>
        <v/>
      </c>
      <c r="AQ233" s="58" t="str">
        <f t="shared" si="87"/>
        <v>Mark Pearce</v>
      </c>
    </row>
    <row r="234" spans="1:43" x14ac:dyDescent="0.25">
      <c r="A234" s="12" t="str">
        <f t="shared" si="73"/>
        <v>SF,14</v>
      </c>
      <c r="B234" s="12" t="str">
        <f t="shared" si="74"/>
        <v>F,74</v>
      </c>
      <c r="C234" s="11">
        <f t="shared" si="95"/>
        <v>233</v>
      </c>
      <c r="D234" s="171">
        <v>445</v>
      </c>
      <c r="E234" s="12">
        <f t="shared" si="72"/>
        <v>1</v>
      </c>
      <c r="F234" s="12">
        <f>COUNTIF(H$2:H234,H234)</f>
        <v>14</v>
      </c>
      <c r="G234" s="12">
        <f>COUNTIF(J$2:J234,J234)</f>
        <v>74</v>
      </c>
      <c r="H234" s="12" t="str">
        <f t="shared" si="92"/>
        <v>SF</v>
      </c>
      <c r="I234" s="50" t="str">
        <f t="shared" si="93"/>
        <v>SF</v>
      </c>
      <c r="J234" s="50" t="str">
        <f t="shared" si="94"/>
        <v>F</v>
      </c>
      <c r="K234" s="64" t="str">
        <f t="shared" si="88"/>
        <v>Parisa Skeldon</v>
      </c>
      <c r="L234" s="64" t="str">
        <f t="shared" si="89"/>
        <v>Harold Wood Running Club</v>
      </c>
      <c r="M234" s="171">
        <v>0</v>
      </c>
      <c r="N234" s="178">
        <v>28</v>
      </c>
      <c r="O234" s="178">
        <v>5</v>
      </c>
      <c r="P234" s="138">
        <f t="shared" si="75"/>
        <v>0</v>
      </c>
      <c r="Q234" s="137">
        <f t="shared" si="76"/>
        <v>28</v>
      </c>
      <c r="R234" s="143"/>
      <c r="S234" s="143"/>
      <c r="T234" s="143"/>
      <c r="U234" s="144"/>
      <c r="V234" s="144"/>
      <c r="W234" s="144"/>
      <c r="X234" s="145"/>
      <c r="Y234" s="152" t="str">
        <f t="shared" si="77"/>
        <v xml:space="preserve">   28.05 </v>
      </c>
      <c r="Z234" s="136"/>
      <c r="AA234" s="50">
        <f t="shared" si="90"/>
        <v>30</v>
      </c>
      <c r="AB234" s="129">
        <f t="shared" si="91"/>
        <v>32023</v>
      </c>
      <c r="AC234" s="58" t="str">
        <f t="shared" si="78"/>
        <v/>
      </c>
      <c r="AD234" s="58" t="str">
        <f t="shared" si="79"/>
        <v>FHarold Wood Running Club</v>
      </c>
      <c r="AE234" s="60">
        <f>IF(AD234="","",COUNTIF($AD$2:AD234,AD234))</f>
        <v>6</v>
      </c>
      <c r="AF234" s="62">
        <f>IF(AD234="","",SUMIF(AD$2:AD234,AD234,G$2:G234))</f>
        <v>227</v>
      </c>
      <c r="AG234" s="62" t="str">
        <f>IF(AK234&lt;&gt;"",COUNTIF($AK$1:AK233,AK234)+AK234,IF(AL234&lt;&gt;"",COUNTIF($AL$1:AL233,AL234)+AL234,""))</f>
        <v/>
      </c>
      <c r="AH234" s="62" t="str">
        <f t="shared" si="80"/>
        <v>Harold Wood Running Club</v>
      </c>
      <c r="AI234" s="62" t="str">
        <f>IF(AND(J234="M", AH234&lt;&gt;"U/A",AE234=Prizewinners!$J$1),AF234,"")</f>
        <v/>
      </c>
      <c r="AJ234" s="58" t="str">
        <f>IF(AND(J234="F",  AH234&lt;&gt;"U/A",AE234=Prizewinners!$J$16),AF234,"")</f>
        <v/>
      </c>
      <c r="AK234" s="58" t="str">
        <f t="shared" si="81"/>
        <v/>
      </c>
      <c r="AL234" s="58" t="str">
        <f t="shared" si="82"/>
        <v/>
      </c>
      <c r="AM234" s="58" t="str">
        <f t="shared" si="83"/>
        <v>FHarold Wood Running Club6</v>
      </c>
      <c r="AN234" s="58" t="str">
        <f t="shared" si="84"/>
        <v/>
      </c>
      <c r="AO234" s="58" t="str">
        <f t="shared" si="85"/>
        <v/>
      </c>
      <c r="AP234" s="58" t="str">
        <f t="shared" si="86"/>
        <v/>
      </c>
      <c r="AQ234" s="58" t="str">
        <f t="shared" si="87"/>
        <v>Parisa Skeldon</v>
      </c>
    </row>
    <row r="235" spans="1:43" x14ac:dyDescent="0.25">
      <c r="A235" s="12" t="str">
        <f t="shared" si="73"/>
        <v>VF35,20</v>
      </c>
      <c r="B235" s="12" t="str">
        <f t="shared" si="74"/>
        <v>F,75</v>
      </c>
      <c r="C235" s="11">
        <f t="shared" si="95"/>
        <v>234</v>
      </c>
      <c r="D235" s="171">
        <v>62</v>
      </c>
      <c r="E235" s="12">
        <f t="shared" si="72"/>
        <v>1</v>
      </c>
      <c r="F235" s="12">
        <f>COUNTIF(H$2:H235,H235)</f>
        <v>20</v>
      </c>
      <c r="G235" s="12">
        <f>COUNTIF(J$2:J235,J235)</f>
        <v>75</v>
      </c>
      <c r="H235" s="12" t="str">
        <f t="shared" si="92"/>
        <v>VF35</v>
      </c>
      <c r="I235" s="50" t="str">
        <f t="shared" si="93"/>
        <v>VF35</v>
      </c>
      <c r="J235" s="50" t="str">
        <f t="shared" si="94"/>
        <v>F</v>
      </c>
      <c r="K235" s="64" t="str">
        <f t="shared" si="88"/>
        <v>Vanessa Lawrence</v>
      </c>
      <c r="L235" s="64" t="str">
        <f t="shared" si="89"/>
        <v>East End Road Runners</v>
      </c>
      <c r="M235" s="171">
        <v>0</v>
      </c>
      <c r="N235" s="178">
        <v>28</v>
      </c>
      <c r="O235" s="178">
        <v>7</v>
      </c>
      <c r="P235" s="138">
        <f t="shared" si="75"/>
        <v>0</v>
      </c>
      <c r="Q235" s="137">
        <f t="shared" si="76"/>
        <v>28</v>
      </c>
      <c r="R235" s="143"/>
      <c r="S235" s="143"/>
      <c r="T235" s="143"/>
      <c r="U235" s="144"/>
      <c r="V235" s="144"/>
      <c r="W235" s="144"/>
      <c r="X235" s="145"/>
      <c r="Y235" s="152" t="str">
        <f t="shared" si="77"/>
        <v xml:space="preserve">   28.07 </v>
      </c>
      <c r="Z235" s="136"/>
      <c r="AA235" s="50">
        <f t="shared" si="90"/>
        <v>37</v>
      </c>
      <c r="AB235" s="129">
        <f t="shared" si="91"/>
        <v>29508</v>
      </c>
      <c r="AC235" s="58" t="str">
        <f t="shared" si="78"/>
        <v/>
      </c>
      <c r="AD235" s="58" t="str">
        <f t="shared" si="79"/>
        <v>FEast End Road Runners</v>
      </c>
      <c r="AE235" s="60">
        <f>IF(AD235="","",COUNTIF($AD$2:AD235,AD235))</f>
        <v>5</v>
      </c>
      <c r="AF235" s="62">
        <f>IF(AD235="","",SUMIF(AD$2:AD235,AD235,G$2:G235))</f>
        <v>220</v>
      </c>
      <c r="AG235" s="62" t="str">
        <f>IF(AK235&lt;&gt;"",COUNTIF($AK$1:AK234,AK235)+AK235,IF(AL235&lt;&gt;"",COUNTIF($AL$1:AL234,AL235)+AL235,""))</f>
        <v/>
      </c>
      <c r="AH235" s="62" t="str">
        <f t="shared" si="80"/>
        <v>East End Road Runners</v>
      </c>
      <c r="AI235" s="62" t="str">
        <f>IF(AND(J235="M", AH235&lt;&gt;"U/A",AE235=Prizewinners!$J$1),AF235,"")</f>
        <v/>
      </c>
      <c r="AJ235" s="58" t="str">
        <f>IF(AND(J235="F",  AH235&lt;&gt;"U/A",AE235=Prizewinners!$J$16),AF235,"")</f>
        <v/>
      </c>
      <c r="AK235" s="58" t="str">
        <f t="shared" si="81"/>
        <v/>
      </c>
      <c r="AL235" s="58" t="str">
        <f t="shared" si="82"/>
        <v/>
      </c>
      <c r="AM235" s="58" t="str">
        <f t="shared" si="83"/>
        <v>FEast End Road Runners5</v>
      </c>
      <c r="AN235" s="58" t="str">
        <f t="shared" si="84"/>
        <v/>
      </c>
      <c r="AO235" s="58" t="str">
        <f t="shared" si="85"/>
        <v/>
      </c>
      <c r="AP235" s="58" t="str">
        <f t="shared" si="86"/>
        <v/>
      </c>
      <c r="AQ235" s="58" t="str">
        <f t="shared" si="87"/>
        <v>Vanessa Lawrence</v>
      </c>
    </row>
    <row r="236" spans="1:43" x14ac:dyDescent="0.25">
      <c r="A236" s="12" t="str">
        <f t="shared" si="73"/>
        <v>VM50,31</v>
      </c>
      <c r="B236" s="12" t="str">
        <f t="shared" si="74"/>
        <v>M,160</v>
      </c>
      <c r="C236" s="11">
        <f t="shared" si="95"/>
        <v>235</v>
      </c>
      <c r="D236" s="171">
        <v>432</v>
      </c>
      <c r="E236" s="12">
        <f t="shared" si="72"/>
        <v>1</v>
      </c>
      <c r="F236" s="12">
        <f>COUNTIF(H$2:H236,H236)</f>
        <v>31</v>
      </c>
      <c r="G236" s="12">
        <f>COUNTIF(J$2:J236,J236)</f>
        <v>160</v>
      </c>
      <c r="H236" s="12" t="str">
        <f t="shared" si="92"/>
        <v>VM50</v>
      </c>
      <c r="I236" s="50" t="str">
        <f t="shared" si="93"/>
        <v>VM50</v>
      </c>
      <c r="J236" s="50" t="str">
        <f t="shared" si="94"/>
        <v>M</v>
      </c>
      <c r="K236" s="64" t="str">
        <f t="shared" si="88"/>
        <v>Leigh Moring</v>
      </c>
      <c r="L236" s="64" t="str">
        <f t="shared" si="89"/>
        <v>Dagenham 88 Runners</v>
      </c>
      <c r="M236" s="171">
        <v>0</v>
      </c>
      <c r="N236" s="178">
        <v>28</v>
      </c>
      <c r="O236" s="178">
        <v>8</v>
      </c>
      <c r="P236" s="138">
        <f t="shared" si="75"/>
        <v>0</v>
      </c>
      <c r="Q236" s="137">
        <f t="shared" si="76"/>
        <v>28</v>
      </c>
      <c r="R236" s="143"/>
      <c r="S236" s="143"/>
      <c r="T236" s="143"/>
      <c r="U236" s="144"/>
      <c r="V236" s="144"/>
      <c r="W236" s="144"/>
      <c r="X236" s="145"/>
      <c r="Y236" s="152" t="str">
        <f t="shared" si="77"/>
        <v xml:space="preserve">   28.08 </v>
      </c>
      <c r="Z236" s="136"/>
      <c r="AA236" s="50">
        <f t="shared" si="90"/>
        <v>58</v>
      </c>
      <c r="AB236" s="129">
        <f t="shared" si="91"/>
        <v>21811</v>
      </c>
      <c r="AC236" s="58" t="str">
        <f t="shared" si="78"/>
        <v/>
      </c>
      <c r="AD236" s="58" t="str">
        <f t="shared" si="79"/>
        <v>MDagenham 88 Runners</v>
      </c>
      <c r="AE236" s="60">
        <f>IF(AD236="","",COUNTIF($AD$2:AD236,AD236))</f>
        <v>12</v>
      </c>
      <c r="AF236" s="62">
        <f>IF(AD236="","",SUMIF(AD$2:AD236,AD236,G$2:G236))</f>
        <v>1412</v>
      </c>
      <c r="AG236" s="62" t="str">
        <f>IF(AK236&lt;&gt;"",COUNTIF($AK$1:AK235,AK236)+AK236,IF(AL236&lt;&gt;"",COUNTIF($AL$1:AL235,AL236)+AL236,""))</f>
        <v/>
      </c>
      <c r="AH236" s="62" t="str">
        <f t="shared" si="80"/>
        <v>Dagenham 88 Runners</v>
      </c>
      <c r="AI236" s="62" t="str">
        <f>IF(AND(J236="M", AH236&lt;&gt;"U/A",AE236=Prizewinners!$J$1),AF236,"")</f>
        <v/>
      </c>
      <c r="AJ236" s="58" t="str">
        <f>IF(AND(J236="F",  AH236&lt;&gt;"U/A",AE236=Prizewinners!$J$16),AF236,"")</f>
        <v/>
      </c>
      <c r="AK236" s="58" t="str">
        <f t="shared" si="81"/>
        <v/>
      </c>
      <c r="AL236" s="58" t="str">
        <f t="shared" si="82"/>
        <v/>
      </c>
      <c r="AM236" s="58" t="str">
        <f t="shared" si="83"/>
        <v>MDagenham 88 Runners12</v>
      </c>
      <c r="AN236" s="58" t="str">
        <f t="shared" si="84"/>
        <v/>
      </c>
      <c r="AO236" s="58" t="str">
        <f t="shared" si="85"/>
        <v/>
      </c>
      <c r="AP236" s="58" t="str">
        <f t="shared" si="86"/>
        <v/>
      </c>
      <c r="AQ236" s="58" t="str">
        <f t="shared" si="87"/>
        <v>Leigh Moring</v>
      </c>
    </row>
    <row r="237" spans="1:43" x14ac:dyDescent="0.25">
      <c r="A237" s="12" t="str">
        <f t="shared" si="73"/>
        <v>SF,15</v>
      </c>
      <c r="B237" s="12" t="str">
        <f t="shared" si="74"/>
        <v>F,76</v>
      </c>
      <c r="C237" s="11">
        <f t="shared" si="95"/>
        <v>236</v>
      </c>
      <c r="D237" s="171">
        <v>97</v>
      </c>
      <c r="E237" s="12">
        <f t="shared" si="72"/>
        <v>1</v>
      </c>
      <c r="F237" s="12">
        <f>COUNTIF(H$2:H237,H237)</f>
        <v>15</v>
      </c>
      <c r="G237" s="12">
        <f>COUNTIF(J$2:J237,J237)</f>
        <v>76</v>
      </c>
      <c r="H237" s="12" t="str">
        <f t="shared" si="92"/>
        <v>SF</v>
      </c>
      <c r="I237" s="50" t="str">
        <f t="shared" si="93"/>
        <v>SF</v>
      </c>
      <c r="J237" s="50" t="str">
        <f t="shared" si="94"/>
        <v>F</v>
      </c>
      <c r="K237" s="64" t="str">
        <f t="shared" si="88"/>
        <v>Sarah Pepper</v>
      </c>
      <c r="L237" s="64" t="str">
        <f t="shared" si="89"/>
        <v>East End Road Runners</v>
      </c>
      <c r="M237" s="171">
        <v>0</v>
      </c>
      <c r="N237" s="178">
        <v>28</v>
      </c>
      <c r="O237" s="178">
        <v>9</v>
      </c>
      <c r="P237" s="138">
        <f t="shared" si="75"/>
        <v>0</v>
      </c>
      <c r="Q237" s="137">
        <f t="shared" si="76"/>
        <v>28</v>
      </c>
      <c r="R237" s="143"/>
      <c r="S237" s="143"/>
      <c r="T237" s="143"/>
      <c r="U237" s="144"/>
      <c r="V237" s="144"/>
      <c r="W237" s="144"/>
      <c r="X237" s="145"/>
      <c r="Y237" s="152" t="str">
        <f t="shared" si="77"/>
        <v xml:space="preserve">   28.09 </v>
      </c>
      <c r="Z237" s="136"/>
      <c r="AA237" s="50">
        <f t="shared" si="90"/>
        <v>32</v>
      </c>
      <c r="AB237" s="129">
        <f t="shared" si="91"/>
        <v>31402</v>
      </c>
      <c r="AC237" s="58" t="str">
        <f t="shared" si="78"/>
        <v/>
      </c>
      <c r="AD237" s="58" t="str">
        <f t="shared" si="79"/>
        <v>FEast End Road Runners</v>
      </c>
      <c r="AE237" s="60">
        <f>IF(AD237="","",COUNTIF($AD$2:AD237,AD237))</f>
        <v>6</v>
      </c>
      <c r="AF237" s="62">
        <f>IF(AD237="","",SUMIF(AD$2:AD237,AD237,G$2:G237))</f>
        <v>296</v>
      </c>
      <c r="AG237" s="62" t="str">
        <f>IF(AK237&lt;&gt;"",COUNTIF($AK$1:AK236,AK237)+AK237,IF(AL237&lt;&gt;"",COUNTIF($AL$1:AL236,AL237)+AL237,""))</f>
        <v/>
      </c>
      <c r="AH237" s="62" t="str">
        <f t="shared" si="80"/>
        <v>East End Road Runners</v>
      </c>
      <c r="AI237" s="62" t="str">
        <f>IF(AND(J237="M", AH237&lt;&gt;"U/A",AE237=Prizewinners!$J$1),AF237,"")</f>
        <v/>
      </c>
      <c r="AJ237" s="58" t="str">
        <f>IF(AND(J237="F",  AH237&lt;&gt;"U/A",AE237=Prizewinners!$J$16),AF237,"")</f>
        <v/>
      </c>
      <c r="AK237" s="58" t="str">
        <f t="shared" si="81"/>
        <v/>
      </c>
      <c r="AL237" s="58" t="str">
        <f t="shared" si="82"/>
        <v/>
      </c>
      <c r="AM237" s="58" t="str">
        <f t="shared" si="83"/>
        <v>FEast End Road Runners6</v>
      </c>
      <c r="AN237" s="58" t="str">
        <f t="shared" si="84"/>
        <v/>
      </c>
      <c r="AO237" s="58" t="str">
        <f t="shared" si="85"/>
        <v/>
      </c>
      <c r="AP237" s="58" t="str">
        <f t="shared" si="86"/>
        <v/>
      </c>
      <c r="AQ237" s="58" t="str">
        <f t="shared" si="87"/>
        <v>Sarah Pepper</v>
      </c>
    </row>
    <row r="238" spans="1:43" x14ac:dyDescent="0.25">
      <c r="A238" s="12" t="str">
        <f t="shared" si="73"/>
        <v>VM60,18</v>
      </c>
      <c r="B238" s="12" t="str">
        <f t="shared" si="74"/>
        <v>M,161</v>
      </c>
      <c r="C238" s="11">
        <f t="shared" si="95"/>
        <v>237</v>
      </c>
      <c r="D238" s="171">
        <v>109</v>
      </c>
      <c r="E238" s="12">
        <f t="shared" si="72"/>
        <v>1</v>
      </c>
      <c r="F238" s="12">
        <f>COUNTIF(H$2:H238,H238)</f>
        <v>18</v>
      </c>
      <c r="G238" s="12">
        <f>COUNTIF(J$2:J238,J238)</f>
        <v>161</v>
      </c>
      <c r="H238" s="12" t="str">
        <f t="shared" si="92"/>
        <v>VM60</v>
      </c>
      <c r="I238" s="50" t="str">
        <f t="shared" si="93"/>
        <v>VM60</v>
      </c>
      <c r="J238" s="50" t="str">
        <f t="shared" si="94"/>
        <v>M</v>
      </c>
      <c r="K238" s="64" t="str">
        <f t="shared" si="88"/>
        <v>Alan Woodroof</v>
      </c>
      <c r="L238" s="64" t="str">
        <f t="shared" si="89"/>
        <v>Unattached</v>
      </c>
      <c r="M238" s="171">
        <v>0</v>
      </c>
      <c r="N238" s="178">
        <v>28</v>
      </c>
      <c r="O238" s="178">
        <v>12</v>
      </c>
      <c r="P238" s="138">
        <f t="shared" si="75"/>
        <v>0</v>
      </c>
      <c r="Q238" s="137">
        <f t="shared" si="76"/>
        <v>28</v>
      </c>
      <c r="R238" s="143"/>
      <c r="S238" s="143"/>
      <c r="T238" s="143"/>
      <c r="U238" s="144"/>
      <c r="V238" s="144"/>
      <c r="W238" s="144"/>
      <c r="X238" s="145"/>
      <c r="Y238" s="152" t="str">
        <f t="shared" si="77"/>
        <v xml:space="preserve">   28.12 </v>
      </c>
      <c r="Z238" s="136"/>
      <c r="AA238" s="50">
        <f t="shared" si="90"/>
        <v>62</v>
      </c>
      <c r="AB238" s="129">
        <f t="shared" si="91"/>
        <v>20392</v>
      </c>
      <c r="AC238" s="58" t="str">
        <f t="shared" si="78"/>
        <v/>
      </c>
      <c r="AD238" s="58" t="str">
        <f t="shared" si="79"/>
        <v>MUnattached</v>
      </c>
      <c r="AE238" s="60">
        <f>IF(AD238="","",COUNTIF($AD$2:AD238,AD238))</f>
        <v>4</v>
      </c>
      <c r="AF238" s="62">
        <f>IF(AD238="","",SUMIF(AD$2:AD238,AD238,G$2:G238))</f>
        <v>350</v>
      </c>
      <c r="AG238" s="62" t="str">
        <f>IF(AK238&lt;&gt;"",COUNTIF($AK$1:AK237,AK238)+AK238,IF(AL238&lt;&gt;"",COUNTIF($AL$1:AL237,AL238)+AL238,""))</f>
        <v/>
      </c>
      <c r="AH238" s="62" t="str">
        <f t="shared" si="80"/>
        <v>Unattached</v>
      </c>
      <c r="AI238" s="62" t="str">
        <f>IF(AND(J238="M", AH238&lt;&gt;"U/A",AE238=Prizewinners!$J$1),AF238,"")</f>
        <v/>
      </c>
      <c r="AJ238" s="58" t="str">
        <f>IF(AND(J238="F",  AH238&lt;&gt;"U/A",AE238=Prizewinners!$J$16),AF238,"")</f>
        <v/>
      </c>
      <c r="AK238" s="58" t="str">
        <f t="shared" si="81"/>
        <v/>
      </c>
      <c r="AL238" s="58" t="str">
        <f t="shared" si="82"/>
        <v/>
      </c>
      <c r="AM238" s="58" t="str">
        <f t="shared" si="83"/>
        <v>MUnattached4</v>
      </c>
      <c r="AN238" s="58" t="str">
        <f t="shared" si="84"/>
        <v/>
      </c>
      <c r="AO238" s="58" t="str">
        <f t="shared" si="85"/>
        <v/>
      </c>
      <c r="AP238" s="58" t="str">
        <f t="shared" si="86"/>
        <v/>
      </c>
      <c r="AQ238" s="58" t="str">
        <f t="shared" si="87"/>
        <v>Alan Woodroof</v>
      </c>
    </row>
    <row r="239" spans="1:43" x14ac:dyDescent="0.25">
      <c r="A239" s="12" t="str">
        <f t="shared" si="73"/>
        <v>VF45,24</v>
      </c>
      <c r="B239" s="12" t="str">
        <f t="shared" si="74"/>
        <v>F,77</v>
      </c>
      <c r="C239" s="11">
        <f t="shared" si="95"/>
        <v>238</v>
      </c>
      <c r="D239" s="171">
        <v>359</v>
      </c>
      <c r="E239" s="12">
        <f t="shared" si="72"/>
        <v>1</v>
      </c>
      <c r="F239" s="12">
        <f>COUNTIF(H$2:H239,H239)</f>
        <v>24</v>
      </c>
      <c r="G239" s="12">
        <f>COUNTIF(J$2:J239,J239)</f>
        <v>77</v>
      </c>
      <c r="H239" s="12" t="str">
        <f t="shared" si="92"/>
        <v>VF45</v>
      </c>
      <c r="I239" s="50" t="str">
        <f t="shared" si="93"/>
        <v>VF45</v>
      </c>
      <c r="J239" s="50" t="str">
        <f t="shared" si="94"/>
        <v>F</v>
      </c>
      <c r="K239" s="64" t="str">
        <f t="shared" si="88"/>
        <v>Diana Rexhepaj</v>
      </c>
      <c r="L239" s="64" t="str">
        <f t="shared" si="89"/>
        <v>East London Runners</v>
      </c>
      <c r="M239" s="171">
        <v>0</v>
      </c>
      <c r="N239" s="178">
        <v>28</v>
      </c>
      <c r="O239" s="178">
        <v>13</v>
      </c>
      <c r="P239" s="138">
        <f t="shared" si="75"/>
        <v>0</v>
      </c>
      <c r="Q239" s="137">
        <f t="shared" si="76"/>
        <v>28</v>
      </c>
      <c r="R239" s="143"/>
      <c r="S239" s="143"/>
      <c r="T239" s="143"/>
      <c r="U239" s="144"/>
      <c r="V239" s="144"/>
      <c r="W239" s="144"/>
      <c r="X239" s="145"/>
      <c r="Y239" s="152" t="str">
        <f t="shared" si="77"/>
        <v xml:space="preserve">   28.13 </v>
      </c>
      <c r="Z239" s="136"/>
      <c r="AA239" s="50">
        <f t="shared" si="90"/>
        <v>49</v>
      </c>
      <c r="AB239" s="129">
        <f t="shared" si="91"/>
        <v>25400</v>
      </c>
      <c r="AC239" s="58" t="str">
        <f t="shared" si="78"/>
        <v/>
      </c>
      <c r="AD239" s="58" t="str">
        <f t="shared" si="79"/>
        <v>FEast London Runners</v>
      </c>
      <c r="AE239" s="60">
        <f>IF(AD239="","",COUNTIF($AD$2:AD239,AD239))</f>
        <v>18</v>
      </c>
      <c r="AF239" s="62">
        <f>IF(AD239="","",SUMIF(AD$2:AD239,AD239,G$2:G239))</f>
        <v>727</v>
      </c>
      <c r="AG239" s="62" t="str">
        <f>IF(AK239&lt;&gt;"",COUNTIF($AK$1:AK238,AK239)+AK239,IF(AL239&lt;&gt;"",COUNTIF($AL$1:AL238,AL239)+AL239,""))</f>
        <v/>
      </c>
      <c r="AH239" s="62" t="str">
        <f t="shared" si="80"/>
        <v>East London Runners</v>
      </c>
      <c r="AI239" s="62" t="str">
        <f>IF(AND(J239="M", AH239&lt;&gt;"U/A",AE239=Prizewinners!$J$1),AF239,"")</f>
        <v/>
      </c>
      <c r="AJ239" s="58" t="str">
        <f>IF(AND(J239="F",  AH239&lt;&gt;"U/A",AE239=Prizewinners!$J$16),AF239,"")</f>
        <v/>
      </c>
      <c r="AK239" s="58" t="str">
        <f t="shared" si="81"/>
        <v/>
      </c>
      <c r="AL239" s="58" t="str">
        <f t="shared" si="82"/>
        <v/>
      </c>
      <c r="AM239" s="58" t="str">
        <f t="shared" si="83"/>
        <v>FEast London Runners18</v>
      </c>
      <c r="AN239" s="58" t="str">
        <f t="shared" si="84"/>
        <v/>
      </c>
      <c r="AO239" s="58" t="str">
        <f t="shared" si="85"/>
        <v/>
      </c>
      <c r="AP239" s="58" t="str">
        <f t="shared" si="86"/>
        <v/>
      </c>
      <c r="AQ239" s="58" t="str">
        <f t="shared" si="87"/>
        <v>Diana Rexhepaj</v>
      </c>
    </row>
    <row r="240" spans="1:43" x14ac:dyDescent="0.25">
      <c r="A240" s="12" t="str">
        <f t="shared" si="73"/>
        <v>VF35,21</v>
      </c>
      <c r="B240" s="12" t="str">
        <f t="shared" si="74"/>
        <v>F,78</v>
      </c>
      <c r="C240" s="11">
        <f t="shared" si="95"/>
        <v>239</v>
      </c>
      <c r="D240" s="171">
        <v>10</v>
      </c>
      <c r="E240" s="12">
        <f t="shared" si="72"/>
        <v>1</v>
      </c>
      <c r="F240" s="12">
        <f>COUNTIF(H$2:H240,H240)</f>
        <v>21</v>
      </c>
      <c r="G240" s="12">
        <f>COUNTIF(J$2:J240,J240)</f>
        <v>78</v>
      </c>
      <c r="H240" s="12" t="str">
        <f t="shared" si="92"/>
        <v>VF35</v>
      </c>
      <c r="I240" s="50" t="str">
        <f t="shared" si="93"/>
        <v>VF35</v>
      </c>
      <c r="J240" s="50" t="str">
        <f t="shared" si="94"/>
        <v>F</v>
      </c>
      <c r="K240" s="64" t="str">
        <f t="shared" si="88"/>
        <v>Kate Withyman</v>
      </c>
      <c r="L240" s="64" t="str">
        <f t="shared" si="89"/>
        <v>Barking Road Runners</v>
      </c>
      <c r="M240" s="171">
        <v>0</v>
      </c>
      <c r="N240" s="178">
        <v>28</v>
      </c>
      <c r="O240" s="178">
        <v>15</v>
      </c>
      <c r="P240" s="138">
        <f t="shared" si="75"/>
        <v>0</v>
      </c>
      <c r="Q240" s="137">
        <f t="shared" si="76"/>
        <v>28</v>
      </c>
      <c r="R240" s="143"/>
      <c r="S240" s="143"/>
      <c r="T240" s="143"/>
      <c r="U240" s="144"/>
      <c r="V240" s="144"/>
      <c r="W240" s="144"/>
      <c r="X240" s="145"/>
      <c r="Y240" s="152" t="str">
        <f t="shared" si="77"/>
        <v xml:space="preserve">   28.15 </v>
      </c>
      <c r="Z240" s="136"/>
      <c r="AA240" s="50">
        <f t="shared" si="90"/>
        <v>37</v>
      </c>
      <c r="AB240" s="129">
        <f t="shared" si="91"/>
        <v>29794</v>
      </c>
      <c r="AC240" s="58" t="str">
        <f t="shared" si="78"/>
        <v/>
      </c>
      <c r="AD240" s="58" t="str">
        <f t="shared" si="79"/>
        <v>FBarking Road Runners</v>
      </c>
      <c r="AE240" s="60">
        <f>IF(AD240="","",COUNTIF($AD$2:AD240,AD240))</f>
        <v>5</v>
      </c>
      <c r="AF240" s="62">
        <f>IF(AD240="","",SUMIF(AD$2:AD240,AD240,G$2:G240))</f>
        <v>200</v>
      </c>
      <c r="AG240" s="62" t="str">
        <f>IF(AK240&lt;&gt;"",COUNTIF($AK$1:AK239,AK240)+AK240,IF(AL240&lt;&gt;"",COUNTIF($AL$1:AL239,AL240)+AL240,""))</f>
        <v/>
      </c>
      <c r="AH240" s="62" t="str">
        <f t="shared" si="80"/>
        <v>Barking Road Runners</v>
      </c>
      <c r="AI240" s="62" t="str">
        <f>IF(AND(J240="M", AH240&lt;&gt;"U/A",AE240=Prizewinners!$J$1),AF240,"")</f>
        <v/>
      </c>
      <c r="AJ240" s="58" t="str">
        <f>IF(AND(J240="F",  AH240&lt;&gt;"U/A",AE240=Prizewinners!$J$16),AF240,"")</f>
        <v/>
      </c>
      <c r="AK240" s="58" t="str">
        <f t="shared" si="81"/>
        <v/>
      </c>
      <c r="AL240" s="58" t="str">
        <f t="shared" si="82"/>
        <v/>
      </c>
      <c r="AM240" s="58" t="str">
        <f t="shared" si="83"/>
        <v>FBarking Road Runners5</v>
      </c>
      <c r="AN240" s="58" t="str">
        <f t="shared" si="84"/>
        <v/>
      </c>
      <c r="AO240" s="58" t="str">
        <f t="shared" si="85"/>
        <v/>
      </c>
      <c r="AP240" s="58" t="str">
        <f t="shared" si="86"/>
        <v/>
      </c>
      <c r="AQ240" s="58" t="str">
        <f t="shared" si="87"/>
        <v>Kate Withyman</v>
      </c>
    </row>
    <row r="241" spans="1:43" x14ac:dyDescent="0.25">
      <c r="A241" s="12" t="str">
        <f t="shared" si="73"/>
        <v>VF45,25</v>
      </c>
      <c r="B241" s="12" t="str">
        <f t="shared" si="74"/>
        <v>F,79</v>
      </c>
      <c r="C241" s="11">
        <f t="shared" si="95"/>
        <v>240</v>
      </c>
      <c r="D241" s="171">
        <v>144</v>
      </c>
      <c r="E241" s="12">
        <f t="shared" si="72"/>
        <v>1</v>
      </c>
      <c r="F241" s="12">
        <f>COUNTIF(H$2:H241,H241)</f>
        <v>25</v>
      </c>
      <c r="G241" s="12">
        <f>COUNTIF(J$2:J241,J241)</f>
        <v>79</v>
      </c>
      <c r="H241" s="12" t="str">
        <f t="shared" si="92"/>
        <v>VF45</v>
      </c>
      <c r="I241" s="50" t="str">
        <f t="shared" si="93"/>
        <v>VF45</v>
      </c>
      <c r="J241" s="50" t="str">
        <f t="shared" si="94"/>
        <v>F</v>
      </c>
      <c r="K241" s="64" t="str">
        <f t="shared" si="88"/>
        <v>Susannah McLaren</v>
      </c>
      <c r="L241" s="64" t="str">
        <f t="shared" si="89"/>
        <v>East London Runners</v>
      </c>
      <c r="M241" s="171">
        <v>0</v>
      </c>
      <c r="N241" s="178">
        <v>28</v>
      </c>
      <c r="O241" s="178">
        <v>17</v>
      </c>
      <c r="P241" s="138">
        <f t="shared" si="75"/>
        <v>0</v>
      </c>
      <c r="Q241" s="137">
        <f t="shared" si="76"/>
        <v>28</v>
      </c>
      <c r="R241" s="143"/>
      <c r="S241" s="143"/>
      <c r="T241" s="143"/>
      <c r="U241" s="144"/>
      <c r="V241" s="144"/>
      <c r="W241" s="144"/>
      <c r="X241" s="145"/>
      <c r="Y241" s="152" t="str">
        <f t="shared" si="77"/>
        <v xml:space="preserve">   28.17 </v>
      </c>
      <c r="Z241" s="136"/>
      <c r="AA241" s="50">
        <f t="shared" si="90"/>
        <v>54</v>
      </c>
      <c r="AB241" s="129">
        <f t="shared" si="91"/>
        <v>23549</v>
      </c>
      <c r="AC241" s="58" t="str">
        <f t="shared" si="78"/>
        <v/>
      </c>
      <c r="AD241" s="58" t="str">
        <f t="shared" si="79"/>
        <v>FEast London Runners</v>
      </c>
      <c r="AE241" s="60">
        <f>IF(AD241="","",COUNTIF($AD$2:AD241,AD241))</f>
        <v>19</v>
      </c>
      <c r="AF241" s="62">
        <f>IF(AD241="","",SUMIF(AD$2:AD241,AD241,G$2:G241))</f>
        <v>806</v>
      </c>
      <c r="AG241" s="62" t="str">
        <f>IF(AK241&lt;&gt;"",COUNTIF($AK$1:AK240,AK241)+AK241,IF(AL241&lt;&gt;"",COUNTIF($AL$1:AL240,AL241)+AL241,""))</f>
        <v/>
      </c>
      <c r="AH241" s="62" t="str">
        <f t="shared" si="80"/>
        <v>East London Runners</v>
      </c>
      <c r="AI241" s="62" t="str">
        <f>IF(AND(J241="M", AH241&lt;&gt;"U/A",AE241=Prizewinners!$J$1),AF241,"")</f>
        <v/>
      </c>
      <c r="AJ241" s="58" t="str">
        <f>IF(AND(J241="F",  AH241&lt;&gt;"U/A",AE241=Prizewinners!$J$16),AF241,"")</f>
        <v/>
      </c>
      <c r="AK241" s="58" t="str">
        <f t="shared" si="81"/>
        <v/>
      </c>
      <c r="AL241" s="58" t="str">
        <f t="shared" si="82"/>
        <v/>
      </c>
      <c r="AM241" s="58" t="str">
        <f t="shared" si="83"/>
        <v>FEast London Runners19</v>
      </c>
      <c r="AN241" s="58" t="str">
        <f t="shared" si="84"/>
        <v/>
      </c>
      <c r="AO241" s="58" t="str">
        <f t="shared" si="85"/>
        <v/>
      </c>
      <c r="AP241" s="58" t="str">
        <f t="shared" si="86"/>
        <v/>
      </c>
      <c r="AQ241" s="58" t="str">
        <f t="shared" si="87"/>
        <v>Susannah McLaren</v>
      </c>
    </row>
    <row r="242" spans="1:43" x14ac:dyDescent="0.25">
      <c r="A242" s="12" t="str">
        <f t="shared" si="73"/>
        <v>VF65,1</v>
      </c>
      <c r="B242" s="12" t="str">
        <f t="shared" si="74"/>
        <v>F,80</v>
      </c>
      <c r="C242" s="11">
        <f t="shared" si="95"/>
        <v>241</v>
      </c>
      <c r="D242" s="171">
        <v>423</v>
      </c>
      <c r="E242" s="12">
        <f t="shared" si="72"/>
        <v>1</v>
      </c>
      <c r="F242" s="12">
        <f>COUNTIF(H$2:H242,H242)</f>
        <v>1</v>
      </c>
      <c r="G242" s="12">
        <f>COUNTIF(J$2:J242,J242)</f>
        <v>80</v>
      </c>
      <c r="H242" s="12" t="str">
        <f t="shared" si="92"/>
        <v>VF65</v>
      </c>
      <c r="I242" s="50" t="str">
        <f t="shared" si="93"/>
        <v>VF65</v>
      </c>
      <c r="J242" s="50" t="str">
        <f t="shared" si="94"/>
        <v>F</v>
      </c>
      <c r="K242" s="64" t="str">
        <f t="shared" si="88"/>
        <v>Selon Timi Veerasamy</v>
      </c>
      <c r="L242" s="64" t="str">
        <f t="shared" si="89"/>
        <v>Dagenham 88 Runners</v>
      </c>
      <c r="M242" s="171">
        <v>0</v>
      </c>
      <c r="N242" s="178">
        <v>28</v>
      </c>
      <c r="O242" s="178">
        <v>29</v>
      </c>
      <c r="P242" s="138">
        <f t="shared" si="75"/>
        <v>0</v>
      </c>
      <c r="Q242" s="137">
        <f t="shared" si="76"/>
        <v>28</v>
      </c>
      <c r="R242" s="143"/>
      <c r="S242" s="143"/>
      <c r="T242" s="143"/>
      <c r="U242" s="144"/>
      <c r="V242" s="144"/>
      <c r="W242" s="144"/>
      <c r="X242" s="145"/>
      <c r="Y242" s="152" t="str">
        <f t="shared" si="77"/>
        <v xml:space="preserve">   28.29 </v>
      </c>
      <c r="Z242" s="136"/>
      <c r="AA242" s="50">
        <f t="shared" si="90"/>
        <v>66</v>
      </c>
      <c r="AB242" s="129">
        <f t="shared" si="91"/>
        <v>18941</v>
      </c>
      <c r="AC242" s="58" t="str">
        <f t="shared" si="78"/>
        <v/>
      </c>
      <c r="AD242" s="58" t="str">
        <f t="shared" si="79"/>
        <v>FDagenham 88 Runners</v>
      </c>
      <c r="AE242" s="60">
        <f>IF(AD242="","",COUNTIF($AD$2:AD242,AD242))</f>
        <v>4</v>
      </c>
      <c r="AF242" s="62">
        <f>IF(AD242="","",SUMIF(AD$2:AD242,AD242,G$2:G242))</f>
        <v>217</v>
      </c>
      <c r="AG242" s="62" t="str">
        <f>IF(AK242&lt;&gt;"",COUNTIF($AK$1:AK241,AK242)+AK242,IF(AL242&lt;&gt;"",COUNTIF($AL$1:AL241,AL242)+AL242,""))</f>
        <v/>
      </c>
      <c r="AH242" s="62" t="str">
        <f t="shared" si="80"/>
        <v>Dagenham 88 Runners</v>
      </c>
      <c r="AI242" s="62" t="str">
        <f>IF(AND(J242="M", AH242&lt;&gt;"U/A",AE242=Prizewinners!$J$1),AF242,"")</f>
        <v/>
      </c>
      <c r="AJ242" s="58" t="str">
        <f>IF(AND(J242="F",  AH242&lt;&gt;"U/A",AE242=Prizewinners!$J$16),AF242,"")</f>
        <v/>
      </c>
      <c r="AK242" s="58" t="str">
        <f t="shared" si="81"/>
        <v/>
      </c>
      <c r="AL242" s="58" t="str">
        <f t="shared" si="82"/>
        <v/>
      </c>
      <c r="AM242" s="58" t="str">
        <f t="shared" si="83"/>
        <v>FDagenham 88 Runners4</v>
      </c>
      <c r="AN242" s="58" t="str">
        <f t="shared" si="84"/>
        <v/>
      </c>
      <c r="AO242" s="58" t="str">
        <f t="shared" si="85"/>
        <v/>
      </c>
      <c r="AP242" s="58" t="str">
        <f t="shared" si="86"/>
        <v/>
      </c>
      <c r="AQ242" s="58" t="str">
        <f t="shared" si="87"/>
        <v>Selon Timi Veerasamy</v>
      </c>
    </row>
    <row r="243" spans="1:43" x14ac:dyDescent="0.25">
      <c r="A243" s="12" t="str">
        <f t="shared" si="73"/>
        <v>VM70,3</v>
      </c>
      <c r="B243" s="12" t="str">
        <f t="shared" si="74"/>
        <v>M,162</v>
      </c>
      <c r="C243" s="11">
        <f t="shared" si="95"/>
        <v>242</v>
      </c>
      <c r="D243" s="171">
        <v>361</v>
      </c>
      <c r="E243" s="12">
        <f t="shared" si="72"/>
        <v>1</v>
      </c>
      <c r="F243" s="12">
        <f>COUNTIF(H$2:H243,H243)</f>
        <v>3</v>
      </c>
      <c r="G243" s="12">
        <f>COUNTIF(J$2:J243,J243)</f>
        <v>162</v>
      </c>
      <c r="H243" s="12" t="str">
        <f t="shared" si="92"/>
        <v>VM70</v>
      </c>
      <c r="I243" s="50" t="str">
        <f t="shared" si="93"/>
        <v>VM70</v>
      </c>
      <c r="J243" s="50" t="str">
        <f t="shared" si="94"/>
        <v>M</v>
      </c>
      <c r="K243" s="64" t="str">
        <f t="shared" si="88"/>
        <v>James Huddart</v>
      </c>
      <c r="L243" s="64" t="str">
        <f t="shared" si="89"/>
        <v>Ilford AC</v>
      </c>
      <c r="M243" s="171">
        <v>0</v>
      </c>
      <c r="N243" s="178">
        <v>28</v>
      </c>
      <c r="O243" s="178">
        <v>32</v>
      </c>
      <c r="P243" s="138">
        <f t="shared" si="75"/>
        <v>0</v>
      </c>
      <c r="Q243" s="137">
        <f t="shared" si="76"/>
        <v>28</v>
      </c>
      <c r="R243" s="143"/>
      <c r="S243" s="143"/>
      <c r="T243" s="143"/>
      <c r="U243" s="144"/>
      <c r="V243" s="144"/>
      <c r="W243" s="144"/>
      <c r="X243" s="145"/>
      <c r="Y243" s="152" t="str">
        <f t="shared" si="77"/>
        <v xml:space="preserve">   28.32 </v>
      </c>
      <c r="Z243" s="136"/>
      <c r="AA243" s="50">
        <f t="shared" si="90"/>
        <v>71</v>
      </c>
      <c r="AB243" s="129">
        <f t="shared" si="91"/>
        <v>17321</v>
      </c>
      <c r="AC243" s="58" t="str">
        <f t="shared" si="78"/>
        <v/>
      </c>
      <c r="AD243" s="58" t="str">
        <f t="shared" si="79"/>
        <v>MIlford AC</v>
      </c>
      <c r="AE243" s="60">
        <f>IF(AD243="","",COUNTIF($AD$2:AD243,AD243))</f>
        <v>18</v>
      </c>
      <c r="AF243" s="62">
        <f>IF(AD243="","",SUMIF(AD$2:AD243,AD243,G$2:G243))</f>
        <v>1067</v>
      </c>
      <c r="AG243" s="62" t="str">
        <f>IF(AK243&lt;&gt;"",COUNTIF($AK$1:AK242,AK243)+AK243,IF(AL243&lt;&gt;"",COUNTIF($AL$1:AL242,AL243)+AL243,""))</f>
        <v/>
      </c>
      <c r="AH243" s="62" t="str">
        <f t="shared" si="80"/>
        <v>Ilford AC</v>
      </c>
      <c r="AI243" s="62" t="str">
        <f>IF(AND(J243="M", AH243&lt;&gt;"U/A",AE243=Prizewinners!$J$1),AF243,"")</f>
        <v/>
      </c>
      <c r="AJ243" s="58" t="str">
        <f>IF(AND(J243="F",  AH243&lt;&gt;"U/A",AE243=Prizewinners!$J$16),AF243,"")</f>
        <v/>
      </c>
      <c r="AK243" s="58" t="str">
        <f t="shared" si="81"/>
        <v/>
      </c>
      <c r="AL243" s="58" t="str">
        <f t="shared" si="82"/>
        <v/>
      </c>
      <c r="AM243" s="58" t="str">
        <f t="shared" si="83"/>
        <v>MIlford AC18</v>
      </c>
      <c r="AN243" s="58" t="str">
        <f t="shared" si="84"/>
        <v/>
      </c>
      <c r="AO243" s="58" t="str">
        <f t="shared" si="85"/>
        <v/>
      </c>
      <c r="AP243" s="58" t="str">
        <f t="shared" si="86"/>
        <v/>
      </c>
      <c r="AQ243" s="58" t="str">
        <f t="shared" si="87"/>
        <v>James Huddart</v>
      </c>
    </row>
    <row r="244" spans="1:43" x14ac:dyDescent="0.25">
      <c r="A244" s="12" t="str">
        <f t="shared" si="73"/>
        <v>VM60,19</v>
      </c>
      <c r="B244" s="12" t="str">
        <f t="shared" si="74"/>
        <v>M,163</v>
      </c>
      <c r="C244" s="11">
        <f t="shared" si="95"/>
        <v>243</v>
      </c>
      <c r="D244" s="171">
        <v>459</v>
      </c>
      <c r="E244" s="12">
        <f t="shared" si="72"/>
        <v>1</v>
      </c>
      <c r="F244" s="12">
        <f>COUNTIF(H$2:H244,H244)</f>
        <v>19</v>
      </c>
      <c r="G244" s="12">
        <f>COUNTIF(J$2:J244,J244)</f>
        <v>163</v>
      </c>
      <c r="H244" s="12" t="str">
        <f t="shared" si="92"/>
        <v>VM60</v>
      </c>
      <c r="I244" s="50" t="str">
        <f t="shared" si="93"/>
        <v>VM60</v>
      </c>
      <c r="J244" s="50" t="str">
        <f t="shared" si="94"/>
        <v>M</v>
      </c>
      <c r="K244" s="64" t="str">
        <f t="shared" si="88"/>
        <v>Bernard Savage</v>
      </c>
      <c r="L244" s="64" t="str">
        <f t="shared" si="89"/>
        <v>Havering 90 Joggers</v>
      </c>
      <c r="M244" s="171">
        <v>0</v>
      </c>
      <c r="N244" s="178">
        <v>28</v>
      </c>
      <c r="O244" s="178">
        <v>34</v>
      </c>
      <c r="P244" s="138">
        <f t="shared" si="75"/>
        <v>0</v>
      </c>
      <c r="Q244" s="137">
        <f t="shared" si="76"/>
        <v>28</v>
      </c>
      <c r="R244" s="143"/>
      <c r="S244" s="143"/>
      <c r="T244" s="143"/>
      <c r="U244" s="144"/>
      <c r="V244" s="144"/>
      <c r="W244" s="144"/>
      <c r="X244" s="145"/>
      <c r="Y244" s="152" t="str">
        <f t="shared" si="77"/>
        <v xml:space="preserve">   28.34 </v>
      </c>
      <c r="Z244" s="136"/>
      <c r="AA244" s="50">
        <f t="shared" si="90"/>
        <v>65</v>
      </c>
      <c r="AB244" s="129">
        <f t="shared" si="91"/>
        <v>19455</v>
      </c>
      <c r="AC244" s="58" t="str">
        <f t="shared" si="78"/>
        <v/>
      </c>
      <c r="AD244" s="58" t="str">
        <f t="shared" si="79"/>
        <v>MHavering 90 Joggers</v>
      </c>
      <c r="AE244" s="60">
        <f>IF(AD244="","",COUNTIF($AD$2:AD244,AD244))</f>
        <v>11</v>
      </c>
      <c r="AF244" s="62">
        <f>IF(AD244="","",SUMIF(AD$2:AD244,AD244,G$2:G244))</f>
        <v>1234</v>
      </c>
      <c r="AG244" s="62" t="str">
        <f>IF(AK244&lt;&gt;"",COUNTIF($AK$1:AK243,AK244)+AK244,IF(AL244&lt;&gt;"",COUNTIF($AL$1:AL243,AL244)+AL244,""))</f>
        <v/>
      </c>
      <c r="AH244" s="62" t="str">
        <f t="shared" si="80"/>
        <v>Havering 90 Joggers</v>
      </c>
      <c r="AI244" s="62" t="str">
        <f>IF(AND(J244="M", AH244&lt;&gt;"U/A",AE244=Prizewinners!$J$1),AF244,"")</f>
        <v/>
      </c>
      <c r="AJ244" s="58" t="str">
        <f>IF(AND(J244="F",  AH244&lt;&gt;"U/A",AE244=Prizewinners!$J$16),AF244,"")</f>
        <v/>
      </c>
      <c r="AK244" s="58" t="str">
        <f t="shared" si="81"/>
        <v/>
      </c>
      <c r="AL244" s="58" t="str">
        <f t="shared" si="82"/>
        <v/>
      </c>
      <c r="AM244" s="58" t="str">
        <f t="shared" si="83"/>
        <v>MHavering 90 Joggers11</v>
      </c>
      <c r="AN244" s="58" t="str">
        <f t="shared" si="84"/>
        <v/>
      </c>
      <c r="AO244" s="58" t="str">
        <f t="shared" si="85"/>
        <v/>
      </c>
      <c r="AP244" s="58" t="str">
        <f t="shared" si="86"/>
        <v/>
      </c>
      <c r="AQ244" s="58" t="str">
        <f t="shared" si="87"/>
        <v>Bernard Savage</v>
      </c>
    </row>
    <row r="245" spans="1:43" x14ac:dyDescent="0.25">
      <c r="A245" s="12" t="str">
        <f t="shared" si="73"/>
        <v>VF35,22</v>
      </c>
      <c r="B245" s="12" t="str">
        <f t="shared" si="74"/>
        <v>F,81</v>
      </c>
      <c r="C245" s="11">
        <f t="shared" si="95"/>
        <v>244</v>
      </c>
      <c r="D245" s="171">
        <v>480</v>
      </c>
      <c r="E245" s="12">
        <f t="shared" si="72"/>
        <v>1</v>
      </c>
      <c r="F245" s="12">
        <f>COUNTIF(H$2:H245,H245)</f>
        <v>22</v>
      </c>
      <c r="G245" s="12">
        <f>COUNTIF(J$2:J245,J245)</f>
        <v>81</v>
      </c>
      <c r="H245" s="12" t="str">
        <f t="shared" si="92"/>
        <v>VF35</v>
      </c>
      <c r="I245" s="50" t="str">
        <f t="shared" si="93"/>
        <v>VF35</v>
      </c>
      <c r="J245" s="50" t="str">
        <f t="shared" si="94"/>
        <v>F</v>
      </c>
      <c r="K245" s="64" t="str">
        <f t="shared" si="88"/>
        <v>Emma O'Shea</v>
      </c>
      <c r="L245" s="64" t="str">
        <f t="shared" si="89"/>
        <v>Dagenham 88 Runners</v>
      </c>
      <c r="M245" s="171">
        <v>0</v>
      </c>
      <c r="N245" s="178">
        <v>28</v>
      </c>
      <c r="O245" s="178">
        <v>42</v>
      </c>
      <c r="P245" s="138">
        <f t="shared" si="75"/>
        <v>0</v>
      </c>
      <c r="Q245" s="137">
        <f t="shared" si="76"/>
        <v>28</v>
      </c>
      <c r="R245" s="143"/>
      <c r="S245" s="143"/>
      <c r="T245" s="143"/>
      <c r="U245" s="144"/>
      <c r="V245" s="144"/>
      <c r="W245" s="144"/>
      <c r="X245" s="145"/>
      <c r="Y245" s="152" t="str">
        <f t="shared" si="77"/>
        <v xml:space="preserve">   28.42 </v>
      </c>
      <c r="Z245" s="136"/>
      <c r="AA245" s="50">
        <f t="shared" si="90"/>
        <v>44</v>
      </c>
      <c r="AB245" s="129">
        <f t="shared" si="91"/>
        <v>27116</v>
      </c>
      <c r="AC245" s="58" t="str">
        <f t="shared" si="78"/>
        <v/>
      </c>
      <c r="AD245" s="58" t="str">
        <f t="shared" si="79"/>
        <v>FDagenham 88 Runners</v>
      </c>
      <c r="AE245" s="60">
        <f>IF(AD245="","",COUNTIF($AD$2:AD245,AD245))</f>
        <v>5</v>
      </c>
      <c r="AF245" s="62">
        <f>IF(AD245="","",SUMIF(AD$2:AD245,AD245,G$2:G245))</f>
        <v>298</v>
      </c>
      <c r="AG245" s="62" t="str">
        <f>IF(AK245&lt;&gt;"",COUNTIF($AK$1:AK244,AK245)+AK245,IF(AL245&lt;&gt;"",COUNTIF($AL$1:AL244,AL245)+AL245,""))</f>
        <v/>
      </c>
      <c r="AH245" s="62" t="str">
        <f t="shared" si="80"/>
        <v>Dagenham 88 Runners</v>
      </c>
      <c r="AI245" s="62" t="str">
        <f>IF(AND(J245="M", AH245&lt;&gt;"U/A",AE245=Prizewinners!$J$1),AF245,"")</f>
        <v/>
      </c>
      <c r="AJ245" s="58" t="str">
        <f>IF(AND(J245="F",  AH245&lt;&gt;"U/A",AE245=Prizewinners!$J$16),AF245,"")</f>
        <v/>
      </c>
      <c r="AK245" s="58" t="str">
        <f t="shared" si="81"/>
        <v/>
      </c>
      <c r="AL245" s="58" t="str">
        <f t="shared" si="82"/>
        <v/>
      </c>
      <c r="AM245" s="58" t="str">
        <f t="shared" si="83"/>
        <v>FDagenham 88 Runners5</v>
      </c>
      <c r="AN245" s="58" t="str">
        <f t="shared" si="84"/>
        <v/>
      </c>
      <c r="AO245" s="58" t="str">
        <f t="shared" si="85"/>
        <v/>
      </c>
      <c r="AP245" s="58" t="str">
        <f t="shared" si="86"/>
        <v/>
      </c>
      <c r="AQ245" s="58" t="str">
        <f t="shared" si="87"/>
        <v>Emma O'Shea</v>
      </c>
    </row>
    <row r="246" spans="1:43" x14ac:dyDescent="0.25">
      <c r="A246" s="12" t="str">
        <f t="shared" si="73"/>
        <v>VF55,16</v>
      </c>
      <c r="B246" s="12" t="str">
        <f t="shared" si="74"/>
        <v>F,82</v>
      </c>
      <c r="C246" s="11">
        <f t="shared" si="95"/>
        <v>245</v>
      </c>
      <c r="D246" s="171">
        <v>358</v>
      </c>
      <c r="E246" s="12">
        <f t="shared" si="72"/>
        <v>1</v>
      </c>
      <c r="F246" s="12">
        <f>COUNTIF(H$2:H246,H246)</f>
        <v>16</v>
      </c>
      <c r="G246" s="12">
        <f>COUNTIF(J$2:J246,J246)</f>
        <v>82</v>
      </c>
      <c r="H246" s="12" t="str">
        <f t="shared" si="92"/>
        <v>VF55</v>
      </c>
      <c r="I246" s="50" t="str">
        <f t="shared" si="93"/>
        <v>VF55</v>
      </c>
      <c r="J246" s="50" t="str">
        <f t="shared" si="94"/>
        <v>F</v>
      </c>
      <c r="K246" s="64" t="str">
        <f t="shared" si="88"/>
        <v>Christina Watson</v>
      </c>
      <c r="L246" s="64" t="str">
        <f t="shared" si="89"/>
        <v>Eton Manor AC</v>
      </c>
      <c r="M246" s="171">
        <v>0</v>
      </c>
      <c r="N246" s="178">
        <v>28</v>
      </c>
      <c r="O246" s="178">
        <v>5</v>
      </c>
      <c r="P246" s="138">
        <f t="shared" si="75"/>
        <v>0</v>
      </c>
      <c r="Q246" s="137">
        <f t="shared" si="76"/>
        <v>28</v>
      </c>
      <c r="R246" s="143"/>
      <c r="S246" s="143"/>
      <c r="T246" s="143"/>
      <c r="U246" s="144"/>
      <c r="V246" s="144"/>
      <c r="W246" s="144"/>
      <c r="X246" s="145"/>
      <c r="Y246" s="152" t="str">
        <f t="shared" si="77"/>
        <v xml:space="preserve">   28.05 </v>
      </c>
      <c r="Z246" s="136"/>
      <c r="AA246" s="50">
        <f t="shared" si="90"/>
        <v>60</v>
      </c>
      <c r="AB246" s="129">
        <f t="shared" si="91"/>
        <v>21261</v>
      </c>
      <c r="AC246" s="58" t="str">
        <f t="shared" si="78"/>
        <v/>
      </c>
      <c r="AD246" s="58" t="str">
        <f t="shared" si="79"/>
        <v>FEton Manor AC</v>
      </c>
      <c r="AE246" s="60">
        <f>IF(AD246="","",COUNTIF($AD$2:AD246,AD246))</f>
        <v>11</v>
      </c>
      <c r="AF246" s="62">
        <f>IF(AD246="","",SUMIF(AD$2:AD246,AD246,G$2:G246))</f>
        <v>446</v>
      </c>
      <c r="AG246" s="62" t="str">
        <f>IF(AK246&lt;&gt;"",COUNTIF($AK$1:AK245,AK246)+AK246,IF(AL246&lt;&gt;"",COUNTIF($AL$1:AL245,AL246)+AL246,""))</f>
        <v/>
      </c>
      <c r="AH246" s="62" t="str">
        <f t="shared" si="80"/>
        <v>Eton Manor AC</v>
      </c>
      <c r="AI246" s="62" t="str">
        <f>IF(AND(J246="M", AH246&lt;&gt;"U/A",AE246=Prizewinners!$J$1),AF246,"")</f>
        <v/>
      </c>
      <c r="AJ246" s="58" t="str">
        <f>IF(AND(J246="F",  AH246&lt;&gt;"U/A",AE246=Prizewinners!$J$16),AF246,"")</f>
        <v/>
      </c>
      <c r="AK246" s="58" t="str">
        <f t="shared" si="81"/>
        <v/>
      </c>
      <c r="AL246" s="58" t="str">
        <f t="shared" si="82"/>
        <v/>
      </c>
      <c r="AM246" s="58" t="str">
        <f t="shared" si="83"/>
        <v>FEton Manor AC11</v>
      </c>
      <c r="AN246" s="58" t="str">
        <f t="shared" si="84"/>
        <v/>
      </c>
      <c r="AO246" s="58" t="str">
        <f t="shared" si="85"/>
        <v/>
      </c>
      <c r="AP246" s="58" t="str">
        <f t="shared" si="86"/>
        <v/>
      </c>
      <c r="AQ246" s="58" t="str">
        <f t="shared" si="87"/>
        <v>Christina Watson</v>
      </c>
    </row>
    <row r="247" spans="1:43" x14ac:dyDescent="0.25">
      <c r="A247" s="12" t="str">
        <f t="shared" si="73"/>
        <v>VF45,26</v>
      </c>
      <c r="B247" s="12" t="str">
        <f t="shared" si="74"/>
        <v>F,83</v>
      </c>
      <c r="C247" s="11">
        <f t="shared" si="95"/>
        <v>246</v>
      </c>
      <c r="D247" s="171">
        <v>354</v>
      </c>
      <c r="E247" s="12">
        <f t="shared" si="72"/>
        <v>1</v>
      </c>
      <c r="F247" s="12">
        <f>COUNTIF(H$2:H247,H247)</f>
        <v>26</v>
      </c>
      <c r="G247" s="12">
        <f>COUNTIF(J$2:J247,J247)</f>
        <v>83</v>
      </c>
      <c r="H247" s="12" t="str">
        <f t="shared" si="92"/>
        <v>VF45</v>
      </c>
      <c r="I247" s="50" t="str">
        <f t="shared" si="93"/>
        <v>VF45</v>
      </c>
      <c r="J247" s="50" t="str">
        <f t="shared" si="94"/>
        <v>F</v>
      </c>
      <c r="K247" s="64" t="str">
        <f t="shared" si="88"/>
        <v>Joanna Dorling</v>
      </c>
      <c r="L247" s="64" t="str">
        <f t="shared" si="89"/>
        <v>East End Road Runners</v>
      </c>
      <c r="M247" s="171">
        <v>0</v>
      </c>
      <c r="N247" s="178">
        <v>28</v>
      </c>
      <c r="O247" s="178">
        <v>56</v>
      </c>
      <c r="P247" s="138">
        <f t="shared" si="75"/>
        <v>0</v>
      </c>
      <c r="Q247" s="137">
        <f t="shared" si="76"/>
        <v>28</v>
      </c>
      <c r="R247" s="143"/>
      <c r="S247" s="143"/>
      <c r="T247" s="143"/>
      <c r="U247" s="144"/>
      <c r="V247" s="144"/>
      <c r="W247" s="144"/>
      <c r="X247" s="145"/>
      <c r="Y247" s="152" t="str">
        <f t="shared" si="77"/>
        <v xml:space="preserve">   28.56 </v>
      </c>
      <c r="Z247" s="136"/>
      <c r="AA247" s="50">
        <f t="shared" si="90"/>
        <v>50</v>
      </c>
      <c r="AB247" s="129">
        <f t="shared" si="91"/>
        <v>24777</v>
      </c>
      <c r="AC247" s="58" t="str">
        <f t="shared" si="78"/>
        <v/>
      </c>
      <c r="AD247" s="58" t="str">
        <f t="shared" si="79"/>
        <v>FEast End Road Runners</v>
      </c>
      <c r="AE247" s="60">
        <f>IF(AD247="","",COUNTIF($AD$2:AD247,AD247))</f>
        <v>7</v>
      </c>
      <c r="AF247" s="62">
        <f>IF(AD247="","",SUMIF(AD$2:AD247,AD247,G$2:G247))</f>
        <v>379</v>
      </c>
      <c r="AG247" s="62" t="str">
        <f>IF(AK247&lt;&gt;"",COUNTIF($AK$1:AK246,AK247)+AK247,IF(AL247&lt;&gt;"",COUNTIF($AL$1:AL246,AL247)+AL247,""))</f>
        <v/>
      </c>
      <c r="AH247" s="62" t="str">
        <f t="shared" si="80"/>
        <v>East End Road Runners</v>
      </c>
      <c r="AI247" s="62" t="str">
        <f>IF(AND(J247="M", AH247&lt;&gt;"U/A",AE247=Prizewinners!$J$1),AF247,"")</f>
        <v/>
      </c>
      <c r="AJ247" s="58" t="str">
        <f>IF(AND(J247="F",  AH247&lt;&gt;"U/A",AE247=Prizewinners!$J$16),AF247,"")</f>
        <v/>
      </c>
      <c r="AK247" s="58" t="str">
        <f t="shared" si="81"/>
        <v/>
      </c>
      <c r="AL247" s="58" t="str">
        <f t="shared" si="82"/>
        <v/>
      </c>
      <c r="AM247" s="58" t="str">
        <f t="shared" si="83"/>
        <v>FEast End Road Runners7</v>
      </c>
      <c r="AN247" s="58" t="str">
        <f t="shared" si="84"/>
        <v/>
      </c>
      <c r="AO247" s="58" t="str">
        <f t="shared" si="85"/>
        <v/>
      </c>
      <c r="AP247" s="58" t="str">
        <f t="shared" si="86"/>
        <v/>
      </c>
      <c r="AQ247" s="58" t="str">
        <f t="shared" si="87"/>
        <v>Joanna Dorling</v>
      </c>
    </row>
    <row r="248" spans="1:43" x14ac:dyDescent="0.25">
      <c r="A248" s="12" t="str">
        <f t="shared" si="73"/>
        <v>SM,60</v>
      </c>
      <c r="B248" s="12" t="str">
        <f t="shared" si="74"/>
        <v>M,164</v>
      </c>
      <c r="C248" s="11">
        <f t="shared" si="95"/>
        <v>247</v>
      </c>
      <c r="D248" s="171">
        <v>448</v>
      </c>
      <c r="E248" s="12">
        <f t="shared" si="72"/>
        <v>1</v>
      </c>
      <c r="F248" s="12">
        <f>COUNTIF(H$2:H248,H248)</f>
        <v>60</v>
      </c>
      <c r="G248" s="12">
        <f>COUNTIF(J$2:J248,J248)</f>
        <v>164</v>
      </c>
      <c r="H248" s="12" t="str">
        <f t="shared" si="92"/>
        <v>SM</v>
      </c>
      <c r="I248" s="50" t="str">
        <f t="shared" si="93"/>
        <v>SM</v>
      </c>
      <c r="J248" s="50" t="str">
        <f t="shared" si="94"/>
        <v>M</v>
      </c>
      <c r="K248" s="64" t="str">
        <f t="shared" si="88"/>
        <v>Nicholas Reeve</v>
      </c>
      <c r="L248" s="64" t="str">
        <f t="shared" si="89"/>
        <v>East End Road Runners</v>
      </c>
      <c r="M248" s="171">
        <v>0</v>
      </c>
      <c r="N248" s="178">
        <v>29</v>
      </c>
      <c r="O248" s="178">
        <v>7</v>
      </c>
      <c r="P248" s="138">
        <f t="shared" si="75"/>
        <v>0</v>
      </c>
      <c r="Q248" s="137">
        <f t="shared" si="76"/>
        <v>29</v>
      </c>
      <c r="R248" s="143"/>
      <c r="S248" s="143"/>
      <c r="T248" s="143"/>
      <c r="U248" s="144"/>
      <c r="V248" s="144"/>
      <c r="W248" s="144"/>
      <c r="X248" s="145"/>
      <c r="Y248" s="152" t="str">
        <f t="shared" si="77"/>
        <v xml:space="preserve">   29.07 </v>
      </c>
      <c r="Z248" s="136"/>
      <c r="AA248" s="50">
        <f t="shared" si="90"/>
        <v>35</v>
      </c>
      <c r="AB248" s="129">
        <f t="shared" si="91"/>
        <v>30229</v>
      </c>
      <c r="AC248" s="58" t="str">
        <f t="shared" si="78"/>
        <v/>
      </c>
      <c r="AD248" s="58" t="str">
        <f t="shared" si="79"/>
        <v>MEast End Road Runners</v>
      </c>
      <c r="AE248" s="60">
        <f>IF(AD248="","",COUNTIF($AD$2:AD248,AD248))</f>
        <v>15</v>
      </c>
      <c r="AF248" s="62">
        <f>IF(AD248="","",SUMIF(AD$2:AD248,AD248,G$2:G248))</f>
        <v>1421</v>
      </c>
      <c r="AG248" s="62" t="str">
        <f>IF(AK248&lt;&gt;"",COUNTIF($AK$1:AK247,AK248)+AK248,IF(AL248&lt;&gt;"",COUNTIF($AL$1:AL247,AL248)+AL248,""))</f>
        <v/>
      </c>
      <c r="AH248" s="62" t="str">
        <f t="shared" si="80"/>
        <v>East End Road Runners</v>
      </c>
      <c r="AI248" s="62" t="str">
        <f>IF(AND(J248="M", AH248&lt;&gt;"U/A",AE248=Prizewinners!$J$1),AF248,"")</f>
        <v/>
      </c>
      <c r="AJ248" s="58" t="str">
        <f>IF(AND(J248="F",  AH248&lt;&gt;"U/A",AE248=Prizewinners!$J$16),AF248,"")</f>
        <v/>
      </c>
      <c r="AK248" s="58" t="str">
        <f t="shared" si="81"/>
        <v/>
      </c>
      <c r="AL248" s="58" t="str">
        <f t="shared" si="82"/>
        <v/>
      </c>
      <c r="AM248" s="58" t="str">
        <f t="shared" si="83"/>
        <v>MEast End Road Runners15</v>
      </c>
      <c r="AN248" s="58" t="str">
        <f t="shared" si="84"/>
        <v/>
      </c>
      <c r="AO248" s="58" t="str">
        <f t="shared" si="85"/>
        <v/>
      </c>
      <c r="AP248" s="58" t="str">
        <f t="shared" si="86"/>
        <v/>
      </c>
      <c r="AQ248" s="58" t="str">
        <f t="shared" si="87"/>
        <v>Nicholas Reeve</v>
      </c>
    </row>
    <row r="249" spans="1:43" x14ac:dyDescent="0.25">
      <c r="A249" s="12" t="str">
        <f t="shared" si="73"/>
        <v>SM,61</v>
      </c>
      <c r="B249" s="12" t="str">
        <f t="shared" si="74"/>
        <v>M,165</v>
      </c>
      <c r="C249" s="11">
        <f t="shared" si="95"/>
        <v>248</v>
      </c>
      <c r="D249" s="171">
        <v>75</v>
      </c>
      <c r="E249" s="12">
        <f t="shared" si="72"/>
        <v>1</v>
      </c>
      <c r="F249" s="12">
        <f>COUNTIF(H$2:H249,H249)</f>
        <v>61</v>
      </c>
      <c r="G249" s="12">
        <f>COUNTIF(J$2:J249,J249)</f>
        <v>165</v>
      </c>
      <c r="H249" s="12" t="str">
        <f t="shared" si="92"/>
        <v>SM</v>
      </c>
      <c r="I249" s="50" t="str">
        <f t="shared" si="93"/>
        <v>SM</v>
      </c>
      <c r="J249" s="50" t="str">
        <f t="shared" si="94"/>
        <v>M</v>
      </c>
      <c r="K249" s="64" t="str">
        <f t="shared" si="88"/>
        <v>Abhishek Anand</v>
      </c>
      <c r="L249" s="64" t="str">
        <f t="shared" si="89"/>
        <v>Harold Wood Running Club</v>
      </c>
      <c r="M249" s="171">
        <v>0</v>
      </c>
      <c r="N249" s="178">
        <v>29</v>
      </c>
      <c r="O249" s="178">
        <v>10</v>
      </c>
      <c r="P249" s="138">
        <f t="shared" si="75"/>
        <v>0</v>
      </c>
      <c r="Q249" s="137">
        <f t="shared" si="76"/>
        <v>29</v>
      </c>
      <c r="R249" s="143"/>
      <c r="S249" s="143"/>
      <c r="T249" s="143"/>
      <c r="U249" s="144"/>
      <c r="V249" s="144"/>
      <c r="W249" s="144"/>
      <c r="X249" s="145"/>
      <c r="Y249" s="152" t="str">
        <f t="shared" si="77"/>
        <v xml:space="preserve">   29.10 </v>
      </c>
      <c r="Z249" s="136"/>
      <c r="AA249" s="50">
        <f t="shared" si="90"/>
        <v>34</v>
      </c>
      <c r="AB249" s="129">
        <f t="shared" si="91"/>
        <v>30887</v>
      </c>
      <c r="AC249" s="58" t="str">
        <f t="shared" si="78"/>
        <v/>
      </c>
      <c r="AD249" s="58" t="str">
        <f t="shared" si="79"/>
        <v>MHarold Wood Running Club</v>
      </c>
      <c r="AE249" s="60">
        <f>IF(AD249="","",COUNTIF($AD$2:AD249,AD249))</f>
        <v>10</v>
      </c>
      <c r="AF249" s="62">
        <f>IF(AD249="","",SUMIF(AD$2:AD249,AD249,G$2:G249))</f>
        <v>922</v>
      </c>
      <c r="AG249" s="62" t="str">
        <f>IF(AK249&lt;&gt;"",COUNTIF($AK$1:AK248,AK249)+AK249,IF(AL249&lt;&gt;"",COUNTIF($AL$1:AL248,AL249)+AL249,""))</f>
        <v/>
      </c>
      <c r="AH249" s="62" t="str">
        <f t="shared" si="80"/>
        <v>Harold Wood Running Club</v>
      </c>
      <c r="AI249" s="62" t="str">
        <f>IF(AND(J249="M", AH249&lt;&gt;"U/A",AE249=Prizewinners!$J$1),AF249,"")</f>
        <v/>
      </c>
      <c r="AJ249" s="58" t="str">
        <f>IF(AND(J249="F",  AH249&lt;&gt;"U/A",AE249=Prizewinners!$J$16),AF249,"")</f>
        <v/>
      </c>
      <c r="AK249" s="58" t="str">
        <f t="shared" si="81"/>
        <v/>
      </c>
      <c r="AL249" s="58" t="str">
        <f t="shared" si="82"/>
        <v/>
      </c>
      <c r="AM249" s="58" t="str">
        <f t="shared" si="83"/>
        <v>MHarold Wood Running Club10</v>
      </c>
      <c r="AN249" s="58" t="str">
        <f t="shared" si="84"/>
        <v/>
      </c>
      <c r="AO249" s="58" t="str">
        <f t="shared" si="85"/>
        <v/>
      </c>
      <c r="AP249" s="58" t="str">
        <f t="shared" si="86"/>
        <v/>
      </c>
      <c r="AQ249" s="58" t="str">
        <f t="shared" si="87"/>
        <v>Abhishek Anand</v>
      </c>
    </row>
    <row r="250" spans="1:43" x14ac:dyDescent="0.25">
      <c r="A250" s="12" t="str">
        <f t="shared" si="73"/>
        <v>VF55,17</v>
      </c>
      <c r="B250" s="12" t="str">
        <f t="shared" si="74"/>
        <v>F,84</v>
      </c>
      <c r="C250" s="11">
        <f t="shared" si="95"/>
        <v>249</v>
      </c>
      <c r="D250" s="171">
        <v>393</v>
      </c>
      <c r="E250" s="12">
        <f t="shared" si="72"/>
        <v>1</v>
      </c>
      <c r="F250" s="12">
        <f>COUNTIF(H$2:H250,H250)</f>
        <v>17</v>
      </c>
      <c r="G250" s="12">
        <f>COUNTIF(J$2:J250,J250)</f>
        <v>84</v>
      </c>
      <c r="H250" s="12" t="str">
        <f t="shared" si="92"/>
        <v>VF55</v>
      </c>
      <c r="I250" s="50" t="str">
        <f t="shared" si="93"/>
        <v>VF55</v>
      </c>
      <c r="J250" s="50" t="str">
        <f t="shared" si="94"/>
        <v>F</v>
      </c>
      <c r="K250" s="64" t="str">
        <f t="shared" si="88"/>
        <v>Hazel Winston</v>
      </c>
      <c r="L250" s="64" t="str">
        <f t="shared" si="89"/>
        <v>Havering 90 Joggers</v>
      </c>
      <c r="M250" s="171">
        <v>0</v>
      </c>
      <c r="N250" s="178">
        <v>29</v>
      </c>
      <c r="O250" s="178">
        <v>13</v>
      </c>
      <c r="P250" s="138">
        <f t="shared" si="75"/>
        <v>0</v>
      </c>
      <c r="Q250" s="137">
        <f t="shared" si="76"/>
        <v>29</v>
      </c>
      <c r="R250" s="143"/>
      <c r="S250" s="143"/>
      <c r="T250" s="143"/>
      <c r="U250" s="144"/>
      <c r="V250" s="144"/>
      <c r="W250" s="144"/>
      <c r="X250" s="145"/>
      <c r="Y250" s="152" t="str">
        <f t="shared" si="77"/>
        <v xml:space="preserve">   29.13 </v>
      </c>
      <c r="Z250" s="136"/>
      <c r="AA250" s="50">
        <f t="shared" si="90"/>
        <v>62</v>
      </c>
      <c r="AB250" s="129">
        <f t="shared" si="91"/>
        <v>20565</v>
      </c>
      <c r="AC250" s="58" t="str">
        <f t="shared" si="78"/>
        <v/>
      </c>
      <c r="AD250" s="58" t="str">
        <f t="shared" si="79"/>
        <v>FHavering 90 Joggers</v>
      </c>
      <c r="AE250" s="60">
        <f>IF(AD250="","",COUNTIF($AD$2:AD250,AD250))</f>
        <v>7</v>
      </c>
      <c r="AF250" s="62">
        <f>IF(AD250="","",SUMIF(AD$2:AD250,AD250,G$2:G250))</f>
        <v>417</v>
      </c>
      <c r="AG250" s="62" t="str">
        <f>IF(AK250&lt;&gt;"",COUNTIF($AK$1:AK249,AK250)+AK250,IF(AL250&lt;&gt;"",COUNTIF($AL$1:AL249,AL250)+AL250,""))</f>
        <v/>
      </c>
      <c r="AH250" s="62" t="str">
        <f t="shared" si="80"/>
        <v>Havering 90 Joggers</v>
      </c>
      <c r="AI250" s="62" t="str">
        <f>IF(AND(J250="M", AH250&lt;&gt;"U/A",AE250=Prizewinners!$J$1),AF250,"")</f>
        <v/>
      </c>
      <c r="AJ250" s="58" t="str">
        <f>IF(AND(J250="F",  AH250&lt;&gt;"U/A",AE250=Prizewinners!$J$16),AF250,"")</f>
        <v/>
      </c>
      <c r="AK250" s="58" t="str">
        <f t="shared" si="81"/>
        <v/>
      </c>
      <c r="AL250" s="58" t="str">
        <f t="shared" si="82"/>
        <v/>
      </c>
      <c r="AM250" s="58" t="str">
        <f t="shared" si="83"/>
        <v>FHavering 90 Joggers7</v>
      </c>
      <c r="AN250" s="58" t="str">
        <f t="shared" si="84"/>
        <v/>
      </c>
      <c r="AO250" s="58" t="str">
        <f t="shared" si="85"/>
        <v/>
      </c>
      <c r="AP250" s="58" t="str">
        <f t="shared" si="86"/>
        <v/>
      </c>
      <c r="AQ250" s="58" t="str">
        <f t="shared" si="87"/>
        <v>Hazel Winston</v>
      </c>
    </row>
    <row r="251" spans="1:43" x14ac:dyDescent="0.25">
      <c r="A251" s="12" t="str">
        <f t="shared" si="73"/>
        <v>VM70,4</v>
      </c>
      <c r="B251" s="12" t="str">
        <f t="shared" si="74"/>
        <v>M,166</v>
      </c>
      <c r="C251" s="11">
        <f t="shared" si="95"/>
        <v>250</v>
      </c>
      <c r="D251" s="171">
        <v>140</v>
      </c>
      <c r="E251" s="12">
        <f t="shared" si="72"/>
        <v>1</v>
      </c>
      <c r="F251" s="12">
        <f>COUNTIF(H$2:H251,H251)</f>
        <v>4</v>
      </c>
      <c r="G251" s="12">
        <f>COUNTIF(J$2:J251,J251)</f>
        <v>166</v>
      </c>
      <c r="H251" s="12" t="str">
        <f t="shared" si="92"/>
        <v>VM70</v>
      </c>
      <c r="I251" s="50" t="str">
        <f t="shared" si="93"/>
        <v>VM70</v>
      </c>
      <c r="J251" s="50" t="str">
        <f t="shared" si="94"/>
        <v>M</v>
      </c>
      <c r="K251" s="64" t="str">
        <f t="shared" si="88"/>
        <v>Robert Maggio</v>
      </c>
      <c r="L251" s="64" t="str">
        <f t="shared" si="89"/>
        <v>Eton Manor AC</v>
      </c>
      <c r="M251" s="171">
        <v>0</v>
      </c>
      <c r="N251" s="178">
        <v>29</v>
      </c>
      <c r="O251" s="178">
        <v>21</v>
      </c>
      <c r="P251" s="138">
        <f t="shared" si="75"/>
        <v>0</v>
      </c>
      <c r="Q251" s="137">
        <f t="shared" si="76"/>
        <v>29</v>
      </c>
      <c r="R251" s="143"/>
      <c r="S251" s="143"/>
      <c r="T251" s="143"/>
      <c r="U251" s="144"/>
      <c r="V251" s="144"/>
      <c r="W251" s="144"/>
      <c r="X251" s="145"/>
      <c r="Y251" s="152" t="str">
        <f t="shared" si="77"/>
        <v xml:space="preserve">   29.21 </v>
      </c>
      <c r="Z251" s="136"/>
      <c r="AA251" s="50">
        <f t="shared" si="90"/>
        <v>72</v>
      </c>
      <c r="AB251" s="129">
        <f t="shared" si="91"/>
        <v>16951</v>
      </c>
      <c r="AC251" s="58" t="str">
        <f t="shared" si="78"/>
        <v/>
      </c>
      <c r="AD251" s="58" t="str">
        <f t="shared" si="79"/>
        <v>MEton Manor AC</v>
      </c>
      <c r="AE251" s="60">
        <f>IF(AD251="","",COUNTIF($AD$2:AD251,AD251))</f>
        <v>7</v>
      </c>
      <c r="AF251" s="62">
        <f>IF(AD251="","",SUMIF(AD$2:AD251,AD251,G$2:G251))</f>
        <v>573</v>
      </c>
      <c r="AG251" s="62" t="str">
        <f>IF(AK251&lt;&gt;"",COUNTIF($AK$1:AK250,AK251)+AK251,IF(AL251&lt;&gt;"",COUNTIF($AL$1:AL250,AL251)+AL251,""))</f>
        <v/>
      </c>
      <c r="AH251" s="62" t="str">
        <f t="shared" si="80"/>
        <v>Eton Manor AC</v>
      </c>
      <c r="AI251" s="62" t="str">
        <f>IF(AND(J251="M", AH251&lt;&gt;"U/A",AE251=Prizewinners!$J$1),AF251,"")</f>
        <v/>
      </c>
      <c r="AJ251" s="58" t="str">
        <f>IF(AND(J251="F",  AH251&lt;&gt;"U/A",AE251=Prizewinners!$J$16),AF251,"")</f>
        <v/>
      </c>
      <c r="AK251" s="58" t="str">
        <f t="shared" si="81"/>
        <v/>
      </c>
      <c r="AL251" s="58" t="str">
        <f t="shared" si="82"/>
        <v/>
      </c>
      <c r="AM251" s="58" t="str">
        <f t="shared" si="83"/>
        <v>MEton Manor AC7</v>
      </c>
      <c r="AN251" s="58" t="str">
        <f t="shared" si="84"/>
        <v/>
      </c>
      <c r="AO251" s="58" t="str">
        <f t="shared" si="85"/>
        <v/>
      </c>
      <c r="AP251" s="58" t="str">
        <f t="shared" si="86"/>
        <v/>
      </c>
      <c r="AQ251" s="58" t="str">
        <f t="shared" si="87"/>
        <v>Robert Maggio</v>
      </c>
    </row>
    <row r="252" spans="1:43" x14ac:dyDescent="0.25">
      <c r="A252" s="12" t="str">
        <f t="shared" si="73"/>
        <v>SF,16</v>
      </c>
      <c r="B252" s="12" t="str">
        <f t="shared" si="74"/>
        <v>F,85</v>
      </c>
      <c r="C252" s="11">
        <f t="shared" si="95"/>
        <v>251</v>
      </c>
      <c r="D252" s="171">
        <v>76</v>
      </c>
      <c r="E252" s="12">
        <f t="shared" si="72"/>
        <v>1</v>
      </c>
      <c r="F252" s="12">
        <f>COUNTIF(H$2:H252,H252)</f>
        <v>16</v>
      </c>
      <c r="G252" s="12">
        <f>COUNTIF(J$2:J252,J252)</f>
        <v>85</v>
      </c>
      <c r="H252" s="12" t="str">
        <f t="shared" si="92"/>
        <v>SF</v>
      </c>
      <c r="I252" s="50" t="str">
        <f t="shared" si="93"/>
        <v>SF</v>
      </c>
      <c r="J252" s="50" t="str">
        <f t="shared" si="94"/>
        <v>F</v>
      </c>
      <c r="K252" s="64" t="str">
        <f t="shared" si="88"/>
        <v>Shweta Tiwari</v>
      </c>
      <c r="L252" s="64" t="str">
        <f t="shared" si="89"/>
        <v>Harold Wood Running Club</v>
      </c>
      <c r="M252" s="171">
        <v>0</v>
      </c>
      <c r="N252" s="178">
        <v>29</v>
      </c>
      <c r="O252" s="178">
        <v>37</v>
      </c>
      <c r="P252" s="138">
        <f t="shared" si="75"/>
        <v>0</v>
      </c>
      <c r="Q252" s="137">
        <f t="shared" si="76"/>
        <v>29</v>
      </c>
      <c r="R252" s="143"/>
      <c r="S252" s="143"/>
      <c r="T252" s="143"/>
      <c r="U252" s="144"/>
      <c r="V252" s="144"/>
      <c r="W252" s="144"/>
      <c r="X252" s="145"/>
      <c r="Y252" s="152" t="str">
        <f t="shared" si="77"/>
        <v xml:space="preserve">   29.37 </v>
      </c>
      <c r="Z252" s="136"/>
      <c r="AA252" s="50">
        <f t="shared" si="90"/>
        <v>33</v>
      </c>
      <c r="AB252" s="129">
        <f t="shared" si="91"/>
        <v>31160</v>
      </c>
      <c r="AC252" s="58" t="str">
        <f t="shared" si="78"/>
        <v/>
      </c>
      <c r="AD252" s="58" t="str">
        <f t="shared" si="79"/>
        <v>FHarold Wood Running Club</v>
      </c>
      <c r="AE252" s="60">
        <f>IF(AD252="","",COUNTIF($AD$2:AD252,AD252))</f>
        <v>7</v>
      </c>
      <c r="AF252" s="62">
        <f>IF(AD252="","",SUMIF(AD$2:AD252,AD252,G$2:G252))</f>
        <v>312</v>
      </c>
      <c r="AG252" s="62" t="str">
        <f>IF(AK252&lt;&gt;"",COUNTIF($AK$1:AK251,AK252)+AK252,IF(AL252&lt;&gt;"",COUNTIF($AL$1:AL251,AL252)+AL252,""))</f>
        <v/>
      </c>
      <c r="AH252" s="62" t="str">
        <f t="shared" si="80"/>
        <v>Harold Wood Running Club</v>
      </c>
      <c r="AI252" s="62" t="str">
        <f>IF(AND(J252="M", AH252&lt;&gt;"U/A",AE252=Prizewinners!$J$1),AF252,"")</f>
        <v/>
      </c>
      <c r="AJ252" s="58" t="str">
        <f>IF(AND(J252="F",  AH252&lt;&gt;"U/A",AE252=Prizewinners!$J$16),AF252,"")</f>
        <v/>
      </c>
      <c r="AK252" s="58" t="str">
        <f t="shared" si="81"/>
        <v/>
      </c>
      <c r="AL252" s="58" t="str">
        <f t="shared" si="82"/>
        <v/>
      </c>
      <c r="AM252" s="58" t="str">
        <f t="shared" si="83"/>
        <v>FHarold Wood Running Club7</v>
      </c>
      <c r="AN252" s="58" t="str">
        <f t="shared" si="84"/>
        <v/>
      </c>
      <c r="AO252" s="58" t="str">
        <f t="shared" si="85"/>
        <v/>
      </c>
      <c r="AP252" s="58" t="str">
        <f t="shared" si="86"/>
        <v/>
      </c>
      <c r="AQ252" s="58" t="str">
        <f t="shared" si="87"/>
        <v>Shweta Tiwari</v>
      </c>
    </row>
    <row r="253" spans="1:43" x14ac:dyDescent="0.25">
      <c r="A253" s="12" t="str">
        <f t="shared" si="73"/>
        <v>VM50,32</v>
      </c>
      <c r="B253" s="12" t="str">
        <f t="shared" si="74"/>
        <v>M,167</v>
      </c>
      <c r="C253" s="11">
        <f t="shared" si="95"/>
        <v>252</v>
      </c>
      <c r="D253" s="171">
        <v>12</v>
      </c>
      <c r="E253" s="12">
        <f t="shared" si="72"/>
        <v>1</v>
      </c>
      <c r="F253" s="12">
        <f>COUNTIF(H$2:H253,H253)</f>
        <v>32</v>
      </c>
      <c r="G253" s="12">
        <f>COUNTIF(J$2:J253,J253)</f>
        <v>167</v>
      </c>
      <c r="H253" s="12" t="str">
        <f t="shared" si="92"/>
        <v>VM50</v>
      </c>
      <c r="I253" s="50" t="str">
        <f t="shared" si="93"/>
        <v>VM50</v>
      </c>
      <c r="J253" s="50" t="str">
        <f t="shared" si="94"/>
        <v>M</v>
      </c>
      <c r="K253" s="64" t="str">
        <f t="shared" si="88"/>
        <v>Sukhbindar Jandu</v>
      </c>
      <c r="L253" s="64" t="str">
        <f t="shared" si="89"/>
        <v>Ilford AC</v>
      </c>
      <c r="M253" s="171">
        <v>0</v>
      </c>
      <c r="N253" s="178">
        <v>29</v>
      </c>
      <c r="O253" s="178">
        <v>55</v>
      </c>
      <c r="P253" s="138">
        <f t="shared" si="75"/>
        <v>0</v>
      </c>
      <c r="Q253" s="137">
        <f t="shared" si="76"/>
        <v>29</v>
      </c>
      <c r="R253" s="143"/>
      <c r="S253" s="143"/>
      <c r="T253" s="143"/>
      <c r="U253" s="144"/>
      <c r="V253" s="144"/>
      <c r="W253" s="144"/>
      <c r="X253" s="145"/>
      <c r="Y253" s="152" t="str">
        <f t="shared" si="77"/>
        <v xml:space="preserve">   29.55 </v>
      </c>
      <c r="Z253" s="136"/>
      <c r="AA253" s="50">
        <f t="shared" si="90"/>
        <v>58</v>
      </c>
      <c r="AB253" s="129">
        <f t="shared" si="91"/>
        <v>22106</v>
      </c>
      <c r="AC253" s="58" t="str">
        <f t="shared" si="78"/>
        <v/>
      </c>
      <c r="AD253" s="58" t="str">
        <f t="shared" si="79"/>
        <v>MIlford AC</v>
      </c>
      <c r="AE253" s="60">
        <f>IF(AD253="","",COUNTIF($AD$2:AD253,AD253))</f>
        <v>19</v>
      </c>
      <c r="AF253" s="62">
        <f>IF(AD253="","",SUMIF(AD$2:AD253,AD253,G$2:G253))</f>
        <v>1234</v>
      </c>
      <c r="AG253" s="62" t="str">
        <f>IF(AK253&lt;&gt;"",COUNTIF($AK$1:AK252,AK253)+AK253,IF(AL253&lt;&gt;"",COUNTIF($AL$1:AL252,AL253)+AL253,""))</f>
        <v/>
      </c>
      <c r="AH253" s="62" t="str">
        <f t="shared" si="80"/>
        <v>Ilford AC</v>
      </c>
      <c r="AI253" s="62" t="str">
        <f>IF(AND(J253="M", AH253&lt;&gt;"U/A",AE253=Prizewinners!$J$1),AF253,"")</f>
        <v/>
      </c>
      <c r="AJ253" s="58" t="str">
        <f>IF(AND(J253="F",  AH253&lt;&gt;"U/A",AE253=Prizewinners!$J$16),AF253,"")</f>
        <v/>
      </c>
      <c r="AK253" s="58" t="str">
        <f t="shared" si="81"/>
        <v/>
      </c>
      <c r="AL253" s="58" t="str">
        <f t="shared" si="82"/>
        <v/>
      </c>
      <c r="AM253" s="58" t="str">
        <f t="shared" si="83"/>
        <v>MIlford AC19</v>
      </c>
      <c r="AN253" s="58" t="str">
        <f t="shared" si="84"/>
        <v/>
      </c>
      <c r="AO253" s="58" t="str">
        <f t="shared" si="85"/>
        <v/>
      </c>
      <c r="AP253" s="58" t="str">
        <f t="shared" si="86"/>
        <v/>
      </c>
      <c r="AQ253" s="58" t="str">
        <f t="shared" si="87"/>
        <v>Sukhbindar Jandu</v>
      </c>
    </row>
    <row r="254" spans="1:43" x14ac:dyDescent="0.25">
      <c r="A254" s="12" t="str">
        <f t="shared" si="73"/>
        <v>VM60,20</v>
      </c>
      <c r="B254" s="12" t="str">
        <f t="shared" si="74"/>
        <v>M,168</v>
      </c>
      <c r="C254" s="11">
        <f t="shared" si="95"/>
        <v>253</v>
      </c>
      <c r="D254" s="171">
        <v>455</v>
      </c>
      <c r="E254" s="12">
        <f t="shared" si="72"/>
        <v>1</v>
      </c>
      <c r="F254" s="12">
        <f>COUNTIF(H$2:H254,H254)</f>
        <v>20</v>
      </c>
      <c r="G254" s="12">
        <f>COUNTIF(J$2:J254,J254)</f>
        <v>168</v>
      </c>
      <c r="H254" s="12" t="str">
        <f t="shared" si="92"/>
        <v>VM60</v>
      </c>
      <c r="I254" s="50" t="str">
        <f t="shared" si="93"/>
        <v>VM60</v>
      </c>
      <c r="J254" s="50" t="str">
        <f t="shared" si="94"/>
        <v>M</v>
      </c>
      <c r="K254" s="64" t="str">
        <f t="shared" si="88"/>
        <v>Henry Monaghan</v>
      </c>
      <c r="L254" s="64" t="str">
        <f t="shared" si="89"/>
        <v>Havering 90 Joggers</v>
      </c>
      <c r="M254" s="171">
        <v>0</v>
      </c>
      <c r="N254" s="178">
        <v>30</v>
      </c>
      <c r="O254" s="178">
        <v>0</v>
      </c>
      <c r="P254" s="138">
        <f t="shared" si="75"/>
        <v>0</v>
      </c>
      <c r="Q254" s="137">
        <f t="shared" si="76"/>
        <v>30</v>
      </c>
      <c r="R254" s="143"/>
      <c r="S254" s="143"/>
      <c r="T254" s="143"/>
      <c r="U254" s="144"/>
      <c r="V254" s="144"/>
      <c r="W254" s="144"/>
      <c r="X254" s="145"/>
      <c r="Y254" s="152" t="str">
        <f t="shared" si="77"/>
        <v xml:space="preserve">   30.00 </v>
      </c>
      <c r="Z254" s="136"/>
      <c r="AA254" s="50">
        <f t="shared" si="90"/>
        <v>68</v>
      </c>
      <c r="AB254" s="129">
        <f t="shared" si="91"/>
        <v>18248</v>
      </c>
      <c r="AC254" s="58" t="str">
        <f t="shared" si="78"/>
        <v/>
      </c>
      <c r="AD254" s="58" t="str">
        <f t="shared" si="79"/>
        <v>MHavering 90 Joggers</v>
      </c>
      <c r="AE254" s="60">
        <f>IF(AD254="","",COUNTIF($AD$2:AD254,AD254))</f>
        <v>12</v>
      </c>
      <c r="AF254" s="62">
        <f>IF(AD254="","",SUMIF(AD$2:AD254,AD254,G$2:G254))</f>
        <v>1402</v>
      </c>
      <c r="AG254" s="62" t="str">
        <f>IF(AK254&lt;&gt;"",COUNTIF($AK$1:AK253,AK254)+AK254,IF(AL254&lt;&gt;"",COUNTIF($AL$1:AL253,AL254)+AL254,""))</f>
        <v/>
      </c>
      <c r="AH254" s="62" t="str">
        <f t="shared" si="80"/>
        <v>Havering 90 Joggers</v>
      </c>
      <c r="AI254" s="62" t="str">
        <f>IF(AND(J254="M", AH254&lt;&gt;"U/A",AE254=Prizewinners!$J$1),AF254,"")</f>
        <v/>
      </c>
      <c r="AJ254" s="58" t="str">
        <f>IF(AND(J254="F",  AH254&lt;&gt;"U/A",AE254=Prizewinners!$J$16),AF254,"")</f>
        <v/>
      </c>
      <c r="AK254" s="58" t="str">
        <f t="shared" si="81"/>
        <v/>
      </c>
      <c r="AL254" s="58" t="str">
        <f t="shared" si="82"/>
        <v/>
      </c>
      <c r="AM254" s="58" t="str">
        <f t="shared" si="83"/>
        <v>MHavering 90 Joggers12</v>
      </c>
      <c r="AN254" s="58" t="str">
        <f t="shared" si="84"/>
        <v/>
      </c>
      <c r="AO254" s="58" t="str">
        <f t="shared" si="85"/>
        <v/>
      </c>
      <c r="AP254" s="58" t="str">
        <f t="shared" si="86"/>
        <v/>
      </c>
      <c r="AQ254" s="58" t="str">
        <f t="shared" si="87"/>
        <v>Henry Monaghan</v>
      </c>
    </row>
    <row r="255" spans="1:43" x14ac:dyDescent="0.25">
      <c r="A255" s="12" t="str">
        <f t="shared" si="73"/>
        <v>VF45,27</v>
      </c>
      <c r="B255" s="12" t="str">
        <f t="shared" si="74"/>
        <v>F,86</v>
      </c>
      <c r="C255" s="11">
        <f t="shared" si="95"/>
        <v>254</v>
      </c>
      <c r="D255" s="171">
        <v>386</v>
      </c>
      <c r="E255" s="12">
        <f t="shared" si="72"/>
        <v>1</v>
      </c>
      <c r="F255" s="12">
        <f>COUNTIF(H$2:H255,H255)</f>
        <v>27</v>
      </c>
      <c r="G255" s="12">
        <f>COUNTIF(J$2:J255,J255)</f>
        <v>86</v>
      </c>
      <c r="H255" s="12" t="str">
        <f t="shared" si="92"/>
        <v>VF45</v>
      </c>
      <c r="I255" s="50" t="str">
        <f t="shared" si="93"/>
        <v>VF45</v>
      </c>
      <c r="J255" s="50" t="str">
        <f t="shared" si="94"/>
        <v>F</v>
      </c>
      <c r="K255" s="64" t="str">
        <f t="shared" si="88"/>
        <v>Carol muir</v>
      </c>
      <c r="L255" s="64" t="str">
        <f t="shared" si="89"/>
        <v>Ilford AC</v>
      </c>
      <c r="M255" s="171">
        <v>0</v>
      </c>
      <c r="N255" s="178">
        <v>30</v>
      </c>
      <c r="O255" s="178">
        <v>9</v>
      </c>
      <c r="P255" s="138">
        <f t="shared" si="75"/>
        <v>0</v>
      </c>
      <c r="Q255" s="137">
        <f t="shared" si="76"/>
        <v>30</v>
      </c>
      <c r="R255" s="143"/>
      <c r="S255" s="143"/>
      <c r="T255" s="143"/>
      <c r="U255" s="144"/>
      <c r="V255" s="144"/>
      <c r="W255" s="144"/>
      <c r="X255" s="145"/>
      <c r="Y255" s="152" t="str">
        <f t="shared" si="77"/>
        <v xml:space="preserve">   30.09 </v>
      </c>
      <c r="Z255" s="136"/>
      <c r="AA255" s="50">
        <f t="shared" si="90"/>
        <v>47</v>
      </c>
      <c r="AB255" s="129">
        <f t="shared" si="91"/>
        <v>26149</v>
      </c>
      <c r="AC255" s="58" t="str">
        <f t="shared" si="78"/>
        <v/>
      </c>
      <c r="AD255" s="58" t="str">
        <f t="shared" si="79"/>
        <v>FIlford AC</v>
      </c>
      <c r="AE255" s="60">
        <f>IF(AD255="","",COUNTIF($AD$2:AD255,AD255))</f>
        <v>11</v>
      </c>
      <c r="AF255" s="62">
        <f>IF(AD255="","",SUMIF(AD$2:AD255,AD255,G$2:G255))</f>
        <v>459</v>
      </c>
      <c r="AG255" s="62" t="str">
        <f>IF(AK255&lt;&gt;"",COUNTIF($AK$1:AK254,AK255)+AK255,IF(AL255&lt;&gt;"",COUNTIF($AL$1:AL254,AL255)+AL255,""))</f>
        <v/>
      </c>
      <c r="AH255" s="62" t="str">
        <f t="shared" si="80"/>
        <v>Ilford AC</v>
      </c>
      <c r="AI255" s="62" t="str">
        <f>IF(AND(J255="M", AH255&lt;&gt;"U/A",AE255=Prizewinners!$J$1),AF255,"")</f>
        <v/>
      </c>
      <c r="AJ255" s="58" t="str">
        <f>IF(AND(J255="F",  AH255&lt;&gt;"U/A",AE255=Prizewinners!$J$16),AF255,"")</f>
        <v/>
      </c>
      <c r="AK255" s="58" t="str">
        <f t="shared" si="81"/>
        <v/>
      </c>
      <c r="AL255" s="58" t="str">
        <f t="shared" si="82"/>
        <v/>
      </c>
      <c r="AM255" s="58" t="str">
        <f t="shared" si="83"/>
        <v>FIlford AC11</v>
      </c>
      <c r="AN255" s="58" t="str">
        <f t="shared" si="84"/>
        <v/>
      </c>
      <c r="AO255" s="58" t="str">
        <f t="shared" si="85"/>
        <v/>
      </c>
      <c r="AP255" s="58" t="str">
        <f t="shared" si="86"/>
        <v/>
      </c>
      <c r="AQ255" s="58" t="str">
        <f t="shared" si="87"/>
        <v>Carol muir</v>
      </c>
    </row>
    <row r="256" spans="1:43" x14ac:dyDescent="0.25">
      <c r="A256" s="12" t="str">
        <f t="shared" si="73"/>
        <v>VF35,23</v>
      </c>
      <c r="B256" s="12" t="str">
        <f t="shared" si="74"/>
        <v>F,87</v>
      </c>
      <c r="C256" s="11">
        <f t="shared" si="95"/>
        <v>255</v>
      </c>
      <c r="D256" s="171">
        <v>398</v>
      </c>
      <c r="E256" s="12">
        <f t="shared" si="72"/>
        <v>1</v>
      </c>
      <c r="F256" s="12">
        <f>COUNTIF(H$2:H256,H256)</f>
        <v>23</v>
      </c>
      <c r="G256" s="12">
        <f>COUNTIF(J$2:J256,J256)</f>
        <v>87</v>
      </c>
      <c r="H256" s="12" t="str">
        <f t="shared" si="92"/>
        <v>VF35</v>
      </c>
      <c r="I256" s="50" t="str">
        <f t="shared" si="93"/>
        <v>VF35</v>
      </c>
      <c r="J256" s="50" t="str">
        <f t="shared" si="94"/>
        <v>F</v>
      </c>
      <c r="K256" s="64" t="str">
        <f t="shared" si="88"/>
        <v>Lynne Northcott</v>
      </c>
      <c r="L256" s="64" t="str">
        <f t="shared" si="89"/>
        <v>Dagenham 88 Runners</v>
      </c>
      <c r="M256" s="171">
        <v>0</v>
      </c>
      <c r="N256" s="178">
        <v>30</v>
      </c>
      <c r="O256" s="178">
        <v>24</v>
      </c>
      <c r="P256" s="138">
        <f t="shared" si="75"/>
        <v>0</v>
      </c>
      <c r="Q256" s="137">
        <f t="shared" si="76"/>
        <v>30</v>
      </c>
      <c r="R256" s="143"/>
      <c r="S256" s="143"/>
      <c r="T256" s="143"/>
      <c r="U256" s="144"/>
      <c r="V256" s="144"/>
      <c r="W256" s="144"/>
      <c r="X256" s="145"/>
      <c r="Y256" s="152" t="str">
        <f t="shared" si="77"/>
        <v xml:space="preserve">   30.24 </v>
      </c>
      <c r="Z256" s="136"/>
      <c r="AA256" s="50">
        <f t="shared" si="90"/>
        <v>39</v>
      </c>
      <c r="AB256" s="129">
        <f t="shared" si="91"/>
        <v>29038</v>
      </c>
      <c r="AC256" s="58" t="str">
        <f t="shared" si="78"/>
        <v/>
      </c>
      <c r="AD256" s="58" t="str">
        <f t="shared" si="79"/>
        <v>FDagenham 88 Runners</v>
      </c>
      <c r="AE256" s="60">
        <f>IF(AD256="","",COUNTIF($AD$2:AD256,AD256))</f>
        <v>6</v>
      </c>
      <c r="AF256" s="62">
        <f>IF(AD256="","",SUMIF(AD$2:AD256,AD256,G$2:G256))</f>
        <v>385</v>
      </c>
      <c r="AG256" s="62" t="str">
        <f>IF(AK256&lt;&gt;"",COUNTIF($AK$1:AK255,AK256)+AK256,IF(AL256&lt;&gt;"",COUNTIF($AL$1:AL255,AL256)+AL256,""))</f>
        <v/>
      </c>
      <c r="AH256" s="62" t="str">
        <f t="shared" si="80"/>
        <v>Dagenham 88 Runners</v>
      </c>
      <c r="AI256" s="62" t="str">
        <f>IF(AND(J256="M", AH256&lt;&gt;"U/A",AE256=Prizewinners!$J$1),AF256,"")</f>
        <v/>
      </c>
      <c r="AJ256" s="58" t="str">
        <f>IF(AND(J256="F",  AH256&lt;&gt;"U/A",AE256=Prizewinners!$J$16),AF256,"")</f>
        <v/>
      </c>
      <c r="AK256" s="58" t="str">
        <f t="shared" si="81"/>
        <v/>
      </c>
      <c r="AL256" s="58" t="str">
        <f t="shared" si="82"/>
        <v/>
      </c>
      <c r="AM256" s="58" t="str">
        <f t="shared" si="83"/>
        <v>FDagenham 88 Runners6</v>
      </c>
      <c r="AN256" s="58" t="str">
        <f t="shared" si="84"/>
        <v/>
      </c>
      <c r="AO256" s="58" t="str">
        <f t="shared" si="85"/>
        <v/>
      </c>
      <c r="AP256" s="58" t="str">
        <f t="shared" si="86"/>
        <v/>
      </c>
      <c r="AQ256" s="58" t="str">
        <f t="shared" si="87"/>
        <v>Lynne Northcott</v>
      </c>
    </row>
    <row r="257" spans="1:43" x14ac:dyDescent="0.25">
      <c r="A257" s="12" t="str">
        <f t="shared" si="73"/>
        <v>VF45,28</v>
      </c>
      <c r="B257" s="12" t="str">
        <f t="shared" si="74"/>
        <v>F,88</v>
      </c>
      <c r="C257" s="11">
        <f t="shared" si="95"/>
        <v>256</v>
      </c>
      <c r="D257" s="171">
        <v>40</v>
      </c>
      <c r="E257" s="12">
        <f t="shared" si="72"/>
        <v>1</v>
      </c>
      <c r="F257" s="12">
        <f>COUNTIF(H$2:H257,H257)</f>
        <v>28</v>
      </c>
      <c r="G257" s="12">
        <f>COUNTIF(J$2:J257,J257)</f>
        <v>88</v>
      </c>
      <c r="H257" s="12" t="str">
        <f t="shared" si="92"/>
        <v>VF45</v>
      </c>
      <c r="I257" s="50" t="str">
        <f t="shared" si="93"/>
        <v>VF45</v>
      </c>
      <c r="J257" s="50" t="str">
        <f t="shared" si="94"/>
        <v>F</v>
      </c>
      <c r="K257" s="64" t="str">
        <f t="shared" si="88"/>
        <v>Jane Stichbury</v>
      </c>
      <c r="L257" s="64" t="str">
        <f t="shared" si="89"/>
        <v>Eton Manor AC</v>
      </c>
      <c r="M257" s="171">
        <v>0</v>
      </c>
      <c r="N257" s="178">
        <v>30</v>
      </c>
      <c r="O257" s="178">
        <v>28</v>
      </c>
      <c r="P257" s="138">
        <f t="shared" si="75"/>
        <v>0</v>
      </c>
      <c r="Q257" s="137">
        <f t="shared" si="76"/>
        <v>30</v>
      </c>
      <c r="R257" s="143"/>
      <c r="S257" s="143"/>
      <c r="T257" s="143"/>
      <c r="U257" s="144"/>
      <c r="V257" s="144"/>
      <c r="W257" s="144"/>
      <c r="X257" s="145"/>
      <c r="Y257" s="152" t="str">
        <f t="shared" si="77"/>
        <v xml:space="preserve">   30.28 </v>
      </c>
      <c r="Z257" s="136"/>
      <c r="AA257" s="50">
        <f t="shared" si="90"/>
        <v>53</v>
      </c>
      <c r="AB257" s="129">
        <f t="shared" si="91"/>
        <v>23788</v>
      </c>
      <c r="AC257" s="58" t="str">
        <f t="shared" si="78"/>
        <v/>
      </c>
      <c r="AD257" s="58" t="str">
        <f t="shared" si="79"/>
        <v>FEton Manor AC</v>
      </c>
      <c r="AE257" s="60">
        <f>IF(AD257="","",COUNTIF($AD$2:AD257,AD257))</f>
        <v>12</v>
      </c>
      <c r="AF257" s="62">
        <f>IF(AD257="","",SUMIF(AD$2:AD257,AD257,G$2:G257))</f>
        <v>534</v>
      </c>
      <c r="AG257" s="62" t="str">
        <f>IF(AK257&lt;&gt;"",COUNTIF($AK$1:AK256,AK257)+AK257,IF(AL257&lt;&gt;"",COUNTIF($AL$1:AL256,AL257)+AL257,""))</f>
        <v/>
      </c>
      <c r="AH257" s="62" t="str">
        <f t="shared" si="80"/>
        <v>Eton Manor AC</v>
      </c>
      <c r="AI257" s="62" t="str">
        <f>IF(AND(J257="M", AH257&lt;&gt;"U/A",AE257=Prizewinners!$J$1),AF257,"")</f>
        <v/>
      </c>
      <c r="AJ257" s="58" t="str">
        <f>IF(AND(J257="F",  AH257&lt;&gt;"U/A",AE257=Prizewinners!$J$16),AF257,"")</f>
        <v/>
      </c>
      <c r="AK257" s="58" t="str">
        <f t="shared" si="81"/>
        <v/>
      </c>
      <c r="AL257" s="58" t="str">
        <f t="shared" si="82"/>
        <v/>
      </c>
      <c r="AM257" s="58" t="str">
        <f t="shared" si="83"/>
        <v>FEton Manor AC12</v>
      </c>
      <c r="AN257" s="58" t="str">
        <f t="shared" si="84"/>
        <v/>
      </c>
      <c r="AO257" s="58" t="str">
        <f t="shared" si="85"/>
        <v/>
      </c>
      <c r="AP257" s="58" t="str">
        <f t="shared" si="86"/>
        <v/>
      </c>
      <c r="AQ257" s="58" t="str">
        <f t="shared" si="87"/>
        <v>Jane Stichbury</v>
      </c>
    </row>
    <row r="258" spans="1:43" x14ac:dyDescent="0.25">
      <c r="A258" s="12" t="str">
        <f t="shared" si="73"/>
        <v>VM60,21</v>
      </c>
      <c r="B258" s="12" t="str">
        <f t="shared" si="74"/>
        <v>M,169</v>
      </c>
      <c r="C258" s="11">
        <f t="shared" si="95"/>
        <v>257</v>
      </c>
      <c r="D258" s="171">
        <v>35</v>
      </c>
      <c r="E258" s="12">
        <f t="shared" ref="E258:E321" si="96">IF(D258="",0,COUNTIF(K:K,K258))</f>
        <v>1</v>
      </c>
      <c r="F258" s="12">
        <f>COUNTIF(H$2:H258,H258)</f>
        <v>21</v>
      </c>
      <c r="G258" s="12">
        <f>COUNTIF(J$2:J258,J258)</f>
        <v>169</v>
      </c>
      <c r="H258" s="12" t="str">
        <f t="shared" si="92"/>
        <v>VM60</v>
      </c>
      <c r="I258" s="50" t="str">
        <f t="shared" si="93"/>
        <v>VM60</v>
      </c>
      <c r="J258" s="50" t="str">
        <f t="shared" si="94"/>
        <v>M</v>
      </c>
      <c r="K258" s="64" t="str">
        <f t="shared" si="88"/>
        <v>kieran brown</v>
      </c>
      <c r="L258" s="64" t="str">
        <f t="shared" si="89"/>
        <v>East London Runners</v>
      </c>
      <c r="M258" s="171">
        <v>0</v>
      </c>
      <c r="N258" s="178">
        <v>30</v>
      </c>
      <c r="O258" s="178">
        <v>52</v>
      </c>
      <c r="P258" s="138">
        <f t="shared" si="75"/>
        <v>0</v>
      </c>
      <c r="Q258" s="137">
        <f t="shared" si="76"/>
        <v>30</v>
      </c>
      <c r="R258" s="143"/>
      <c r="S258" s="143"/>
      <c r="T258" s="143"/>
      <c r="U258" s="144"/>
      <c r="V258" s="144"/>
      <c r="W258" s="144"/>
      <c r="X258" s="145"/>
      <c r="Y258" s="152" t="str">
        <f t="shared" si="77"/>
        <v xml:space="preserve">   30.52 </v>
      </c>
      <c r="Z258" s="136"/>
      <c r="AA258" s="50">
        <f t="shared" si="90"/>
        <v>60</v>
      </c>
      <c r="AB258" s="129">
        <f t="shared" si="91"/>
        <v>21085</v>
      </c>
      <c r="AC258" s="58" t="str">
        <f t="shared" si="78"/>
        <v/>
      </c>
      <c r="AD258" s="58" t="str">
        <f t="shared" si="79"/>
        <v>MEast London Runners</v>
      </c>
      <c r="AE258" s="60">
        <f>IF(AD258="","",COUNTIF($AD$2:AD258,AD258))</f>
        <v>48</v>
      </c>
      <c r="AF258" s="62">
        <f>IF(AD258="","",SUMIF(AD$2:AD258,AD258,G$2:G258))</f>
        <v>3475</v>
      </c>
      <c r="AG258" s="62" t="str">
        <f>IF(AK258&lt;&gt;"",COUNTIF($AK$1:AK257,AK258)+AK258,IF(AL258&lt;&gt;"",COUNTIF($AL$1:AL257,AL258)+AL258,""))</f>
        <v/>
      </c>
      <c r="AH258" s="62" t="str">
        <f t="shared" si="80"/>
        <v>East London Runners</v>
      </c>
      <c r="AI258" s="62" t="str">
        <f>IF(AND(J258="M", AH258&lt;&gt;"U/A",AE258=Prizewinners!$J$1),AF258,"")</f>
        <v/>
      </c>
      <c r="AJ258" s="58" t="str">
        <f>IF(AND(J258="F",  AH258&lt;&gt;"U/A",AE258=Prizewinners!$J$16),AF258,"")</f>
        <v/>
      </c>
      <c r="AK258" s="58" t="str">
        <f t="shared" si="81"/>
        <v/>
      </c>
      <c r="AL258" s="58" t="str">
        <f t="shared" si="82"/>
        <v/>
      </c>
      <c r="AM258" s="58" t="str">
        <f t="shared" si="83"/>
        <v>MEast London Runners48</v>
      </c>
      <c r="AN258" s="58" t="str">
        <f t="shared" si="84"/>
        <v/>
      </c>
      <c r="AO258" s="58" t="str">
        <f t="shared" si="85"/>
        <v/>
      </c>
      <c r="AP258" s="58" t="str">
        <f t="shared" si="86"/>
        <v/>
      </c>
      <c r="AQ258" s="58" t="str">
        <f t="shared" si="87"/>
        <v>kieran brown</v>
      </c>
    </row>
    <row r="259" spans="1:43" x14ac:dyDescent="0.25">
      <c r="A259" s="12" t="str">
        <f t="shared" ref="A259:A322" si="97">IF(Z259="RESM",Z259,IF(Z259="RESF",Z259,CONCATENATE(H259,",",F259)))</f>
        <v>VF35,24</v>
      </c>
      <c r="B259" s="12" t="str">
        <f t="shared" ref="B259:B322" si="98">CONCATENATE(J259,",",G259)</f>
        <v>F,89</v>
      </c>
      <c r="C259" s="11">
        <f t="shared" si="95"/>
        <v>258</v>
      </c>
      <c r="D259" s="171">
        <v>90</v>
      </c>
      <c r="E259" s="12">
        <f t="shared" si="96"/>
        <v>1</v>
      </c>
      <c r="F259" s="12">
        <f>COUNTIF(H$2:H259,H259)</f>
        <v>24</v>
      </c>
      <c r="G259" s="12">
        <f>COUNTIF(J$2:J259,J259)</f>
        <v>89</v>
      </c>
      <c r="H259" s="12" t="str">
        <f t="shared" si="92"/>
        <v>VF35</v>
      </c>
      <c r="I259" s="50" t="str">
        <f t="shared" si="93"/>
        <v>VF35</v>
      </c>
      <c r="J259" s="50" t="str">
        <f t="shared" si="94"/>
        <v>F</v>
      </c>
      <c r="K259" s="64" t="str">
        <f t="shared" si="88"/>
        <v>Claire Adamson</v>
      </c>
      <c r="L259" s="64" t="str">
        <f t="shared" si="89"/>
        <v>East End Road Runners</v>
      </c>
      <c r="M259" s="171">
        <v>0</v>
      </c>
      <c r="N259" s="178">
        <v>30</v>
      </c>
      <c r="O259" s="178">
        <v>54</v>
      </c>
      <c r="P259" s="138">
        <f t="shared" ref="P259:P322" si="99">IF(LEN(TRIM(M259))=0,P258,M259)</f>
        <v>0</v>
      </c>
      <c r="Q259" s="137">
        <f t="shared" ref="Q259:Q322" si="100">IF(N259="",Q258,N259)</f>
        <v>30</v>
      </c>
      <c r="R259" s="143"/>
      <c r="S259" s="143"/>
      <c r="T259" s="143"/>
      <c r="U259" s="144"/>
      <c r="V259" s="144"/>
      <c r="W259" s="144"/>
      <c r="X259" s="145"/>
      <c r="Y259" s="152" t="str">
        <f t="shared" ref="Y259:Y322" si="101">CONCATENATE(IF(P259=0,"  ",TEXT(P259,"#0")),IF(P259=0," ","."),IF(LEN(TRIM(Q259))=0,"  ",TEXT(Q259,"00")),IF(LEN(TRIM(Q259))=0,"","."),TEXT(O259,"00")," ")</f>
        <v xml:space="preserve">   30.54 </v>
      </c>
      <c r="Z259" s="136"/>
      <c r="AA259" s="50">
        <f t="shared" si="90"/>
        <v>42</v>
      </c>
      <c r="AB259" s="129">
        <f t="shared" si="91"/>
        <v>27985</v>
      </c>
      <c r="AC259" s="58" t="str">
        <f t="shared" ref="AC259:AC322" si="102">IF(AG259&lt;&gt;"",CONCATENATE(J259,AG259),"")</f>
        <v/>
      </c>
      <c r="AD259" s="58" t="str">
        <f t="shared" ref="AD259:AD322" si="103">CONCATENATE(J259,L259)</f>
        <v>FEast End Road Runners</v>
      </c>
      <c r="AE259" s="60">
        <f>IF(AD259="","",COUNTIF($AD$2:AD259,AD259))</f>
        <v>8</v>
      </c>
      <c r="AF259" s="62">
        <f>IF(AD259="","",SUMIF(AD$2:AD259,AD259,G$2:G259))</f>
        <v>468</v>
      </c>
      <c r="AG259" s="62" t="str">
        <f>IF(AK259&lt;&gt;"",COUNTIF($AK$1:AK258,AK259)+AK259,IF(AL259&lt;&gt;"",COUNTIF($AL$1:AL258,AL259)+AL259,""))</f>
        <v/>
      </c>
      <c r="AH259" s="62" t="str">
        <f t="shared" ref="AH259:AH322" si="104">L259</f>
        <v>East End Road Runners</v>
      </c>
      <c r="AI259" s="62" t="str">
        <f>IF(AND(J259="M", AH259&lt;&gt;"U/A",AE259=Prizewinners!$J$1),AF259,"")</f>
        <v/>
      </c>
      <c r="AJ259" s="58" t="str">
        <f>IF(AND(J259="F",  AH259&lt;&gt;"U/A",AE259=Prizewinners!$J$16),AF259,"")</f>
        <v/>
      </c>
      <c r="AK259" s="58" t="str">
        <f t="shared" ref="AK259:AK322" si="105">IF(AI259&lt;&gt;"",RANK(AI259,AI$2:AI$504,1),"")</f>
        <v/>
      </c>
      <c r="AL259" s="58" t="str">
        <f t="shared" ref="AL259:AL322" si="106">IF(AJ259&lt;&gt;"",RANK(AJ259,AJ$2:AJ$504,1),"")</f>
        <v/>
      </c>
      <c r="AM259" s="58" t="str">
        <f t="shared" ref="AM259:AM322" si="107">CONCATENATE(AD259,AE259)</f>
        <v>FEast End Road Runners8</v>
      </c>
      <c r="AN259" s="58" t="str">
        <f t="shared" ref="AN259:AN322" si="108">IF(AG259&lt;&gt;"",VLOOKUP(CONCATENATE(AD259,"1"),Scoring_Team,5,FALSE),"")</f>
        <v/>
      </c>
      <c r="AO259" s="58" t="str">
        <f t="shared" ref="AO259:AO322" si="109">IF(AG259&lt;&gt;"",VLOOKUP(CONCATENATE(AD259,"2"),Scoring_Team,5,FALSE),"")</f>
        <v/>
      </c>
      <c r="AP259" s="58" t="str">
        <f t="shared" ref="AP259:AP322" si="110">IF(AG259&lt;&gt;"",VLOOKUP(CONCATENATE(AD259,"3"),Scoring_Team,5,FALSE),"")</f>
        <v/>
      </c>
      <c r="AQ259" s="58" t="str">
        <f t="shared" ref="AQ259:AQ322" si="111">K259</f>
        <v>Claire Adamson</v>
      </c>
    </row>
    <row r="260" spans="1:43" x14ac:dyDescent="0.25">
      <c r="A260" s="12" t="str">
        <f t="shared" si="97"/>
        <v>VF45,29</v>
      </c>
      <c r="B260" s="12" t="str">
        <f t="shared" si="98"/>
        <v>F,90</v>
      </c>
      <c r="C260" s="11">
        <f t="shared" si="95"/>
        <v>259</v>
      </c>
      <c r="D260" s="171">
        <v>458</v>
      </c>
      <c r="E260" s="12">
        <f t="shared" si="96"/>
        <v>1</v>
      </c>
      <c r="F260" s="12">
        <f>COUNTIF(H$2:H260,H260)</f>
        <v>29</v>
      </c>
      <c r="G260" s="12">
        <f>COUNTIF(J$2:J260,J260)</f>
        <v>90</v>
      </c>
      <c r="H260" s="12" t="str">
        <f t="shared" si="92"/>
        <v>VF45</v>
      </c>
      <c r="I260" s="50" t="str">
        <f t="shared" si="93"/>
        <v>VF45</v>
      </c>
      <c r="J260" s="50" t="str">
        <f t="shared" si="94"/>
        <v>F</v>
      </c>
      <c r="K260" s="64" t="str">
        <f t="shared" ref="K260:K271" si="112">TRIM(IF(ISNA(VLOOKUP($D260,Runner,2,FALSE)),IF(ISNA(VLOOKUP($D260,Code,2,FALSE)),"",VLOOKUP($D260,Code,2,FALSE)),VLOOKUP($D260,Runner,2,FALSE)))</f>
        <v>Christina Kelekun</v>
      </c>
      <c r="L260" s="64" t="str">
        <f t="shared" ref="L260:L271" si="113">IF(ISNA(VLOOKUP($D260,Runner,4,FALSE)),IF(ISNA(VLOOKUP($D260,Code,4,FALSE)),"",VLOOKUP($D260,Code,4,FALSE)),VLOOKUP($D260,Runner,4,FALSE))</f>
        <v>Havering 90 Joggers</v>
      </c>
      <c r="M260" s="171">
        <v>0</v>
      </c>
      <c r="N260" s="178">
        <v>31</v>
      </c>
      <c r="O260" s="178">
        <v>0</v>
      </c>
      <c r="P260" s="138">
        <f t="shared" si="99"/>
        <v>0</v>
      </c>
      <c r="Q260" s="137">
        <f t="shared" si="100"/>
        <v>31</v>
      </c>
      <c r="R260" s="143"/>
      <c r="S260" s="143"/>
      <c r="T260" s="143"/>
      <c r="U260" s="144"/>
      <c r="V260" s="144"/>
      <c r="W260" s="144"/>
      <c r="X260" s="145"/>
      <c r="Y260" s="152" t="str">
        <f t="shared" si="101"/>
        <v xml:space="preserve">   31.00 </v>
      </c>
      <c r="Z260" s="136"/>
      <c r="AA260" s="50">
        <f t="shared" ref="AA260:AA323" si="114">IF(ISNA(VLOOKUP($D260,Runner,6,FALSE)),"",VLOOKUP($D260,Runner,6,FALSE))</f>
        <v>51</v>
      </c>
      <c r="AB260" s="129">
        <f t="shared" ref="AB260:AB323" si="115">IF(ISNA(VLOOKUP($D260,Runner,8,FALSE)),"",IF(VLOOKUP($D260,Runner,8,FALSE)=0,"",VLOOKUP($D260,Runner,8,FALSE)))</f>
        <v>24399</v>
      </c>
      <c r="AC260" s="58" t="str">
        <f t="shared" si="102"/>
        <v/>
      </c>
      <c r="AD260" s="58" t="str">
        <f t="shared" si="103"/>
        <v>FHavering 90 Joggers</v>
      </c>
      <c r="AE260" s="60">
        <f>IF(AD260="","",COUNTIF($AD$2:AD260,AD260))</f>
        <v>8</v>
      </c>
      <c r="AF260" s="62">
        <f>IF(AD260="","",SUMIF(AD$2:AD260,AD260,G$2:G260))</f>
        <v>507</v>
      </c>
      <c r="AG260" s="62" t="str">
        <f>IF(AK260&lt;&gt;"",COUNTIF($AK$1:AK259,AK260)+AK260,IF(AL260&lt;&gt;"",COUNTIF($AL$1:AL259,AL260)+AL260,""))</f>
        <v/>
      </c>
      <c r="AH260" s="62" t="str">
        <f t="shared" si="104"/>
        <v>Havering 90 Joggers</v>
      </c>
      <c r="AI260" s="62" t="str">
        <f>IF(AND(J260="M", AH260&lt;&gt;"U/A",AE260=Prizewinners!$J$1),AF260,"")</f>
        <v/>
      </c>
      <c r="AJ260" s="58" t="str">
        <f>IF(AND(J260="F",  AH260&lt;&gt;"U/A",AE260=Prizewinners!$J$16),AF260,"")</f>
        <v/>
      </c>
      <c r="AK260" s="58" t="str">
        <f t="shared" si="105"/>
        <v/>
      </c>
      <c r="AL260" s="58" t="str">
        <f t="shared" si="106"/>
        <v/>
      </c>
      <c r="AM260" s="58" t="str">
        <f t="shared" si="107"/>
        <v>FHavering 90 Joggers8</v>
      </c>
      <c r="AN260" s="58" t="str">
        <f t="shared" si="108"/>
        <v/>
      </c>
      <c r="AO260" s="58" t="str">
        <f t="shared" si="109"/>
        <v/>
      </c>
      <c r="AP260" s="58" t="str">
        <f t="shared" si="110"/>
        <v/>
      </c>
      <c r="AQ260" s="58" t="str">
        <f t="shared" si="111"/>
        <v>Christina Kelekun</v>
      </c>
    </row>
    <row r="261" spans="1:43" x14ac:dyDescent="0.25">
      <c r="A261" s="12" t="str">
        <f t="shared" si="97"/>
        <v>VF45,30</v>
      </c>
      <c r="B261" s="12" t="str">
        <f t="shared" si="98"/>
        <v>F,91</v>
      </c>
      <c r="C261" s="11">
        <f t="shared" si="95"/>
        <v>260</v>
      </c>
      <c r="D261" s="171">
        <v>24</v>
      </c>
      <c r="E261" s="12">
        <f t="shared" si="96"/>
        <v>1</v>
      </c>
      <c r="F261" s="12">
        <f>COUNTIF(H$2:H261,H261)</f>
        <v>30</v>
      </c>
      <c r="G261" s="12">
        <f>COUNTIF(J$2:J261,J261)</f>
        <v>91</v>
      </c>
      <c r="H261" s="12" t="str">
        <f t="shared" ref="H261:H271" si="116">IF(G261&gt;3,I261,"")</f>
        <v>VF45</v>
      </c>
      <c r="I261" s="50" t="str">
        <f t="shared" ref="I261:I324" si="117">IF(ISNA(VLOOKUP($D261,Runner,3,FALSE)),IF(ISNA(VLOOKUP($D261,Code,3,FALSE)),"",VLOOKUP($D261,Code,3,FALSE)),VLOOKUP($D261,Runner,3,FALSE))</f>
        <v>VF45</v>
      </c>
      <c r="J261" s="50" t="str">
        <f t="shared" ref="J261:J324" si="118">IF(ISNA(VLOOKUP($D261,Runner,5,FALSE)),IF(ISNA(VLOOKUP($D261,Code,5,FALSE)),"",VLOOKUP($D261,Code,5,FALSE)),VLOOKUP($D261,Runner,5,FALSE))</f>
        <v>F</v>
      </c>
      <c r="K261" s="64" t="str">
        <f t="shared" si="112"/>
        <v>Sue Unsworth</v>
      </c>
      <c r="L261" s="64" t="str">
        <f t="shared" si="113"/>
        <v>Eton Manor AC</v>
      </c>
      <c r="M261" s="171">
        <v>0</v>
      </c>
      <c r="N261" s="178">
        <v>31</v>
      </c>
      <c r="O261" s="178">
        <v>3</v>
      </c>
      <c r="P261" s="138">
        <f t="shared" si="99"/>
        <v>0</v>
      </c>
      <c r="Q261" s="137">
        <f t="shared" si="100"/>
        <v>31</v>
      </c>
      <c r="R261" s="143"/>
      <c r="S261" s="143"/>
      <c r="T261" s="143"/>
      <c r="U261" s="144"/>
      <c r="V261" s="144"/>
      <c r="W261" s="144"/>
      <c r="X261" s="145"/>
      <c r="Y261" s="152" t="str">
        <f t="shared" si="101"/>
        <v xml:space="preserve">   31.03 </v>
      </c>
      <c r="Z261" s="136"/>
      <c r="AA261" s="50">
        <f t="shared" si="114"/>
        <v>47</v>
      </c>
      <c r="AB261" s="129">
        <f t="shared" si="115"/>
        <v>26043</v>
      </c>
      <c r="AC261" s="58" t="str">
        <f t="shared" si="102"/>
        <v/>
      </c>
      <c r="AD261" s="58" t="str">
        <f t="shared" si="103"/>
        <v>FEton Manor AC</v>
      </c>
      <c r="AE261" s="60">
        <f>IF(AD261="","",COUNTIF($AD$2:AD261,AD261))</f>
        <v>13</v>
      </c>
      <c r="AF261" s="62">
        <f>IF(AD261="","",SUMIF(AD$2:AD261,AD261,G$2:G261))</f>
        <v>625</v>
      </c>
      <c r="AG261" s="62" t="str">
        <f>IF(AK261&lt;&gt;"",COUNTIF($AK$1:AK260,AK261)+AK261,IF(AL261&lt;&gt;"",COUNTIF($AL$1:AL260,AL261)+AL261,""))</f>
        <v/>
      </c>
      <c r="AH261" s="62" t="str">
        <f t="shared" si="104"/>
        <v>Eton Manor AC</v>
      </c>
      <c r="AI261" s="62" t="str">
        <f>IF(AND(J261="M", AH261&lt;&gt;"U/A",AE261=Prizewinners!$J$1),AF261,"")</f>
        <v/>
      </c>
      <c r="AJ261" s="58" t="str">
        <f>IF(AND(J261="F",  AH261&lt;&gt;"U/A",AE261=Prizewinners!$J$16),AF261,"")</f>
        <v/>
      </c>
      <c r="AK261" s="58" t="str">
        <f t="shared" si="105"/>
        <v/>
      </c>
      <c r="AL261" s="58" t="str">
        <f t="shared" si="106"/>
        <v/>
      </c>
      <c r="AM261" s="58" t="str">
        <f t="shared" si="107"/>
        <v>FEton Manor AC13</v>
      </c>
      <c r="AN261" s="58" t="str">
        <f t="shared" si="108"/>
        <v/>
      </c>
      <c r="AO261" s="58" t="str">
        <f t="shared" si="109"/>
        <v/>
      </c>
      <c r="AP261" s="58" t="str">
        <f t="shared" si="110"/>
        <v/>
      </c>
      <c r="AQ261" s="58" t="str">
        <f t="shared" si="111"/>
        <v>Sue Unsworth</v>
      </c>
    </row>
    <row r="262" spans="1:43" x14ac:dyDescent="0.25">
      <c r="A262" s="12" t="str">
        <f t="shared" si="97"/>
        <v>VM40,49</v>
      </c>
      <c r="B262" s="12" t="str">
        <f t="shared" si="98"/>
        <v>M,170</v>
      </c>
      <c r="C262" s="11">
        <f t="shared" ref="C262:C325" si="119">C261+1</f>
        <v>261</v>
      </c>
      <c r="D262" s="171">
        <v>101</v>
      </c>
      <c r="E262" s="12">
        <f t="shared" si="96"/>
        <v>1</v>
      </c>
      <c r="F262" s="12">
        <f>COUNTIF(H$2:H262,H262)</f>
        <v>49</v>
      </c>
      <c r="G262" s="12">
        <f>COUNTIF(J$2:J262,J262)</f>
        <v>170</v>
      </c>
      <c r="H262" s="12" t="str">
        <f t="shared" si="116"/>
        <v>VM40</v>
      </c>
      <c r="I262" s="50" t="str">
        <f t="shared" si="117"/>
        <v>VM40</v>
      </c>
      <c r="J262" s="50" t="str">
        <f t="shared" si="118"/>
        <v>M</v>
      </c>
      <c r="K262" s="64" t="str">
        <f t="shared" si="112"/>
        <v>Peter Goodwin</v>
      </c>
      <c r="L262" s="64" t="str">
        <f t="shared" si="113"/>
        <v>Unattached</v>
      </c>
      <c r="M262" s="171">
        <v>0</v>
      </c>
      <c r="N262" s="178">
        <v>31</v>
      </c>
      <c r="O262" s="178">
        <v>4</v>
      </c>
      <c r="P262" s="138">
        <f t="shared" si="99"/>
        <v>0</v>
      </c>
      <c r="Q262" s="137">
        <f t="shared" si="100"/>
        <v>31</v>
      </c>
      <c r="R262" s="143"/>
      <c r="S262" s="143"/>
      <c r="T262" s="143"/>
      <c r="U262" s="144"/>
      <c r="V262" s="144"/>
      <c r="W262" s="144"/>
      <c r="X262" s="145"/>
      <c r="Y262" s="152" t="str">
        <f t="shared" si="101"/>
        <v xml:space="preserve">   31.04 </v>
      </c>
      <c r="Z262" s="136"/>
      <c r="AA262" s="50">
        <f t="shared" si="114"/>
        <v>45</v>
      </c>
      <c r="AB262" s="129">
        <f t="shared" si="115"/>
        <v>26725</v>
      </c>
      <c r="AC262" s="58" t="str">
        <f t="shared" si="102"/>
        <v/>
      </c>
      <c r="AD262" s="58" t="str">
        <f t="shared" si="103"/>
        <v>MUnattached</v>
      </c>
      <c r="AE262" s="60">
        <f>IF(AD262="","",COUNTIF($AD$2:AD262,AD262))</f>
        <v>5</v>
      </c>
      <c r="AF262" s="62">
        <f>IF(AD262="","",SUMIF(AD$2:AD262,AD262,G$2:G262))</f>
        <v>520</v>
      </c>
      <c r="AG262" s="62" t="str">
        <f>IF(AK262&lt;&gt;"",COUNTIF($AK$1:AK261,AK262)+AK262,IF(AL262&lt;&gt;"",COUNTIF($AL$1:AL261,AL262)+AL262,""))</f>
        <v/>
      </c>
      <c r="AH262" s="62" t="str">
        <f t="shared" si="104"/>
        <v>Unattached</v>
      </c>
      <c r="AI262" s="62" t="str">
        <f>IF(AND(J262="M", AH262&lt;&gt;"U/A",AE262=Prizewinners!$J$1),AF262,"")</f>
        <v/>
      </c>
      <c r="AJ262" s="58" t="str">
        <f>IF(AND(J262="F",  AH262&lt;&gt;"U/A",AE262=Prizewinners!$J$16),AF262,"")</f>
        <v/>
      </c>
      <c r="AK262" s="58" t="str">
        <f t="shared" si="105"/>
        <v/>
      </c>
      <c r="AL262" s="58" t="str">
        <f t="shared" si="106"/>
        <v/>
      </c>
      <c r="AM262" s="58" t="str">
        <f t="shared" si="107"/>
        <v>MUnattached5</v>
      </c>
      <c r="AN262" s="58" t="str">
        <f t="shared" si="108"/>
        <v/>
      </c>
      <c r="AO262" s="58" t="str">
        <f t="shared" si="109"/>
        <v/>
      </c>
      <c r="AP262" s="58" t="str">
        <f t="shared" si="110"/>
        <v/>
      </c>
      <c r="AQ262" s="58" t="str">
        <f t="shared" si="111"/>
        <v>Peter Goodwin</v>
      </c>
    </row>
    <row r="263" spans="1:43" x14ac:dyDescent="0.25">
      <c r="A263" s="12" t="str">
        <f t="shared" si="97"/>
        <v>VF45,31</v>
      </c>
      <c r="B263" s="12" t="str">
        <f t="shared" si="98"/>
        <v>F,92</v>
      </c>
      <c r="C263" s="11">
        <f t="shared" si="119"/>
        <v>262</v>
      </c>
      <c r="D263" s="171">
        <v>16</v>
      </c>
      <c r="E263" s="12">
        <f t="shared" si="96"/>
        <v>1</v>
      </c>
      <c r="F263" s="12">
        <f>COUNTIF(H$2:H263,H263)</f>
        <v>31</v>
      </c>
      <c r="G263" s="12">
        <f>COUNTIF(J$2:J263,J263)</f>
        <v>92</v>
      </c>
      <c r="H263" s="12" t="str">
        <f t="shared" si="116"/>
        <v>VF45</v>
      </c>
      <c r="I263" s="50" t="str">
        <f t="shared" si="117"/>
        <v>VF45</v>
      </c>
      <c r="J263" s="50" t="str">
        <f t="shared" si="118"/>
        <v>F</v>
      </c>
      <c r="K263" s="64" t="str">
        <f t="shared" si="112"/>
        <v>Julie Gillender</v>
      </c>
      <c r="L263" s="64" t="str">
        <f t="shared" si="113"/>
        <v>Ilford AC</v>
      </c>
      <c r="M263" s="171">
        <v>0</v>
      </c>
      <c r="N263" s="178">
        <v>31</v>
      </c>
      <c r="O263" s="178">
        <v>11</v>
      </c>
      <c r="P263" s="138">
        <f t="shared" si="99"/>
        <v>0</v>
      </c>
      <c r="Q263" s="137">
        <f t="shared" si="100"/>
        <v>31</v>
      </c>
      <c r="R263" s="143"/>
      <c r="S263" s="143"/>
      <c r="T263" s="143"/>
      <c r="U263" s="144"/>
      <c r="V263" s="144"/>
      <c r="W263" s="144"/>
      <c r="X263" s="145"/>
      <c r="Y263" s="152" t="str">
        <f t="shared" si="101"/>
        <v xml:space="preserve">   31.11 </v>
      </c>
      <c r="Z263" s="136"/>
      <c r="AA263" s="50">
        <f t="shared" si="114"/>
        <v>50</v>
      </c>
      <c r="AB263" s="129">
        <f t="shared" si="115"/>
        <v>24855</v>
      </c>
      <c r="AC263" s="58" t="str">
        <f t="shared" si="102"/>
        <v/>
      </c>
      <c r="AD263" s="58" t="str">
        <f t="shared" si="103"/>
        <v>FIlford AC</v>
      </c>
      <c r="AE263" s="60">
        <f>IF(AD263="","",COUNTIF($AD$2:AD263,AD263))</f>
        <v>12</v>
      </c>
      <c r="AF263" s="62">
        <f>IF(AD263="","",SUMIF(AD$2:AD263,AD263,G$2:G263))</f>
        <v>551</v>
      </c>
      <c r="AG263" s="62" t="str">
        <f>IF(AK263&lt;&gt;"",COUNTIF($AK$1:AK262,AK263)+AK263,IF(AL263&lt;&gt;"",COUNTIF($AL$1:AL262,AL263)+AL263,""))</f>
        <v/>
      </c>
      <c r="AH263" s="62" t="str">
        <f t="shared" si="104"/>
        <v>Ilford AC</v>
      </c>
      <c r="AI263" s="62" t="str">
        <f>IF(AND(J263="M", AH263&lt;&gt;"U/A",AE263=Prizewinners!$J$1),AF263,"")</f>
        <v/>
      </c>
      <c r="AJ263" s="58" t="str">
        <f>IF(AND(J263="F",  AH263&lt;&gt;"U/A",AE263=Prizewinners!$J$16),AF263,"")</f>
        <v/>
      </c>
      <c r="AK263" s="58" t="str">
        <f t="shared" si="105"/>
        <v/>
      </c>
      <c r="AL263" s="58" t="str">
        <f t="shared" si="106"/>
        <v/>
      </c>
      <c r="AM263" s="58" t="str">
        <f t="shared" si="107"/>
        <v>FIlford AC12</v>
      </c>
      <c r="AN263" s="58" t="str">
        <f t="shared" si="108"/>
        <v/>
      </c>
      <c r="AO263" s="58" t="str">
        <f t="shared" si="109"/>
        <v/>
      </c>
      <c r="AP263" s="58" t="str">
        <f t="shared" si="110"/>
        <v/>
      </c>
      <c r="AQ263" s="58" t="str">
        <f t="shared" si="111"/>
        <v>Julie Gillender</v>
      </c>
    </row>
    <row r="264" spans="1:43" x14ac:dyDescent="0.25">
      <c r="A264" s="12" t="str">
        <f t="shared" si="97"/>
        <v>VF35,25</v>
      </c>
      <c r="B264" s="12" t="str">
        <f t="shared" si="98"/>
        <v>F,93</v>
      </c>
      <c r="C264" s="11">
        <f t="shared" si="119"/>
        <v>263</v>
      </c>
      <c r="D264" s="171">
        <v>110</v>
      </c>
      <c r="E264" s="12">
        <f t="shared" si="96"/>
        <v>1</v>
      </c>
      <c r="F264" s="12">
        <f>COUNTIF(H$2:H264,H264)</f>
        <v>25</v>
      </c>
      <c r="G264" s="12">
        <f>COUNTIF(J$2:J264,J264)</f>
        <v>93</v>
      </c>
      <c r="H264" s="12" t="str">
        <f t="shared" si="116"/>
        <v>VF35</v>
      </c>
      <c r="I264" s="50" t="str">
        <f t="shared" si="117"/>
        <v>VF35</v>
      </c>
      <c r="J264" s="50" t="str">
        <f t="shared" si="118"/>
        <v>F</v>
      </c>
      <c r="K264" s="64" t="str">
        <f t="shared" si="112"/>
        <v>Taruna Sharma</v>
      </c>
      <c r="L264" s="64" t="str">
        <f t="shared" si="113"/>
        <v>Harold Wood Running Club</v>
      </c>
      <c r="M264" s="171">
        <v>0</v>
      </c>
      <c r="N264" s="178">
        <v>31</v>
      </c>
      <c r="O264" s="178">
        <v>13</v>
      </c>
      <c r="P264" s="138">
        <f t="shared" si="99"/>
        <v>0</v>
      </c>
      <c r="Q264" s="137">
        <f t="shared" si="100"/>
        <v>31</v>
      </c>
      <c r="R264" s="143"/>
      <c r="S264" s="143"/>
      <c r="T264" s="143"/>
      <c r="U264" s="144"/>
      <c r="V264" s="144"/>
      <c r="W264" s="144"/>
      <c r="X264" s="145"/>
      <c r="Y264" s="152" t="str">
        <f t="shared" si="101"/>
        <v xml:space="preserve">   31.13 </v>
      </c>
      <c r="Z264" s="136"/>
      <c r="AA264" s="50">
        <f t="shared" si="114"/>
        <v>37</v>
      </c>
      <c r="AB264" s="129">
        <f t="shared" si="115"/>
        <v>29478</v>
      </c>
      <c r="AC264" s="58" t="str">
        <f t="shared" si="102"/>
        <v/>
      </c>
      <c r="AD264" s="58" t="str">
        <f t="shared" si="103"/>
        <v>FHarold Wood Running Club</v>
      </c>
      <c r="AE264" s="60">
        <f>IF(AD264="","",COUNTIF($AD$2:AD264,AD264))</f>
        <v>8</v>
      </c>
      <c r="AF264" s="62">
        <f>IF(AD264="","",SUMIF(AD$2:AD264,AD264,G$2:G264))</f>
        <v>405</v>
      </c>
      <c r="AG264" s="62" t="str">
        <f>IF(AK264&lt;&gt;"",COUNTIF($AK$1:AK263,AK264)+AK264,IF(AL264&lt;&gt;"",COUNTIF($AL$1:AL263,AL264)+AL264,""))</f>
        <v/>
      </c>
      <c r="AH264" s="62" t="str">
        <f t="shared" si="104"/>
        <v>Harold Wood Running Club</v>
      </c>
      <c r="AI264" s="62" t="str">
        <f>IF(AND(J264="M", AH264&lt;&gt;"U/A",AE264=Prizewinners!$J$1),AF264,"")</f>
        <v/>
      </c>
      <c r="AJ264" s="58" t="str">
        <f>IF(AND(J264="F",  AH264&lt;&gt;"U/A",AE264=Prizewinners!$J$16),AF264,"")</f>
        <v/>
      </c>
      <c r="AK264" s="58" t="str">
        <f t="shared" si="105"/>
        <v/>
      </c>
      <c r="AL264" s="58" t="str">
        <f t="shared" si="106"/>
        <v/>
      </c>
      <c r="AM264" s="58" t="str">
        <f t="shared" si="107"/>
        <v>FHarold Wood Running Club8</v>
      </c>
      <c r="AN264" s="58" t="str">
        <f t="shared" si="108"/>
        <v/>
      </c>
      <c r="AO264" s="58" t="str">
        <f t="shared" si="109"/>
        <v/>
      </c>
      <c r="AP264" s="58" t="str">
        <f t="shared" si="110"/>
        <v/>
      </c>
      <c r="AQ264" s="58" t="str">
        <f t="shared" si="111"/>
        <v>Taruna Sharma</v>
      </c>
    </row>
    <row r="265" spans="1:43" x14ac:dyDescent="0.25">
      <c r="A265" s="12" t="str">
        <f t="shared" si="97"/>
        <v>SF,17</v>
      </c>
      <c r="B265" s="12" t="str">
        <f t="shared" si="98"/>
        <v>F,94</v>
      </c>
      <c r="C265" s="11">
        <f t="shared" si="119"/>
        <v>264</v>
      </c>
      <c r="D265" s="171">
        <v>89</v>
      </c>
      <c r="E265" s="12">
        <f t="shared" si="96"/>
        <v>1</v>
      </c>
      <c r="F265" s="12">
        <f>COUNTIF(H$2:H265,H265)</f>
        <v>17</v>
      </c>
      <c r="G265" s="12">
        <f>COUNTIF(J$2:J265,J265)</f>
        <v>94</v>
      </c>
      <c r="H265" s="12" t="str">
        <f t="shared" si="116"/>
        <v>SF</v>
      </c>
      <c r="I265" s="50" t="str">
        <f t="shared" si="117"/>
        <v>SF</v>
      </c>
      <c r="J265" s="50" t="str">
        <f t="shared" si="118"/>
        <v>F</v>
      </c>
      <c r="K265" s="64" t="str">
        <f t="shared" si="112"/>
        <v>Alice Ridgway</v>
      </c>
      <c r="L265" s="64" t="str">
        <f t="shared" si="113"/>
        <v>East End Road Runners</v>
      </c>
      <c r="M265" s="171">
        <v>0</v>
      </c>
      <c r="N265" s="178">
        <v>31</v>
      </c>
      <c r="O265" s="178">
        <v>15</v>
      </c>
      <c r="P265" s="138">
        <f t="shared" si="99"/>
        <v>0</v>
      </c>
      <c r="Q265" s="137">
        <f t="shared" si="100"/>
        <v>31</v>
      </c>
      <c r="R265" s="143"/>
      <c r="S265" s="143"/>
      <c r="T265" s="143"/>
      <c r="U265" s="144"/>
      <c r="V265" s="144"/>
      <c r="W265" s="144"/>
      <c r="X265" s="145"/>
      <c r="Y265" s="152" t="str">
        <f t="shared" si="101"/>
        <v xml:space="preserve">   31.15 </v>
      </c>
      <c r="Z265" s="136"/>
      <c r="AA265" s="50">
        <f t="shared" si="114"/>
        <v>29</v>
      </c>
      <c r="AB265" s="129">
        <f t="shared" si="115"/>
        <v>32567</v>
      </c>
      <c r="AC265" s="58" t="str">
        <f t="shared" si="102"/>
        <v/>
      </c>
      <c r="AD265" s="58" t="str">
        <f t="shared" si="103"/>
        <v>FEast End Road Runners</v>
      </c>
      <c r="AE265" s="60">
        <f>IF(AD265="","",COUNTIF($AD$2:AD265,AD265))</f>
        <v>9</v>
      </c>
      <c r="AF265" s="62">
        <f>IF(AD265="","",SUMIF(AD$2:AD265,AD265,G$2:G265))</f>
        <v>562</v>
      </c>
      <c r="AG265" s="62" t="str">
        <f>IF(AK265&lt;&gt;"",COUNTIF($AK$1:AK264,AK265)+AK265,IF(AL265&lt;&gt;"",COUNTIF($AL$1:AL264,AL265)+AL265,""))</f>
        <v/>
      </c>
      <c r="AH265" s="62" t="str">
        <f t="shared" si="104"/>
        <v>East End Road Runners</v>
      </c>
      <c r="AI265" s="62" t="str">
        <f>IF(AND(J265="M", AH265&lt;&gt;"U/A",AE265=Prizewinners!$J$1),AF265,"")</f>
        <v/>
      </c>
      <c r="AJ265" s="58" t="str">
        <f>IF(AND(J265="F",  AH265&lt;&gt;"U/A",AE265=Prizewinners!$J$16),AF265,"")</f>
        <v/>
      </c>
      <c r="AK265" s="58" t="str">
        <f t="shared" si="105"/>
        <v/>
      </c>
      <c r="AL265" s="58" t="str">
        <f t="shared" si="106"/>
        <v/>
      </c>
      <c r="AM265" s="58" t="str">
        <f t="shared" si="107"/>
        <v>FEast End Road Runners9</v>
      </c>
      <c r="AN265" s="58" t="str">
        <f t="shared" si="108"/>
        <v/>
      </c>
      <c r="AO265" s="58" t="str">
        <f t="shared" si="109"/>
        <v/>
      </c>
      <c r="AP265" s="58" t="str">
        <f t="shared" si="110"/>
        <v/>
      </c>
      <c r="AQ265" s="58" t="str">
        <f t="shared" si="111"/>
        <v>Alice Ridgway</v>
      </c>
    </row>
    <row r="266" spans="1:43" x14ac:dyDescent="0.25">
      <c r="A266" s="12" t="str">
        <f t="shared" si="97"/>
        <v>VF55,18</v>
      </c>
      <c r="B266" s="12" t="str">
        <f t="shared" si="98"/>
        <v>F,95</v>
      </c>
      <c r="C266" s="11">
        <f t="shared" si="119"/>
        <v>265</v>
      </c>
      <c r="D266" s="171">
        <v>438</v>
      </c>
      <c r="E266" s="12">
        <f t="shared" si="96"/>
        <v>1</v>
      </c>
      <c r="F266" s="12">
        <f>COUNTIF(H$2:H266,H266)</f>
        <v>18</v>
      </c>
      <c r="G266" s="12">
        <f>COUNTIF(J$2:J266,J266)</f>
        <v>95</v>
      </c>
      <c r="H266" s="12" t="str">
        <f t="shared" si="116"/>
        <v>VF55</v>
      </c>
      <c r="I266" s="50" t="str">
        <f t="shared" si="117"/>
        <v>VF55</v>
      </c>
      <c r="J266" s="50" t="str">
        <f t="shared" si="118"/>
        <v>F</v>
      </c>
      <c r="K266" s="64" t="str">
        <f t="shared" si="112"/>
        <v>Tracy Giddings</v>
      </c>
      <c r="L266" s="64" t="str">
        <f t="shared" si="113"/>
        <v>Harold Wood Running Club</v>
      </c>
      <c r="M266" s="171">
        <v>0</v>
      </c>
      <c r="N266" s="178">
        <v>31</v>
      </c>
      <c r="O266" s="178">
        <v>28</v>
      </c>
      <c r="P266" s="138">
        <f t="shared" si="99"/>
        <v>0</v>
      </c>
      <c r="Q266" s="137">
        <f t="shared" si="100"/>
        <v>31</v>
      </c>
      <c r="R266" s="143"/>
      <c r="S266" s="143"/>
      <c r="T266" s="143"/>
      <c r="U266" s="144"/>
      <c r="V266" s="144"/>
      <c r="W266" s="144"/>
      <c r="X266" s="145"/>
      <c r="Y266" s="152" t="str">
        <f t="shared" si="101"/>
        <v xml:space="preserve">   31.28 </v>
      </c>
      <c r="Z266" s="136"/>
      <c r="AA266" s="50">
        <f t="shared" si="114"/>
        <v>56</v>
      </c>
      <c r="AB266" s="129">
        <f t="shared" si="115"/>
        <v>22786</v>
      </c>
      <c r="AC266" s="58" t="str">
        <f t="shared" si="102"/>
        <v/>
      </c>
      <c r="AD266" s="58" t="str">
        <f t="shared" si="103"/>
        <v>FHarold Wood Running Club</v>
      </c>
      <c r="AE266" s="60">
        <f>IF(AD266="","",COUNTIF($AD$2:AD266,AD266))</f>
        <v>9</v>
      </c>
      <c r="AF266" s="62">
        <f>IF(AD266="","",SUMIF(AD$2:AD266,AD266,G$2:G266))</f>
        <v>500</v>
      </c>
      <c r="AG266" s="62" t="str">
        <f>IF(AK266&lt;&gt;"",COUNTIF($AK$1:AK265,AK266)+AK266,IF(AL266&lt;&gt;"",COUNTIF($AL$1:AL265,AL266)+AL266,""))</f>
        <v/>
      </c>
      <c r="AH266" s="62" t="str">
        <f t="shared" si="104"/>
        <v>Harold Wood Running Club</v>
      </c>
      <c r="AI266" s="62" t="str">
        <f>IF(AND(J266="M", AH266&lt;&gt;"U/A",AE266=Prizewinners!$J$1),AF266,"")</f>
        <v/>
      </c>
      <c r="AJ266" s="58" t="str">
        <f>IF(AND(J266="F",  AH266&lt;&gt;"U/A",AE266=Prizewinners!$J$16),AF266,"")</f>
        <v/>
      </c>
      <c r="AK266" s="58" t="str">
        <f t="shared" si="105"/>
        <v/>
      </c>
      <c r="AL266" s="58" t="str">
        <f t="shared" si="106"/>
        <v/>
      </c>
      <c r="AM266" s="58" t="str">
        <f t="shared" si="107"/>
        <v>FHarold Wood Running Club9</v>
      </c>
      <c r="AN266" s="58" t="str">
        <f t="shared" si="108"/>
        <v/>
      </c>
      <c r="AO266" s="58" t="str">
        <f t="shared" si="109"/>
        <v/>
      </c>
      <c r="AP266" s="58" t="str">
        <f t="shared" si="110"/>
        <v/>
      </c>
      <c r="AQ266" s="58" t="str">
        <f t="shared" si="111"/>
        <v>Tracy Giddings</v>
      </c>
    </row>
    <row r="267" spans="1:43" x14ac:dyDescent="0.25">
      <c r="A267" s="12" t="str">
        <f t="shared" si="97"/>
        <v>VF35,26</v>
      </c>
      <c r="B267" s="12" t="str">
        <f t="shared" si="98"/>
        <v>F,96</v>
      </c>
      <c r="C267" s="11">
        <f t="shared" si="119"/>
        <v>266</v>
      </c>
      <c r="D267" s="171">
        <v>456</v>
      </c>
      <c r="E267" s="12">
        <f t="shared" si="96"/>
        <v>1</v>
      </c>
      <c r="F267" s="12">
        <f>COUNTIF(H$2:H267,H267)</f>
        <v>26</v>
      </c>
      <c r="G267" s="12">
        <f>COUNTIF(J$2:J267,J267)</f>
        <v>96</v>
      </c>
      <c r="H267" s="12" t="str">
        <f t="shared" si="116"/>
        <v>VF35</v>
      </c>
      <c r="I267" s="50" t="str">
        <f t="shared" si="117"/>
        <v>VF35</v>
      </c>
      <c r="J267" s="50" t="str">
        <f t="shared" si="118"/>
        <v>F</v>
      </c>
      <c r="K267" s="64" t="str">
        <f t="shared" si="112"/>
        <v>Laura Thomas</v>
      </c>
      <c r="L267" s="64" t="str">
        <f t="shared" si="113"/>
        <v>Havering 90 Joggers</v>
      </c>
      <c r="M267" s="171">
        <v>0</v>
      </c>
      <c r="N267" s="178">
        <v>31</v>
      </c>
      <c r="O267" s="178">
        <v>35</v>
      </c>
      <c r="P267" s="138">
        <f t="shared" si="99"/>
        <v>0</v>
      </c>
      <c r="Q267" s="137">
        <f t="shared" si="100"/>
        <v>31</v>
      </c>
      <c r="R267" s="143"/>
      <c r="S267" s="143"/>
      <c r="T267" s="143"/>
      <c r="U267" s="144"/>
      <c r="V267" s="144"/>
      <c r="W267" s="144"/>
      <c r="X267" s="145"/>
      <c r="Y267" s="152" t="str">
        <f t="shared" si="101"/>
        <v xml:space="preserve">   31.35 </v>
      </c>
      <c r="Z267" s="136"/>
      <c r="AA267" s="50">
        <f t="shared" si="114"/>
        <v>41</v>
      </c>
      <c r="AB267" s="129">
        <f t="shared" si="115"/>
        <v>28195</v>
      </c>
      <c r="AC267" s="58" t="str">
        <f t="shared" si="102"/>
        <v/>
      </c>
      <c r="AD267" s="58" t="str">
        <f t="shared" si="103"/>
        <v>FHavering 90 Joggers</v>
      </c>
      <c r="AE267" s="60">
        <f>IF(AD267="","",COUNTIF($AD$2:AD267,AD267))</f>
        <v>9</v>
      </c>
      <c r="AF267" s="62">
        <f>IF(AD267="","",SUMIF(AD$2:AD267,AD267,G$2:G267))</f>
        <v>603</v>
      </c>
      <c r="AG267" s="62" t="str">
        <f>IF(AK267&lt;&gt;"",COUNTIF($AK$1:AK266,AK267)+AK267,IF(AL267&lt;&gt;"",COUNTIF($AL$1:AL266,AL267)+AL267,""))</f>
        <v/>
      </c>
      <c r="AH267" s="62" t="str">
        <f t="shared" si="104"/>
        <v>Havering 90 Joggers</v>
      </c>
      <c r="AI267" s="62" t="str">
        <f>IF(AND(J267="M", AH267&lt;&gt;"U/A",AE267=Prizewinners!$J$1),AF267,"")</f>
        <v/>
      </c>
      <c r="AJ267" s="58" t="str">
        <f>IF(AND(J267="F",  AH267&lt;&gt;"U/A",AE267=Prizewinners!$J$16),AF267,"")</f>
        <v/>
      </c>
      <c r="AK267" s="58" t="str">
        <f t="shared" si="105"/>
        <v/>
      </c>
      <c r="AL267" s="58" t="str">
        <f t="shared" si="106"/>
        <v/>
      </c>
      <c r="AM267" s="58" t="str">
        <f t="shared" si="107"/>
        <v>FHavering 90 Joggers9</v>
      </c>
      <c r="AN267" s="58" t="str">
        <f t="shared" si="108"/>
        <v/>
      </c>
      <c r="AO267" s="58" t="str">
        <f t="shared" si="109"/>
        <v/>
      </c>
      <c r="AP267" s="58" t="str">
        <f t="shared" si="110"/>
        <v/>
      </c>
      <c r="AQ267" s="58" t="str">
        <f t="shared" si="111"/>
        <v>Laura Thomas</v>
      </c>
    </row>
    <row r="268" spans="1:43" x14ac:dyDescent="0.25">
      <c r="A268" s="12" t="str">
        <f t="shared" si="97"/>
        <v>VM50,33</v>
      </c>
      <c r="B268" s="12" t="str">
        <f t="shared" si="98"/>
        <v>M,171</v>
      </c>
      <c r="C268" s="11">
        <f t="shared" si="119"/>
        <v>267</v>
      </c>
      <c r="D268" s="171">
        <v>425</v>
      </c>
      <c r="E268" s="12">
        <f t="shared" si="96"/>
        <v>1</v>
      </c>
      <c r="F268" s="12">
        <f>COUNTIF(H$2:H268,H268)</f>
        <v>33</v>
      </c>
      <c r="G268" s="12">
        <f>COUNTIF(J$2:J268,J268)</f>
        <v>171</v>
      </c>
      <c r="H268" s="12" t="str">
        <f t="shared" si="116"/>
        <v>VM50</v>
      </c>
      <c r="I268" s="50" t="str">
        <f t="shared" si="117"/>
        <v>VM50</v>
      </c>
      <c r="J268" s="50" t="str">
        <f t="shared" si="118"/>
        <v>M</v>
      </c>
      <c r="K268" s="64" t="str">
        <f t="shared" si="112"/>
        <v>Alan Horne</v>
      </c>
      <c r="L268" s="64" t="str">
        <f t="shared" si="113"/>
        <v>Dagenham 88 Runners</v>
      </c>
      <c r="M268" s="171">
        <v>0</v>
      </c>
      <c r="N268" s="178">
        <v>31</v>
      </c>
      <c r="O268" s="178">
        <v>42</v>
      </c>
      <c r="P268" s="138">
        <f t="shared" si="99"/>
        <v>0</v>
      </c>
      <c r="Q268" s="137">
        <f t="shared" si="100"/>
        <v>31</v>
      </c>
      <c r="R268" s="143"/>
      <c r="S268" s="143"/>
      <c r="T268" s="143"/>
      <c r="U268" s="144"/>
      <c r="V268" s="144"/>
      <c r="W268" s="144"/>
      <c r="X268" s="145"/>
      <c r="Y268" s="152" t="str">
        <f t="shared" si="101"/>
        <v xml:space="preserve">   31.42 </v>
      </c>
      <c r="Z268" s="136"/>
      <c r="AA268" s="50">
        <f t="shared" si="114"/>
        <v>52</v>
      </c>
      <c r="AB268" s="129">
        <f t="shared" si="115"/>
        <v>24087</v>
      </c>
      <c r="AC268" s="58" t="str">
        <f t="shared" si="102"/>
        <v/>
      </c>
      <c r="AD268" s="58" t="str">
        <f t="shared" si="103"/>
        <v>MDagenham 88 Runners</v>
      </c>
      <c r="AE268" s="60">
        <f>IF(AD268="","",COUNTIF($AD$2:AD268,AD268))</f>
        <v>13</v>
      </c>
      <c r="AF268" s="62">
        <f>IF(AD268="","",SUMIF(AD$2:AD268,AD268,G$2:G268))</f>
        <v>1583</v>
      </c>
      <c r="AG268" s="62" t="str">
        <f>IF(AK268&lt;&gt;"",COUNTIF($AK$1:AK267,AK268)+AK268,IF(AL268&lt;&gt;"",COUNTIF($AL$1:AL267,AL268)+AL268,""))</f>
        <v/>
      </c>
      <c r="AH268" s="62" t="str">
        <f t="shared" si="104"/>
        <v>Dagenham 88 Runners</v>
      </c>
      <c r="AI268" s="62" t="str">
        <f>IF(AND(J268="M", AH268&lt;&gt;"U/A",AE268=Prizewinners!$J$1),AF268,"")</f>
        <v/>
      </c>
      <c r="AJ268" s="58" t="str">
        <f>IF(AND(J268="F",  AH268&lt;&gt;"U/A",AE268=Prizewinners!$J$16),AF268,"")</f>
        <v/>
      </c>
      <c r="AK268" s="58" t="str">
        <f t="shared" si="105"/>
        <v/>
      </c>
      <c r="AL268" s="58" t="str">
        <f t="shared" si="106"/>
        <v/>
      </c>
      <c r="AM268" s="58" t="str">
        <f t="shared" si="107"/>
        <v>MDagenham 88 Runners13</v>
      </c>
      <c r="AN268" s="58" t="str">
        <f t="shared" si="108"/>
        <v/>
      </c>
      <c r="AO268" s="58" t="str">
        <f t="shared" si="109"/>
        <v/>
      </c>
      <c r="AP268" s="58" t="str">
        <f t="shared" si="110"/>
        <v/>
      </c>
      <c r="AQ268" s="58" t="str">
        <f t="shared" si="111"/>
        <v>Alan Horne</v>
      </c>
    </row>
    <row r="269" spans="1:43" x14ac:dyDescent="0.25">
      <c r="A269" s="12" t="str">
        <f t="shared" si="97"/>
        <v>VF45,32</v>
      </c>
      <c r="B269" s="12" t="str">
        <f t="shared" si="98"/>
        <v>F,97</v>
      </c>
      <c r="C269" s="11">
        <f t="shared" si="119"/>
        <v>268</v>
      </c>
      <c r="D269" s="171">
        <v>464</v>
      </c>
      <c r="E269" s="12">
        <f t="shared" si="96"/>
        <v>1</v>
      </c>
      <c r="F269" s="12">
        <f>COUNTIF(H$2:H269,H269)</f>
        <v>32</v>
      </c>
      <c r="G269" s="12">
        <f>COUNTIF(J$2:J269,J269)</f>
        <v>97</v>
      </c>
      <c r="H269" s="12" t="str">
        <f t="shared" si="116"/>
        <v>VF45</v>
      </c>
      <c r="I269" s="50" t="str">
        <f t="shared" si="117"/>
        <v>VF45</v>
      </c>
      <c r="J269" s="50" t="str">
        <f t="shared" si="118"/>
        <v>F</v>
      </c>
      <c r="K269" s="64" t="str">
        <f t="shared" si="112"/>
        <v>Caroline Cross</v>
      </c>
      <c r="L269" s="64" t="str">
        <f t="shared" si="113"/>
        <v>Havering 90 Joggers</v>
      </c>
      <c r="M269" s="171">
        <v>0</v>
      </c>
      <c r="N269" s="178">
        <v>31</v>
      </c>
      <c r="O269" s="178">
        <v>43</v>
      </c>
      <c r="P269" s="138">
        <f t="shared" si="99"/>
        <v>0</v>
      </c>
      <c r="Q269" s="137">
        <f t="shared" si="100"/>
        <v>31</v>
      </c>
      <c r="R269" s="143"/>
      <c r="S269" s="143"/>
      <c r="T269" s="143"/>
      <c r="U269" s="144"/>
      <c r="V269" s="144"/>
      <c r="W269" s="144"/>
      <c r="X269" s="145"/>
      <c r="Y269" s="152" t="str">
        <f t="shared" si="101"/>
        <v xml:space="preserve">   31.43 </v>
      </c>
      <c r="Z269" s="136"/>
      <c r="AA269" s="50">
        <f t="shared" si="114"/>
        <v>53</v>
      </c>
      <c r="AB269" s="129">
        <f t="shared" si="115"/>
        <v>23812</v>
      </c>
      <c r="AC269" s="58" t="str">
        <f t="shared" si="102"/>
        <v/>
      </c>
      <c r="AD269" s="58" t="str">
        <f t="shared" si="103"/>
        <v>FHavering 90 Joggers</v>
      </c>
      <c r="AE269" s="60">
        <f>IF(AD269="","",COUNTIF($AD$2:AD269,AD269))</f>
        <v>10</v>
      </c>
      <c r="AF269" s="62">
        <f>IF(AD269="","",SUMIF(AD$2:AD269,AD269,G$2:G269))</f>
        <v>700</v>
      </c>
      <c r="AG269" s="62" t="str">
        <f>IF(AK269&lt;&gt;"",COUNTIF($AK$1:AK268,AK269)+AK269,IF(AL269&lt;&gt;"",COUNTIF($AL$1:AL268,AL269)+AL269,""))</f>
        <v/>
      </c>
      <c r="AH269" s="62" t="str">
        <f t="shared" si="104"/>
        <v>Havering 90 Joggers</v>
      </c>
      <c r="AI269" s="62" t="str">
        <f>IF(AND(J269="M", AH269&lt;&gt;"U/A",AE269=Prizewinners!$J$1),AF269,"")</f>
        <v/>
      </c>
      <c r="AJ269" s="58" t="str">
        <f>IF(AND(J269="F",  AH269&lt;&gt;"U/A",AE269=Prizewinners!$J$16),AF269,"")</f>
        <v/>
      </c>
      <c r="AK269" s="58" t="str">
        <f t="shared" si="105"/>
        <v/>
      </c>
      <c r="AL269" s="58" t="str">
        <f t="shared" si="106"/>
        <v/>
      </c>
      <c r="AM269" s="58" t="str">
        <f t="shared" si="107"/>
        <v>FHavering 90 Joggers10</v>
      </c>
      <c r="AN269" s="58" t="str">
        <f t="shared" si="108"/>
        <v/>
      </c>
      <c r="AO269" s="58" t="str">
        <f t="shared" si="109"/>
        <v/>
      </c>
      <c r="AP269" s="58" t="str">
        <f t="shared" si="110"/>
        <v/>
      </c>
      <c r="AQ269" s="58" t="str">
        <f t="shared" si="111"/>
        <v>Caroline Cross</v>
      </c>
    </row>
    <row r="270" spans="1:43" x14ac:dyDescent="0.25">
      <c r="A270" s="12" t="str">
        <f t="shared" si="97"/>
        <v>VF35,27</v>
      </c>
      <c r="B270" s="12" t="str">
        <f t="shared" si="98"/>
        <v>F,98</v>
      </c>
      <c r="C270" s="11">
        <f t="shared" si="119"/>
        <v>269</v>
      </c>
      <c r="D270" s="171">
        <v>426</v>
      </c>
      <c r="E270" s="12">
        <f t="shared" si="96"/>
        <v>1</v>
      </c>
      <c r="F270" s="12">
        <f>COUNTIF(H$2:H270,H270)</f>
        <v>27</v>
      </c>
      <c r="G270" s="12">
        <f>COUNTIF(J$2:J270,J270)</f>
        <v>98</v>
      </c>
      <c r="H270" s="12" t="str">
        <f t="shared" si="116"/>
        <v>VF35</v>
      </c>
      <c r="I270" s="50" t="str">
        <f t="shared" si="117"/>
        <v>VF35</v>
      </c>
      <c r="J270" s="50" t="str">
        <f t="shared" si="118"/>
        <v>F</v>
      </c>
      <c r="K270" s="64" t="str">
        <f t="shared" si="112"/>
        <v>Sarah Horne</v>
      </c>
      <c r="L270" s="64" t="str">
        <f t="shared" si="113"/>
        <v>Dagenham 88 Runners</v>
      </c>
      <c r="M270" s="171">
        <v>0</v>
      </c>
      <c r="N270" s="178">
        <v>31</v>
      </c>
      <c r="O270" s="178">
        <v>46</v>
      </c>
      <c r="P270" s="138">
        <f t="shared" si="99"/>
        <v>0</v>
      </c>
      <c r="Q270" s="137">
        <f t="shared" si="100"/>
        <v>31</v>
      </c>
      <c r="R270" s="143"/>
      <c r="S270" s="143"/>
      <c r="T270" s="143"/>
      <c r="U270" s="144"/>
      <c r="V270" s="144"/>
      <c r="W270" s="144"/>
      <c r="X270" s="145"/>
      <c r="Y270" s="152" t="str">
        <f t="shared" si="101"/>
        <v xml:space="preserve">   31.46 </v>
      </c>
      <c r="Z270" s="136"/>
      <c r="AA270" s="50">
        <f t="shared" si="114"/>
        <v>43</v>
      </c>
      <c r="AB270" s="129">
        <f t="shared" si="115"/>
        <v>27301</v>
      </c>
      <c r="AC270" s="58" t="str">
        <f t="shared" si="102"/>
        <v/>
      </c>
      <c r="AD270" s="58" t="str">
        <f t="shared" si="103"/>
        <v>FDagenham 88 Runners</v>
      </c>
      <c r="AE270" s="60">
        <f>IF(AD270="","",COUNTIF($AD$2:AD270,AD270))</f>
        <v>7</v>
      </c>
      <c r="AF270" s="62">
        <f>IF(AD270="","",SUMIF(AD$2:AD270,AD270,G$2:G270))</f>
        <v>483</v>
      </c>
      <c r="AG270" s="62" t="str">
        <f>IF(AK270&lt;&gt;"",COUNTIF($AK$1:AK269,AK270)+AK270,IF(AL270&lt;&gt;"",COUNTIF($AL$1:AL269,AL270)+AL270,""))</f>
        <v/>
      </c>
      <c r="AH270" s="62" t="str">
        <f t="shared" si="104"/>
        <v>Dagenham 88 Runners</v>
      </c>
      <c r="AI270" s="62" t="str">
        <f>IF(AND(J270="M", AH270&lt;&gt;"U/A",AE270=Prizewinners!$J$1),AF270,"")</f>
        <v/>
      </c>
      <c r="AJ270" s="58" t="str">
        <f>IF(AND(J270="F",  AH270&lt;&gt;"U/A",AE270=Prizewinners!$J$16),AF270,"")</f>
        <v/>
      </c>
      <c r="AK270" s="58" t="str">
        <f t="shared" si="105"/>
        <v/>
      </c>
      <c r="AL270" s="58" t="str">
        <f t="shared" si="106"/>
        <v/>
      </c>
      <c r="AM270" s="58" t="str">
        <f t="shared" si="107"/>
        <v>FDagenham 88 Runners7</v>
      </c>
      <c r="AN270" s="58" t="str">
        <f t="shared" si="108"/>
        <v/>
      </c>
      <c r="AO270" s="58" t="str">
        <f t="shared" si="109"/>
        <v/>
      </c>
      <c r="AP270" s="58" t="str">
        <f t="shared" si="110"/>
        <v/>
      </c>
      <c r="AQ270" s="58" t="str">
        <f t="shared" si="111"/>
        <v>Sarah Horne</v>
      </c>
    </row>
    <row r="271" spans="1:43" x14ac:dyDescent="0.25">
      <c r="A271" s="12" t="str">
        <f t="shared" si="97"/>
        <v>VF45,33</v>
      </c>
      <c r="B271" s="12" t="str">
        <f t="shared" si="98"/>
        <v>F,99</v>
      </c>
      <c r="C271" s="11">
        <f t="shared" si="119"/>
        <v>270</v>
      </c>
      <c r="D271" s="171">
        <v>42</v>
      </c>
      <c r="E271" s="12">
        <f t="shared" si="96"/>
        <v>1</v>
      </c>
      <c r="F271" s="12">
        <f>COUNTIF(H$2:H271,H271)</f>
        <v>33</v>
      </c>
      <c r="G271" s="12">
        <f>COUNTIF(J$2:J271,J271)</f>
        <v>99</v>
      </c>
      <c r="H271" s="12" t="str">
        <f t="shared" si="116"/>
        <v>VF45</v>
      </c>
      <c r="I271" s="50" t="str">
        <f t="shared" si="117"/>
        <v>VF45</v>
      </c>
      <c r="J271" s="50" t="str">
        <f t="shared" si="118"/>
        <v>F</v>
      </c>
      <c r="K271" s="64" t="str">
        <f t="shared" si="112"/>
        <v>Maya Goodwin</v>
      </c>
      <c r="L271" s="64" t="str">
        <f t="shared" si="113"/>
        <v>East London Runners</v>
      </c>
      <c r="M271" s="171">
        <v>0</v>
      </c>
      <c r="N271" s="178">
        <v>31</v>
      </c>
      <c r="O271" s="178">
        <v>51</v>
      </c>
      <c r="P271" s="138">
        <f t="shared" si="99"/>
        <v>0</v>
      </c>
      <c r="Q271" s="137">
        <f t="shared" si="100"/>
        <v>31</v>
      </c>
      <c r="R271" s="143"/>
      <c r="S271" s="143"/>
      <c r="T271" s="143"/>
      <c r="U271" s="144"/>
      <c r="V271" s="144"/>
      <c r="W271" s="144"/>
      <c r="X271" s="145"/>
      <c r="Y271" s="152" t="str">
        <f t="shared" si="101"/>
        <v xml:space="preserve">   31.51 </v>
      </c>
      <c r="Z271" s="136"/>
      <c r="AA271" s="50">
        <f t="shared" si="114"/>
        <v>47</v>
      </c>
      <c r="AB271" s="129">
        <f t="shared" si="115"/>
        <v>25892</v>
      </c>
      <c r="AC271" s="58" t="str">
        <f t="shared" si="102"/>
        <v/>
      </c>
      <c r="AD271" s="58" t="str">
        <f t="shared" si="103"/>
        <v>FEast London Runners</v>
      </c>
      <c r="AE271" s="60">
        <f>IF(AD271="","",COUNTIF($AD$2:AD271,AD271))</f>
        <v>20</v>
      </c>
      <c r="AF271" s="62">
        <f>IF(AD271="","",SUMIF(AD$2:AD271,AD271,G$2:G271))</f>
        <v>905</v>
      </c>
      <c r="AG271" s="62" t="str">
        <f>IF(AK271&lt;&gt;"",COUNTIF($AK$1:AK270,AK271)+AK271,IF(AL271&lt;&gt;"",COUNTIF($AL$1:AL270,AL271)+AL271,""))</f>
        <v/>
      </c>
      <c r="AH271" s="62" t="str">
        <f t="shared" si="104"/>
        <v>East London Runners</v>
      </c>
      <c r="AI271" s="62" t="str">
        <f>IF(AND(J271="M", AH271&lt;&gt;"U/A",AE271=Prizewinners!$J$1),AF271,"")</f>
        <v/>
      </c>
      <c r="AJ271" s="58" t="str">
        <f>IF(AND(J271="F",  AH271&lt;&gt;"U/A",AE271=Prizewinners!$J$16),AF271,"")</f>
        <v/>
      </c>
      <c r="AK271" s="58" t="str">
        <f t="shared" si="105"/>
        <v/>
      </c>
      <c r="AL271" s="58" t="str">
        <f t="shared" si="106"/>
        <v/>
      </c>
      <c r="AM271" s="58" t="str">
        <f t="shared" si="107"/>
        <v>FEast London Runners20</v>
      </c>
      <c r="AN271" s="58" t="str">
        <f t="shared" si="108"/>
        <v/>
      </c>
      <c r="AO271" s="58" t="str">
        <f t="shared" si="109"/>
        <v/>
      </c>
      <c r="AP271" s="58" t="str">
        <f t="shared" si="110"/>
        <v/>
      </c>
      <c r="AQ271" s="58" t="str">
        <f t="shared" si="111"/>
        <v>Maya Goodwin</v>
      </c>
    </row>
    <row r="272" spans="1:43" x14ac:dyDescent="0.25">
      <c r="A272" s="12" t="str">
        <f t="shared" si="97"/>
        <v>VF35,28</v>
      </c>
      <c r="B272" s="12" t="str">
        <f t="shared" si="98"/>
        <v>F,100</v>
      </c>
      <c r="C272" s="11">
        <f t="shared" si="119"/>
        <v>271</v>
      </c>
      <c r="D272" s="171">
        <v>84</v>
      </c>
      <c r="E272" s="12">
        <f t="shared" si="96"/>
        <v>1</v>
      </c>
      <c r="F272" s="12">
        <f>COUNTIF(H$2:H272,H272)</f>
        <v>28</v>
      </c>
      <c r="G272" s="12">
        <f>COUNTIF(J$2:J272,J272)</f>
        <v>100</v>
      </c>
      <c r="H272" s="12" t="str">
        <f t="shared" ref="H272:H317" si="120">IF(G272&gt;3,I272,"")</f>
        <v>VF35</v>
      </c>
      <c r="I272" s="50" t="str">
        <f t="shared" si="117"/>
        <v>VF35</v>
      </c>
      <c r="J272" s="50" t="str">
        <f t="shared" si="118"/>
        <v>F</v>
      </c>
      <c r="K272" s="64" t="str">
        <f t="shared" ref="K272:K324" si="121">TRIM(IF(ISNA(VLOOKUP($D272,Runner,2,FALSE)),IF(ISNA(VLOOKUP($D272,Code,2,FALSE)),"",VLOOKUP($D272,Code,2,FALSE)),VLOOKUP($D272,Runner,2,FALSE)))</f>
        <v>Gowri Sukumar</v>
      </c>
      <c r="L272" s="64" t="str">
        <f t="shared" ref="L272:L324" si="122">IF(ISNA(VLOOKUP($D272,Runner,4,FALSE)),IF(ISNA(VLOOKUP($D272,Code,4,FALSE)),"",VLOOKUP($D272,Code,4,FALSE)),VLOOKUP($D272,Runner,4,FALSE))</f>
        <v>East London Runners</v>
      </c>
      <c r="M272" s="171">
        <v>0</v>
      </c>
      <c r="N272" s="178">
        <v>32</v>
      </c>
      <c r="O272" s="178">
        <v>3</v>
      </c>
      <c r="P272" s="138">
        <f t="shared" si="99"/>
        <v>0</v>
      </c>
      <c r="Q272" s="137">
        <f t="shared" si="100"/>
        <v>32</v>
      </c>
      <c r="R272" s="143"/>
      <c r="S272" s="143"/>
      <c r="T272" s="143"/>
      <c r="U272" s="144"/>
      <c r="V272" s="144"/>
      <c r="W272" s="144"/>
      <c r="X272" s="145"/>
      <c r="Y272" s="152" t="str">
        <f t="shared" si="101"/>
        <v xml:space="preserve">   32.03 </v>
      </c>
      <c r="Z272" s="136"/>
      <c r="AA272" s="50">
        <f t="shared" si="114"/>
        <v>43</v>
      </c>
      <c r="AB272" s="129">
        <f t="shared" si="115"/>
        <v>27295</v>
      </c>
      <c r="AC272" s="58" t="str">
        <f t="shared" si="102"/>
        <v/>
      </c>
      <c r="AD272" s="58" t="str">
        <f t="shared" si="103"/>
        <v>FEast London Runners</v>
      </c>
      <c r="AE272" s="60">
        <f>IF(AD272="","",COUNTIF($AD$2:AD272,AD272))</f>
        <v>21</v>
      </c>
      <c r="AF272" s="62">
        <f>IF(AD272="","",SUMIF(AD$2:AD272,AD272,G$2:G272))</f>
        <v>1005</v>
      </c>
      <c r="AG272" s="62" t="str">
        <f>IF(AK272&lt;&gt;"",COUNTIF($AK$1:AK271,AK272)+AK272,IF(AL272&lt;&gt;"",COUNTIF($AL$1:AL271,AL272)+AL272,""))</f>
        <v/>
      </c>
      <c r="AH272" s="62" t="str">
        <f t="shared" si="104"/>
        <v>East London Runners</v>
      </c>
      <c r="AI272" s="62" t="str">
        <f>IF(AND(J272="M", AH272&lt;&gt;"U/A",AE272=Prizewinners!$J$1),AF272,"")</f>
        <v/>
      </c>
      <c r="AJ272" s="58" t="str">
        <f>IF(AND(J272="F",  AH272&lt;&gt;"U/A",AE272=Prizewinners!$J$16),AF272,"")</f>
        <v/>
      </c>
      <c r="AK272" s="58" t="str">
        <f t="shared" si="105"/>
        <v/>
      </c>
      <c r="AL272" s="58" t="str">
        <f t="shared" si="106"/>
        <v/>
      </c>
      <c r="AM272" s="58" t="str">
        <f t="shared" si="107"/>
        <v>FEast London Runners21</v>
      </c>
      <c r="AN272" s="58" t="str">
        <f t="shared" si="108"/>
        <v/>
      </c>
      <c r="AO272" s="58" t="str">
        <f t="shared" si="109"/>
        <v/>
      </c>
      <c r="AP272" s="58" t="str">
        <f t="shared" si="110"/>
        <v/>
      </c>
      <c r="AQ272" s="58" t="str">
        <f t="shared" si="111"/>
        <v>Gowri Sukumar</v>
      </c>
    </row>
    <row r="273" spans="1:43" x14ac:dyDescent="0.25">
      <c r="A273" s="12" t="str">
        <f t="shared" si="97"/>
        <v>VF55,19</v>
      </c>
      <c r="B273" s="12" t="str">
        <f t="shared" si="98"/>
        <v>F,101</v>
      </c>
      <c r="C273" s="11">
        <f t="shared" si="119"/>
        <v>272</v>
      </c>
      <c r="D273" s="171">
        <v>433</v>
      </c>
      <c r="E273" s="12">
        <f t="shared" si="96"/>
        <v>1</v>
      </c>
      <c r="F273" s="12">
        <f>COUNTIF(H$2:H273,H273)</f>
        <v>19</v>
      </c>
      <c r="G273" s="12">
        <f>COUNTIF(J$2:J273,J273)</f>
        <v>101</v>
      </c>
      <c r="H273" s="12" t="str">
        <f t="shared" si="120"/>
        <v>VF55</v>
      </c>
      <c r="I273" s="50" t="str">
        <f t="shared" si="117"/>
        <v>VF55</v>
      </c>
      <c r="J273" s="50" t="str">
        <f t="shared" si="118"/>
        <v>F</v>
      </c>
      <c r="K273" s="64" t="str">
        <f t="shared" si="121"/>
        <v>Carol Moring</v>
      </c>
      <c r="L273" s="64" t="str">
        <f t="shared" si="122"/>
        <v>Dagenham 88 Runners</v>
      </c>
      <c r="M273" s="171">
        <v>0</v>
      </c>
      <c r="N273" s="178">
        <v>32</v>
      </c>
      <c r="O273" s="178">
        <v>5</v>
      </c>
      <c r="P273" s="138">
        <f t="shared" si="99"/>
        <v>0</v>
      </c>
      <c r="Q273" s="137">
        <f t="shared" si="100"/>
        <v>32</v>
      </c>
      <c r="R273" s="143"/>
      <c r="S273" s="143"/>
      <c r="T273" s="143"/>
      <c r="U273" s="144"/>
      <c r="V273" s="144"/>
      <c r="W273" s="144"/>
      <c r="X273" s="145"/>
      <c r="Y273" s="152" t="str">
        <f t="shared" si="101"/>
        <v xml:space="preserve">   32.05 </v>
      </c>
      <c r="Z273" s="136"/>
      <c r="AA273" s="50">
        <f t="shared" si="114"/>
        <v>55</v>
      </c>
      <c r="AB273" s="129">
        <f t="shared" si="115"/>
        <v>22951</v>
      </c>
      <c r="AC273" s="58" t="str">
        <f t="shared" si="102"/>
        <v/>
      </c>
      <c r="AD273" s="58" t="str">
        <f t="shared" si="103"/>
        <v>FDagenham 88 Runners</v>
      </c>
      <c r="AE273" s="60">
        <f>IF(AD273="","",COUNTIF($AD$2:AD273,AD273))</f>
        <v>8</v>
      </c>
      <c r="AF273" s="62">
        <f>IF(AD273="","",SUMIF(AD$2:AD273,AD273,G$2:G273))</f>
        <v>584</v>
      </c>
      <c r="AG273" s="62" t="str">
        <f>IF(AK273&lt;&gt;"",COUNTIF($AK$1:AK272,AK273)+AK273,IF(AL273&lt;&gt;"",COUNTIF($AL$1:AL272,AL273)+AL273,""))</f>
        <v/>
      </c>
      <c r="AH273" s="62" t="str">
        <f t="shared" si="104"/>
        <v>Dagenham 88 Runners</v>
      </c>
      <c r="AI273" s="62" t="str">
        <f>IF(AND(J273="M", AH273&lt;&gt;"U/A",AE273=Prizewinners!$J$1),AF273,"")</f>
        <v/>
      </c>
      <c r="AJ273" s="58" t="str">
        <f>IF(AND(J273="F",  AH273&lt;&gt;"U/A",AE273=Prizewinners!$J$16),AF273,"")</f>
        <v/>
      </c>
      <c r="AK273" s="58" t="str">
        <f t="shared" si="105"/>
        <v/>
      </c>
      <c r="AL273" s="58" t="str">
        <f t="shared" si="106"/>
        <v/>
      </c>
      <c r="AM273" s="58" t="str">
        <f t="shared" si="107"/>
        <v>FDagenham 88 Runners8</v>
      </c>
      <c r="AN273" s="58" t="str">
        <f t="shared" si="108"/>
        <v/>
      </c>
      <c r="AO273" s="58" t="str">
        <f t="shared" si="109"/>
        <v/>
      </c>
      <c r="AP273" s="58" t="str">
        <f t="shared" si="110"/>
        <v/>
      </c>
      <c r="AQ273" s="58" t="str">
        <f t="shared" si="111"/>
        <v>Carol Moring</v>
      </c>
    </row>
    <row r="274" spans="1:43" x14ac:dyDescent="0.25">
      <c r="A274" s="12" t="str">
        <f t="shared" si="97"/>
        <v>VF65,2</v>
      </c>
      <c r="B274" s="12" t="str">
        <f t="shared" si="98"/>
        <v>F,102</v>
      </c>
      <c r="C274" s="11">
        <f t="shared" si="119"/>
        <v>273</v>
      </c>
      <c r="D274" s="171">
        <v>466</v>
      </c>
      <c r="E274" s="12">
        <f t="shared" si="96"/>
        <v>1</v>
      </c>
      <c r="F274" s="12">
        <f>COUNTIF(H$2:H274,H274)</f>
        <v>2</v>
      </c>
      <c r="G274" s="12">
        <f>COUNTIF(J$2:J274,J274)</f>
        <v>102</v>
      </c>
      <c r="H274" s="12" t="str">
        <f t="shared" si="120"/>
        <v>VF65</v>
      </c>
      <c r="I274" s="50" t="str">
        <f t="shared" si="117"/>
        <v>VF65</v>
      </c>
      <c r="J274" s="50" t="str">
        <f t="shared" si="118"/>
        <v>F</v>
      </c>
      <c r="K274" s="64" t="str">
        <f t="shared" si="121"/>
        <v>Janet Shaw</v>
      </c>
      <c r="L274" s="64" t="str">
        <f t="shared" si="122"/>
        <v>Havering 90 Joggers</v>
      </c>
      <c r="M274" s="171">
        <v>0</v>
      </c>
      <c r="N274" s="178">
        <v>32</v>
      </c>
      <c r="O274" s="178">
        <v>26</v>
      </c>
      <c r="P274" s="138">
        <f t="shared" si="99"/>
        <v>0</v>
      </c>
      <c r="Q274" s="137">
        <f t="shared" si="100"/>
        <v>32</v>
      </c>
      <c r="R274" s="143"/>
      <c r="S274" s="143"/>
      <c r="T274" s="143"/>
      <c r="U274" s="144"/>
      <c r="V274" s="144"/>
      <c r="W274" s="144"/>
      <c r="X274" s="145"/>
      <c r="Y274" s="152" t="str">
        <f t="shared" si="101"/>
        <v xml:space="preserve">   32.26 </v>
      </c>
      <c r="Z274" s="136"/>
      <c r="AA274" s="50">
        <f t="shared" si="114"/>
        <v>72</v>
      </c>
      <c r="AB274" s="129">
        <f t="shared" si="115"/>
        <v>17012</v>
      </c>
      <c r="AC274" s="58" t="str">
        <f t="shared" si="102"/>
        <v/>
      </c>
      <c r="AD274" s="58" t="str">
        <f t="shared" si="103"/>
        <v>FHavering 90 Joggers</v>
      </c>
      <c r="AE274" s="60">
        <f>IF(AD274="","",COUNTIF($AD$2:AD274,AD274))</f>
        <v>11</v>
      </c>
      <c r="AF274" s="62">
        <f>IF(AD274="","",SUMIF(AD$2:AD274,AD274,G$2:G274))</f>
        <v>802</v>
      </c>
      <c r="AG274" s="62" t="str">
        <f>IF(AK274&lt;&gt;"",COUNTIF($AK$1:AK273,AK274)+AK274,IF(AL274&lt;&gt;"",COUNTIF($AL$1:AL273,AL274)+AL274,""))</f>
        <v/>
      </c>
      <c r="AH274" s="62" t="str">
        <f t="shared" si="104"/>
        <v>Havering 90 Joggers</v>
      </c>
      <c r="AI274" s="62" t="str">
        <f>IF(AND(J274="M", AH274&lt;&gt;"U/A",AE274=Prizewinners!$J$1),AF274,"")</f>
        <v/>
      </c>
      <c r="AJ274" s="58" t="str">
        <f>IF(AND(J274="F",  AH274&lt;&gt;"U/A",AE274=Prizewinners!$J$16),AF274,"")</f>
        <v/>
      </c>
      <c r="AK274" s="58" t="str">
        <f t="shared" si="105"/>
        <v/>
      </c>
      <c r="AL274" s="58" t="str">
        <f t="shared" si="106"/>
        <v/>
      </c>
      <c r="AM274" s="58" t="str">
        <f t="shared" si="107"/>
        <v>FHavering 90 Joggers11</v>
      </c>
      <c r="AN274" s="58" t="str">
        <f t="shared" si="108"/>
        <v/>
      </c>
      <c r="AO274" s="58" t="str">
        <f t="shared" si="109"/>
        <v/>
      </c>
      <c r="AP274" s="58" t="str">
        <f t="shared" si="110"/>
        <v/>
      </c>
      <c r="AQ274" s="58" t="str">
        <f t="shared" si="111"/>
        <v>Janet Shaw</v>
      </c>
    </row>
    <row r="275" spans="1:43" x14ac:dyDescent="0.25">
      <c r="A275" s="12" t="str">
        <f t="shared" si="97"/>
        <v>VM60,22</v>
      </c>
      <c r="B275" s="12" t="str">
        <f t="shared" si="98"/>
        <v>M,172</v>
      </c>
      <c r="C275" s="11">
        <f t="shared" si="119"/>
        <v>274</v>
      </c>
      <c r="D275" s="171">
        <v>452</v>
      </c>
      <c r="E275" s="12">
        <f t="shared" si="96"/>
        <v>1</v>
      </c>
      <c r="F275" s="12">
        <f>COUNTIF(H$2:H275,H275)</f>
        <v>22</v>
      </c>
      <c r="G275" s="12">
        <f>COUNTIF(J$2:J275,J275)</f>
        <v>172</v>
      </c>
      <c r="H275" s="12" t="str">
        <f t="shared" si="120"/>
        <v>VM60</v>
      </c>
      <c r="I275" s="50" t="str">
        <f t="shared" si="117"/>
        <v>VM60</v>
      </c>
      <c r="J275" s="50" t="str">
        <f t="shared" si="118"/>
        <v>M</v>
      </c>
      <c r="K275" s="64" t="str">
        <f t="shared" si="121"/>
        <v>Keith Penfold</v>
      </c>
      <c r="L275" s="64" t="str">
        <f t="shared" si="122"/>
        <v>Havering 90 Joggers</v>
      </c>
      <c r="M275" s="171">
        <v>0</v>
      </c>
      <c r="N275" s="178">
        <v>32</v>
      </c>
      <c r="O275" s="178">
        <v>31</v>
      </c>
      <c r="P275" s="138">
        <f t="shared" si="99"/>
        <v>0</v>
      </c>
      <c r="Q275" s="137">
        <f t="shared" si="100"/>
        <v>32</v>
      </c>
      <c r="R275" s="143"/>
      <c r="S275" s="143"/>
      <c r="T275" s="143"/>
      <c r="U275" s="144"/>
      <c r="V275" s="144"/>
      <c r="W275" s="144"/>
      <c r="X275" s="145"/>
      <c r="Y275" s="152" t="str">
        <f t="shared" si="101"/>
        <v xml:space="preserve">   32.31 </v>
      </c>
      <c r="Z275" s="136"/>
      <c r="AA275" s="50">
        <f t="shared" si="114"/>
        <v>66</v>
      </c>
      <c r="AB275" s="129">
        <f t="shared" si="115"/>
        <v>18983</v>
      </c>
      <c r="AC275" s="58" t="str">
        <f t="shared" si="102"/>
        <v/>
      </c>
      <c r="AD275" s="58" t="str">
        <f t="shared" si="103"/>
        <v>MHavering 90 Joggers</v>
      </c>
      <c r="AE275" s="60">
        <f>IF(AD275="","",COUNTIF($AD$2:AD275,AD275))</f>
        <v>13</v>
      </c>
      <c r="AF275" s="62">
        <f>IF(AD275="","",SUMIF(AD$2:AD275,AD275,G$2:G275))</f>
        <v>1574</v>
      </c>
      <c r="AG275" s="62" t="str">
        <f>IF(AK275&lt;&gt;"",COUNTIF($AK$1:AK274,AK275)+AK275,IF(AL275&lt;&gt;"",COUNTIF($AL$1:AL274,AL275)+AL275,""))</f>
        <v/>
      </c>
      <c r="AH275" s="62" t="str">
        <f t="shared" si="104"/>
        <v>Havering 90 Joggers</v>
      </c>
      <c r="AI275" s="62" t="str">
        <f>IF(AND(J275="M", AH275&lt;&gt;"U/A",AE275=Prizewinners!$J$1),AF275,"")</f>
        <v/>
      </c>
      <c r="AJ275" s="58" t="str">
        <f>IF(AND(J275="F",  AH275&lt;&gt;"U/A",AE275=Prizewinners!$J$16),AF275,"")</f>
        <v/>
      </c>
      <c r="AK275" s="58" t="str">
        <f t="shared" si="105"/>
        <v/>
      </c>
      <c r="AL275" s="58" t="str">
        <f t="shared" si="106"/>
        <v/>
      </c>
      <c r="AM275" s="58" t="str">
        <f t="shared" si="107"/>
        <v>MHavering 90 Joggers13</v>
      </c>
      <c r="AN275" s="58" t="str">
        <f t="shared" si="108"/>
        <v/>
      </c>
      <c r="AO275" s="58" t="str">
        <f t="shared" si="109"/>
        <v/>
      </c>
      <c r="AP275" s="58" t="str">
        <f t="shared" si="110"/>
        <v/>
      </c>
      <c r="AQ275" s="58" t="str">
        <f t="shared" si="111"/>
        <v>Keith Penfold</v>
      </c>
    </row>
    <row r="276" spans="1:43" x14ac:dyDescent="0.25">
      <c r="A276" s="12" t="str">
        <f t="shared" si="97"/>
        <v>VF35,29</v>
      </c>
      <c r="B276" s="12" t="str">
        <f t="shared" si="98"/>
        <v>F,103</v>
      </c>
      <c r="C276" s="11">
        <f t="shared" si="119"/>
        <v>275</v>
      </c>
      <c r="D276" s="171">
        <v>48</v>
      </c>
      <c r="E276" s="12">
        <f t="shared" si="96"/>
        <v>1</v>
      </c>
      <c r="F276" s="12">
        <f>COUNTIF(H$2:H276,H276)</f>
        <v>29</v>
      </c>
      <c r="G276" s="12">
        <f>COUNTIF(J$2:J276,J276)</f>
        <v>103</v>
      </c>
      <c r="H276" s="12" t="str">
        <f t="shared" si="120"/>
        <v>VF35</v>
      </c>
      <c r="I276" s="50" t="str">
        <f t="shared" si="117"/>
        <v>VF35</v>
      </c>
      <c r="J276" s="50" t="str">
        <f t="shared" si="118"/>
        <v>F</v>
      </c>
      <c r="K276" s="64" t="str">
        <f t="shared" si="121"/>
        <v>Ravindra Luggah</v>
      </c>
      <c r="L276" s="64" t="str">
        <f t="shared" si="122"/>
        <v>East End Road Runners</v>
      </c>
      <c r="M276" s="171">
        <v>0</v>
      </c>
      <c r="N276" s="178">
        <v>32</v>
      </c>
      <c r="O276" s="178">
        <v>34</v>
      </c>
      <c r="P276" s="138">
        <f t="shared" si="99"/>
        <v>0</v>
      </c>
      <c r="Q276" s="137">
        <f t="shared" si="100"/>
        <v>32</v>
      </c>
      <c r="R276" s="143"/>
      <c r="S276" s="143"/>
      <c r="T276" s="143"/>
      <c r="U276" s="144"/>
      <c r="V276" s="144"/>
      <c r="W276" s="144"/>
      <c r="X276" s="145"/>
      <c r="Y276" s="152" t="str">
        <f t="shared" si="101"/>
        <v xml:space="preserve">   32.34 </v>
      </c>
      <c r="Z276" s="136"/>
      <c r="AA276" s="50">
        <f t="shared" si="114"/>
        <v>42</v>
      </c>
      <c r="AB276" s="129">
        <f t="shared" si="115"/>
        <v>27793</v>
      </c>
      <c r="AC276" s="58" t="str">
        <f t="shared" si="102"/>
        <v/>
      </c>
      <c r="AD276" s="58" t="str">
        <f t="shared" si="103"/>
        <v>FEast End Road Runners</v>
      </c>
      <c r="AE276" s="60">
        <f>IF(AD276="","",COUNTIF($AD$2:AD276,AD276))</f>
        <v>10</v>
      </c>
      <c r="AF276" s="62">
        <f>IF(AD276="","",SUMIF(AD$2:AD276,AD276,G$2:G276))</f>
        <v>665</v>
      </c>
      <c r="AG276" s="62" t="str">
        <f>IF(AK276&lt;&gt;"",COUNTIF($AK$1:AK275,AK276)+AK276,IF(AL276&lt;&gt;"",COUNTIF($AL$1:AL275,AL276)+AL276,""))</f>
        <v/>
      </c>
      <c r="AH276" s="62" t="str">
        <f t="shared" si="104"/>
        <v>East End Road Runners</v>
      </c>
      <c r="AI276" s="62" t="str">
        <f>IF(AND(J276="M", AH276&lt;&gt;"U/A",AE276=Prizewinners!$J$1),AF276,"")</f>
        <v/>
      </c>
      <c r="AJ276" s="58" t="str">
        <f>IF(AND(J276="F",  AH276&lt;&gt;"U/A",AE276=Prizewinners!$J$16),AF276,"")</f>
        <v/>
      </c>
      <c r="AK276" s="58" t="str">
        <f t="shared" si="105"/>
        <v/>
      </c>
      <c r="AL276" s="58" t="str">
        <f t="shared" si="106"/>
        <v/>
      </c>
      <c r="AM276" s="58" t="str">
        <f t="shared" si="107"/>
        <v>FEast End Road Runners10</v>
      </c>
      <c r="AN276" s="58" t="str">
        <f t="shared" si="108"/>
        <v/>
      </c>
      <c r="AO276" s="58" t="str">
        <f t="shared" si="109"/>
        <v/>
      </c>
      <c r="AP276" s="58" t="str">
        <f t="shared" si="110"/>
        <v/>
      </c>
      <c r="AQ276" s="58" t="str">
        <f t="shared" si="111"/>
        <v>Ravindra Luggah</v>
      </c>
    </row>
    <row r="277" spans="1:43" x14ac:dyDescent="0.25">
      <c r="A277" s="12" t="str">
        <f t="shared" si="97"/>
        <v>VF55,20</v>
      </c>
      <c r="B277" s="12" t="str">
        <f t="shared" si="98"/>
        <v>F,104</v>
      </c>
      <c r="C277" s="11">
        <f t="shared" si="119"/>
        <v>276</v>
      </c>
      <c r="D277" s="171">
        <v>133</v>
      </c>
      <c r="E277" s="12">
        <f t="shared" si="96"/>
        <v>1</v>
      </c>
      <c r="F277" s="12">
        <f>COUNTIF(H$2:H277,H277)</f>
        <v>20</v>
      </c>
      <c r="G277" s="12">
        <f>COUNTIF(J$2:J277,J277)</f>
        <v>104</v>
      </c>
      <c r="H277" s="12" t="str">
        <f t="shared" si="120"/>
        <v>VF55</v>
      </c>
      <c r="I277" s="50" t="str">
        <f t="shared" si="117"/>
        <v>VF55</v>
      </c>
      <c r="J277" s="50" t="str">
        <f t="shared" si="118"/>
        <v>F</v>
      </c>
      <c r="K277" s="64" t="str">
        <f t="shared" si="121"/>
        <v>Maggie Bavington</v>
      </c>
      <c r="L277" s="64" t="str">
        <f t="shared" si="122"/>
        <v>Unattached</v>
      </c>
      <c r="M277" s="171">
        <v>0</v>
      </c>
      <c r="N277" s="178">
        <v>32</v>
      </c>
      <c r="O277" s="178">
        <v>50</v>
      </c>
      <c r="P277" s="138">
        <f t="shared" si="99"/>
        <v>0</v>
      </c>
      <c r="Q277" s="137">
        <f t="shared" si="100"/>
        <v>32</v>
      </c>
      <c r="R277" s="143"/>
      <c r="S277" s="143"/>
      <c r="T277" s="143"/>
      <c r="U277" s="144"/>
      <c r="V277" s="144"/>
      <c r="W277" s="144"/>
      <c r="X277" s="145"/>
      <c r="Y277" s="152" t="str">
        <f t="shared" si="101"/>
        <v xml:space="preserve">   32.50 </v>
      </c>
      <c r="Z277" s="136"/>
      <c r="AA277" s="50">
        <f t="shared" si="114"/>
        <v>60</v>
      </c>
      <c r="AB277" s="129">
        <f t="shared" si="115"/>
        <v>21291</v>
      </c>
      <c r="AC277" s="58" t="str">
        <f t="shared" si="102"/>
        <v/>
      </c>
      <c r="AD277" s="58" t="str">
        <f t="shared" si="103"/>
        <v>FUnattached</v>
      </c>
      <c r="AE277" s="60">
        <f>IF(AD277="","",COUNTIF($AD$2:AD277,AD277))</f>
        <v>2</v>
      </c>
      <c r="AF277" s="62">
        <f>IF(AD277="","",SUMIF(AD$2:AD277,AD277,G$2:G277))</f>
        <v>154</v>
      </c>
      <c r="AG277" s="62" t="str">
        <f>IF(AK277&lt;&gt;"",COUNTIF($AK$1:AK276,AK277)+AK277,IF(AL277&lt;&gt;"",COUNTIF($AL$1:AL276,AL277)+AL277,""))</f>
        <v/>
      </c>
      <c r="AH277" s="62" t="str">
        <f t="shared" si="104"/>
        <v>Unattached</v>
      </c>
      <c r="AI277" s="62" t="str">
        <f>IF(AND(J277="M", AH277&lt;&gt;"U/A",AE277=Prizewinners!$J$1),AF277,"")</f>
        <v/>
      </c>
      <c r="AJ277" s="58" t="str">
        <f>IF(AND(J277="F",  AH277&lt;&gt;"U/A",AE277=Prizewinners!$J$16),AF277,"")</f>
        <v/>
      </c>
      <c r="AK277" s="58" t="str">
        <f t="shared" si="105"/>
        <v/>
      </c>
      <c r="AL277" s="58" t="str">
        <f t="shared" si="106"/>
        <v/>
      </c>
      <c r="AM277" s="58" t="str">
        <f t="shared" si="107"/>
        <v>FUnattached2</v>
      </c>
      <c r="AN277" s="58" t="str">
        <f t="shared" si="108"/>
        <v/>
      </c>
      <c r="AO277" s="58" t="str">
        <f t="shared" si="109"/>
        <v/>
      </c>
      <c r="AP277" s="58" t="str">
        <f t="shared" si="110"/>
        <v/>
      </c>
      <c r="AQ277" s="58" t="str">
        <f t="shared" si="111"/>
        <v>Maggie Bavington</v>
      </c>
    </row>
    <row r="278" spans="1:43" x14ac:dyDescent="0.25">
      <c r="A278" s="12" t="str">
        <f t="shared" si="97"/>
        <v>VM50,34</v>
      </c>
      <c r="B278" s="12" t="str">
        <f t="shared" si="98"/>
        <v>M,173</v>
      </c>
      <c r="C278" s="11">
        <f t="shared" si="119"/>
        <v>277</v>
      </c>
      <c r="D278" s="171">
        <v>463</v>
      </c>
      <c r="E278" s="12">
        <f t="shared" si="96"/>
        <v>1</v>
      </c>
      <c r="F278" s="12">
        <f>COUNTIF(H$2:H278,H278)</f>
        <v>34</v>
      </c>
      <c r="G278" s="12">
        <f>COUNTIF(J$2:J278,J278)</f>
        <v>173</v>
      </c>
      <c r="H278" s="12" t="str">
        <f t="shared" si="120"/>
        <v>VM50</v>
      </c>
      <c r="I278" s="50" t="str">
        <f t="shared" si="117"/>
        <v>VM50</v>
      </c>
      <c r="J278" s="50" t="str">
        <f t="shared" si="118"/>
        <v>M</v>
      </c>
      <c r="K278" s="64" t="str">
        <f t="shared" si="121"/>
        <v>Brian Cross</v>
      </c>
      <c r="L278" s="64" t="str">
        <f t="shared" si="122"/>
        <v>Havering 90 Joggers</v>
      </c>
      <c r="M278" s="171">
        <v>0</v>
      </c>
      <c r="N278" s="178">
        <v>33</v>
      </c>
      <c r="O278" s="178">
        <v>1</v>
      </c>
      <c r="P278" s="138">
        <f t="shared" si="99"/>
        <v>0</v>
      </c>
      <c r="Q278" s="137">
        <f t="shared" si="100"/>
        <v>33</v>
      </c>
      <c r="R278" s="143"/>
      <c r="S278" s="143"/>
      <c r="T278" s="143"/>
      <c r="U278" s="144"/>
      <c r="V278" s="144"/>
      <c r="W278" s="144"/>
      <c r="X278" s="145"/>
      <c r="Y278" s="152" t="str">
        <f t="shared" si="101"/>
        <v xml:space="preserve">   33.01 </v>
      </c>
      <c r="Z278" s="136"/>
      <c r="AA278" s="50">
        <f t="shared" si="114"/>
        <v>53</v>
      </c>
      <c r="AB278" s="129">
        <f t="shared" si="115"/>
        <v>23714</v>
      </c>
      <c r="AC278" s="58" t="str">
        <f t="shared" si="102"/>
        <v/>
      </c>
      <c r="AD278" s="58" t="str">
        <f t="shared" si="103"/>
        <v>MHavering 90 Joggers</v>
      </c>
      <c r="AE278" s="60">
        <f>IF(AD278="","",COUNTIF($AD$2:AD278,AD278))</f>
        <v>14</v>
      </c>
      <c r="AF278" s="62">
        <f>IF(AD278="","",SUMIF(AD$2:AD278,AD278,G$2:G278))</f>
        <v>1747</v>
      </c>
      <c r="AG278" s="62" t="str">
        <f>IF(AK278&lt;&gt;"",COUNTIF($AK$1:AK277,AK278)+AK278,IF(AL278&lt;&gt;"",COUNTIF($AL$1:AL277,AL278)+AL278,""))</f>
        <v/>
      </c>
      <c r="AH278" s="62" t="str">
        <f t="shared" si="104"/>
        <v>Havering 90 Joggers</v>
      </c>
      <c r="AI278" s="62" t="str">
        <f>IF(AND(J278="M", AH278&lt;&gt;"U/A",AE278=Prizewinners!$J$1),AF278,"")</f>
        <v/>
      </c>
      <c r="AJ278" s="58" t="str">
        <f>IF(AND(J278="F",  AH278&lt;&gt;"U/A",AE278=Prizewinners!$J$16),AF278,"")</f>
        <v/>
      </c>
      <c r="AK278" s="58" t="str">
        <f t="shared" si="105"/>
        <v/>
      </c>
      <c r="AL278" s="58" t="str">
        <f t="shared" si="106"/>
        <v/>
      </c>
      <c r="AM278" s="58" t="str">
        <f t="shared" si="107"/>
        <v>MHavering 90 Joggers14</v>
      </c>
      <c r="AN278" s="58" t="str">
        <f t="shared" si="108"/>
        <v/>
      </c>
      <c r="AO278" s="58" t="str">
        <f t="shared" si="109"/>
        <v/>
      </c>
      <c r="AP278" s="58" t="str">
        <f t="shared" si="110"/>
        <v/>
      </c>
      <c r="AQ278" s="58" t="str">
        <f t="shared" si="111"/>
        <v>Brian Cross</v>
      </c>
    </row>
    <row r="279" spans="1:43" x14ac:dyDescent="0.25">
      <c r="A279" s="12" t="str">
        <f t="shared" si="97"/>
        <v>VF55,21</v>
      </c>
      <c r="B279" s="12" t="str">
        <f t="shared" si="98"/>
        <v>F,105</v>
      </c>
      <c r="C279" s="11">
        <f t="shared" si="119"/>
        <v>278</v>
      </c>
      <c r="D279" s="171">
        <v>482</v>
      </c>
      <c r="E279" s="12">
        <f t="shared" si="96"/>
        <v>1</v>
      </c>
      <c r="F279" s="12">
        <f>COUNTIF(H$2:H279,H279)</f>
        <v>21</v>
      </c>
      <c r="G279" s="12">
        <f>COUNTIF(J$2:J279,J279)</f>
        <v>105</v>
      </c>
      <c r="H279" s="12" t="str">
        <f t="shared" si="120"/>
        <v>VF55</v>
      </c>
      <c r="I279" s="50" t="str">
        <f t="shared" si="117"/>
        <v>VF55</v>
      </c>
      <c r="J279" s="50" t="str">
        <f t="shared" si="118"/>
        <v>F</v>
      </c>
      <c r="K279" s="64" t="str">
        <f t="shared" si="121"/>
        <v>Maria Brill</v>
      </c>
      <c r="L279" s="64" t="str">
        <f t="shared" si="122"/>
        <v>Havering 90 Joggers</v>
      </c>
      <c r="M279" s="171">
        <v>0</v>
      </c>
      <c r="N279" s="178">
        <v>33</v>
      </c>
      <c r="O279" s="178">
        <v>28</v>
      </c>
      <c r="P279" s="138">
        <f t="shared" si="99"/>
        <v>0</v>
      </c>
      <c r="Q279" s="137">
        <f t="shared" si="100"/>
        <v>33</v>
      </c>
      <c r="R279" s="143"/>
      <c r="S279" s="143"/>
      <c r="T279" s="143"/>
      <c r="U279" s="144"/>
      <c r="V279" s="144"/>
      <c r="W279" s="144"/>
      <c r="X279" s="145"/>
      <c r="Y279" s="152" t="str">
        <f t="shared" si="101"/>
        <v xml:space="preserve">   33.28 </v>
      </c>
      <c r="Z279" s="136"/>
      <c r="AA279" s="50">
        <f t="shared" si="114"/>
        <v>61</v>
      </c>
      <c r="AB279" s="129">
        <f t="shared" si="115"/>
        <v>20708</v>
      </c>
      <c r="AC279" s="58" t="str">
        <f t="shared" si="102"/>
        <v/>
      </c>
      <c r="AD279" s="58" t="str">
        <f t="shared" si="103"/>
        <v>FHavering 90 Joggers</v>
      </c>
      <c r="AE279" s="60">
        <f>IF(AD279="","",COUNTIF($AD$2:AD279,AD279))</f>
        <v>12</v>
      </c>
      <c r="AF279" s="62">
        <f>IF(AD279="","",SUMIF(AD$2:AD279,AD279,G$2:G279))</f>
        <v>907</v>
      </c>
      <c r="AG279" s="62" t="str">
        <f>IF(AK279&lt;&gt;"",COUNTIF($AK$1:AK278,AK279)+AK279,IF(AL279&lt;&gt;"",COUNTIF($AL$1:AL278,AL279)+AL279,""))</f>
        <v/>
      </c>
      <c r="AH279" s="62" t="str">
        <f t="shared" si="104"/>
        <v>Havering 90 Joggers</v>
      </c>
      <c r="AI279" s="62" t="str">
        <f>IF(AND(J279="M", AH279&lt;&gt;"U/A",AE279=Prizewinners!$J$1),AF279,"")</f>
        <v/>
      </c>
      <c r="AJ279" s="58" t="str">
        <f>IF(AND(J279="F",  AH279&lt;&gt;"U/A",AE279=Prizewinners!$J$16),AF279,"")</f>
        <v/>
      </c>
      <c r="AK279" s="58" t="str">
        <f t="shared" si="105"/>
        <v/>
      </c>
      <c r="AL279" s="58" t="str">
        <f t="shared" si="106"/>
        <v/>
      </c>
      <c r="AM279" s="58" t="str">
        <f t="shared" si="107"/>
        <v>FHavering 90 Joggers12</v>
      </c>
      <c r="AN279" s="58" t="str">
        <f t="shared" si="108"/>
        <v/>
      </c>
      <c r="AO279" s="58" t="str">
        <f t="shared" si="109"/>
        <v/>
      </c>
      <c r="AP279" s="58" t="str">
        <f t="shared" si="110"/>
        <v/>
      </c>
      <c r="AQ279" s="58" t="str">
        <f t="shared" si="111"/>
        <v>Maria Brill</v>
      </c>
    </row>
    <row r="280" spans="1:43" x14ac:dyDescent="0.25">
      <c r="A280" s="12" t="str">
        <f t="shared" si="97"/>
        <v>VM40,50</v>
      </c>
      <c r="B280" s="12" t="str">
        <f t="shared" si="98"/>
        <v>M,174</v>
      </c>
      <c r="C280" s="11">
        <f t="shared" si="119"/>
        <v>279</v>
      </c>
      <c r="D280" s="171">
        <v>107</v>
      </c>
      <c r="E280" s="12">
        <f t="shared" si="96"/>
        <v>1</v>
      </c>
      <c r="F280" s="12">
        <f>COUNTIF(H$2:H280,H280)</f>
        <v>50</v>
      </c>
      <c r="G280" s="12">
        <f>COUNTIF(J$2:J280,J280)</f>
        <v>174</v>
      </c>
      <c r="H280" s="12" t="str">
        <f t="shared" si="120"/>
        <v>VM40</v>
      </c>
      <c r="I280" s="50" t="str">
        <f t="shared" si="117"/>
        <v>VM40</v>
      </c>
      <c r="J280" s="50" t="str">
        <f t="shared" si="118"/>
        <v>M</v>
      </c>
      <c r="K280" s="64" t="str">
        <f t="shared" si="121"/>
        <v>Patrick Seaman</v>
      </c>
      <c r="L280" s="64" t="str">
        <f t="shared" si="122"/>
        <v>East End Road Runners</v>
      </c>
      <c r="M280" s="171">
        <v>0</v>
      </c>
      <c r="N280" s="178">
        <v>33</v>
      </c>
      <c r="O280" s="178">
        <v>39</v>
      </c>
      <c r="P280" s="138">
        <f t="shared" si="99"/>
        <v>0</v>
      </c>
      <c r="Q280" s="137">
        <f t="shared" si="100"/>
        <v>33</v>
      </c>
      <c r="R280" s="143"/>
      <c r="S280" s="143"/>
      <c r="T280" s="143"/>
      <c r="U280" s="144"/>
      <c r="V280" s="144"/>
      <c r="W280" s="144"/>
      <c r="X280" s="145"/>
      <c r="Y280" s="152" t="str">
        <f t="shared" si="101"/>
        <v xml:space="preserve">   33.39 </v>
      </c>
      <c r="Z280" s="136"/>
      <c r="AA280" s="50">
        <f t="shared" si="114"/>
        <v>40</v>
      </c>
      <c r="AB280" s="129">
        <f t="shared" si="115"/>
        <v>28637</v>
      </c>
      <c r="AC280" s="58" t="str">
        <f t="shared" si="102"/>
        <v/>
      </c>
      <c r="AD280" s="58" t="str">
        <f t="shared" si="103"/>
        <v>MEast End Road Runners</v>
      </c>
      <c r="AE280" s="60">
        <f>IF(AD280="","",COUNTIF($AD$2:AD280,AD280))</f>
        <v>16</v>
      </c>
      <c r="AF280" s="62">
        <f>IF(AD280="","",SUMIF(AD$2:AD280,AD280,G$2:G280))</f>
        <v>1595</v>
      </c>
      <c r="AG280" s="62" t="str">
        <f>IF(AK280&lt;&gt;"",COUNTIF($AK$1:AK279,AK280)+AK280,IF(AL280&lt;&gt;"",COUNTIF($AL$1:AL279,AL280)+AL280,""))</f>
        <v/>
      </c>
      <c r="AH280" s="62" t="str">
        <f t="shared" si="104"/>
        <v>East End Road Runners</v>
      </c>
      <c r="AI280" s="62" t="str">
        <f>IF(AND(J280="M", AH280&lt;&gt;"U/A",AE280=Prizewinners!$J$1),AF280,"")</f>
        <v/>
      </c>
      <c r="AJ280" s="58" t="str">
        <f>IF(AND(J280="F",  AH280&lt;&gt;"U/A",AE280=Prizewinners!$J$16),AF280,"")</f>
        <v/>
      </c>
      <c r="AK280" s="58" t="str">
        <f t="shared" si="105"/>
        <v/>
      </c>
      <c r="AL280" s="58" t="str">
        <f t="shared" si="106"/>
        <v/>
      </c>
      <c r="AM280" s="58" t="str">
        <f t="shared" si="107"/>
        <v>MEast End Road Runners16</v>
      </c>
      <c r="AN280" s="58" t="str">
        <f t="shared" si="108"/>
        <v/>
      </c>
      <c r="AO280" s="58" t="str">
        <f t="shared" si="109"/>
        <v/>
      </c>
      <c r="AP280" s="58" t="str">
        <f t="shared" si="110"/>
        <v/>
      </c>
      <c r="AQ280" s="58" t="str">
        <f t="shared" si="111"/>
        <v>Patrick Seaman</v>
      </c>
    </row>
    <row r="281" spans="1:43" x14ac:dyDescent="0.25">
      <c r="A281" s="12" t="str">
        <f t="shared" si="97"/>
        <v>SF,18</v>
      </c>
      <c r="B281" s="12" t="str">
        <f t="shared" si="98"/>
        <v>F,106</v>
      </c>
      <c r="C281" s="11">
        <f t="shared" si="119"/>
        <v>280</v>
      </c>
      <c r="D281" s="171">
        <v>467</v>
      </c>
      <c r="E281" s="12">
        <f t="shared" si="96"/>
        <v>1</v>
      </c>
      <c r="F281" s="12">
        <f>COUNTIF(H$2:H281,H281)</f>
        <v>18</v>
      </c>
      <c r="G281" s="12">
        <f>COUNTIF(J$2:J281,J281)</f>
        <v>106</v>
      </c>
      <c r="H281" s="12" t="str">
        <f t="shared" si="120"/>
        <v>SF</v>
      </c>
      <c r="I281" s="50" t="str">
        <f t="shared" si="117"/>
        <v>SF</v>
      </c>
      <c r="J281" s="50" t="str">
        <f t="shared" si="118"/>
        <v>F</v>
      </c>
      <c r="K281" s="64" t="str">
        <f t="shared" si="121"/>
        <v>Ilona Alaburda</v>
      </c>
      <c r="L281" s="64" t="str">
        <f t="shared" si="122"/>
        <v>Harold Wood Running Club</v>
      </c>
      <c r="M281" s="171">
        <v>0</v>
      </c>
      <c r="N281" s="178">
        <v>33</v>
      </c>
      <c r="O281" s="178">
        <v>40</v>
      </c>
      <c r="P281" s="138">
        <f t="shared" si="99"/>
        <v>0</v>
      </c>
      <c r="Q281" s="137">
        <f t="shared" si="100"/>
        <v>33</v>
      </c>
      <c r="R281" s="143"/>
      <c r="S281" s="143"/>
      <c r="T281" s="143"/>
      <c r="U281" s="144"/>
      <c r="V281" s="144"/>
      <c r="W281" s="144"/>
      <c r="X281" s="145"/>
      <c r="Y281" s="152" t="str">
        <f t="shared" si="101"/>
        <v xml:space="preserve">   33.40 </v>
      </c>
      <c r="Z281" s="136"/>
      <c r="AA281" s="50">
        <f t="shared" si="114"/>
        <v>30</v>
      </c>
      <c r="AB281" s="129">
        <f t="shared" si="115"/>
        <v>32326</v>
      </c>
      <c r="AC281" s="58" t="str">
        <f t="shared" si="102"/>
        <v/>
      </c>
      <c r="AD281" s="58" t="str">
        <f t="shared" si="103"/>
        <v>FHarold Wood Running Club</v>
      </c>
      <c r="AE281" s="60">
        <f>IF(AD281="","",COUNTIF($AD$2:AD281,AD281))</f>
        <v>10</v>
      </c>
      <c r="AF281" s="62">
        <f>IF(AD281="","",SUMIF(AD$2:AD281,AD281,G$2:G281))</f>
        <v>606</v>
      </c>
      <c r="AG281" s="62" t="str">
        <f>IF(AK281&lt;&gt;"",COUNTIF($AK$1:AK280,AK281)+AK281,IF(AL281&lt;&gt;"",COUNTIF($AL$1:AL280,AL281)+AL281,""))</f>
        <v/>
      </c>
      <c r="AH281" s="62" t="str">
        <f t="shared" si="104"/>
        <v>Harold Wood Running Club</v>
      </c>
      <c r="AI281" s="62" t="str">
        <f>IF(AND(J281="M", AH281&lt;&gt;"U/A",AE281=Prizewinners!$J$1),AF281,"")</f>
        <v/>
      </c>
      <c r="AJ281" s="58" t="str">
        <f>IF(AND(J281="F",  AH281&lt;&gt;"U/A",AE281=Prizewinners!$J$16),AF281,"")</f>
        <v/>
      </c>
      <c r="AK281" s="58" t="str">
        <f t="shared" si="105"/>
        <v/>
      </c>
      <c r="AL281" s="58" t="str">
        <f t="shared" si="106"/>
        <v/>
      </c>
      <c r="AM281" s="58" t="str">
        <f t="shared" si="107"/>
        <v>FHarold Wood Running Club10</v>
      </c>
      <c r="AN281" s="58" t="str">
        <f t="shared" si="108"/>
        <v/>
      </c>
      <c r="AO281" s="58" t="str">
        <f t="shared" si="109"/>
        <v/>
      </c>
      <c r="AP281" s="58" t="str">
        <f t="shared" si="110"/>
        <v/>
      </c>
      <c r="AQ281" s="58" t="str">
        <f t="shared" si="111"/>
        <v>Ilona Alaburda</v>
      </c>
    </row>
    <row r="282" spans="1:43" x14ac:dyDescent="0.25">
      <c r="A282" s="12" t="str">
        <f t="shared" si="97"/>
        <v>VF55,22</v>
      </c>
      <c r="B282" s="12" t="str">
        <f t="shared" si="98"/>
        <v>F,107</v>
      </c>
      <c r="C282" s="11">
        <f t="shared" si="119"/>
        <v>281</v>
      </c>
      <c r="D282" s="171">
        <v>485</v>
      </c>
      <c r="E282" s="12">
        <f t="shared" si="96"/>
        <v>1</v>
      </c>
      <c r="F282" s="12">
        <f>COUNTIF(H$2:H282,H282)</f>
        <v>22</v>
      </c>
      <c r="G282" s="12">
        <f>COUNTIF(J$2:J282,J282)</f>
        <v>107</v>
      </c>
      <c r="H282" s="12" t="str">
        <f t="shared" si="120"/>
        <v>VF55</v>
      </c>
      <c r="I282" s="50" t="str">
        <f t="shared" si="117"/>
        <v>VF55</v>
      </c>
      <c r="J282" s="50" t="str">
        <f t="shared" si="118"/>
        <v>F</v>
      </c>
      <c r="K282" s="64" t="str">
        <f t="shared" si="121"/>
        <v>jane evans</v>
      </c>
      <c r="L282" s="64" t="str">
        <f t="shared" si="122"/>
        <v>Havering 90 Joggers</v>
      </c>
      <c r="M282" s="171">
        <v>0</v>
      </c>
      <c r="N282" s="178">
        <v>34</v>
      </c>
      <c r="O282" s="178">
        <v>21</v>
      </c>
      <c r="P282" s="138">
        <f t="shared" si="99"/>
        <v>0</v>
      </c>
      <c r="Q282" s="137">
        <f t="shared" si="100"/>
        <v>34</v>
      </c>
      <c r="R282" s="143"/>
      <c r="S282" s="143"/>
      <c r="T282" s="143"/>
      <c r="U282" s="144"/>
      <c r="V282" s="144"/>
      <c r="W282" s="144"/>
      <c r="X282" s="145"/>
      <c r="Y282" s="152" t="str">
        <f t="shared" si="101"/>
        <v xml:space="preserve">   34.21 </v>
      </c>
      <c r="Z282" s="136"/>
      <c r="AA282" s="50">
        <f t="shared" si="114"/>
        <v>55</v>
      </c>
      <c r="AB282" s="129">
        <f t="shared" si="115"/>
        <v>22951</v>
      </c>
      <c r="AC282" s="58" t="str">
        <f t="shared" si="102"/>
        <v/>
      </c>
      <c r="AD282" s="58" t="str">
        <f t="shared" si="103"/>
        <v>FHavering 90 Joggers</v>
      </c>
      <c r="AE282" s="60">
        <f>IF(AD282="","",COUNTIF($AD$2:AD282,AD282))</f>
        <v>13</v>
      </c>
      <c r="AF282" s="62">
        <f>IF(AD282="","",SUMIF(AD$2:AD282,AD282,G$2:G282))</f>
        <v>1014</v>
      </c>
      <c r="AG282" s="62" t="str">
        <f>IF(AK282&lt;&gt;"",COUNTIF($AK$1:AK281,AK282)+AK282,IF(AL282&lt;&gt;"",COUNTIF($AL$1:AL281,AL282)+AL282,""))</f>
        <v/>
      </c>
      <c r="AH282" s="62" t="str">
        <f t="shared" si="104"/>
        <v>Havering 90 Joggers</v>
      </c>
      <c r="AI282" s="62" t="str">
        <f>IF(AND(J282="M", AH282&lt;&gt;"U/A",AE282=Prizewinners!$J$1),AF282,"")</f>
        <v/>
      </c>
      <c r="AJ282" s="58" t="str">
        <f>IF(AND(J282="F",  AH282&lt;&gt;"U/A",AE282=Prizewinners!$J$16),AF282,"")</f>
        <v/>
      </c>
      <c r="AK282" s="58" t="str">
        <f t="shared" si="105"/>
        <v/>
      </c>
      <c r="AL282" s="58" t="str">
        <f t="shared" si="106"/>
        <v/>
      </c>
      <c r="AM282" s="58" t="str">
        <f t="shared" si="107"/>
        <v>FHavering 90 Joggers13</v>
      </c>
      <c r="AN282" s="58" t="str">
        <f t="shared" si="108"/>
        <v/>
      </c>
      <c r="AO282" s="58" t="str">
        <f t="shared" si="109"/>
        <v/>
      </c>
      <c r="AP282" s="58" t="str">
        <f t="shared" si="110"/>
        <v/>
      </c>
      <c r="AQ282" s="58" t="str">
        <f t="shared" si="111"/>
        <v>jane evans</v>
      </c>
    </row>
    <row r="283" spans="1:43" x14ac:dyDescent="0.25">
      <c r="A283" s="12" t="str">
        <f t="shared" si="97"/>
        <v>VF55,23</v>
      </c>
      <c r="B283" s="12" t="str">
        <f t="shared" si="98"/>
        <v>F,108</v>
      </c>
      <c r="C283" s="11">
        <f t="shared" si="119"/>
        <v>282</v>
      </c>
      <c r="D283" s="171">
        <v>488</v>
      </c>
      <c r="E283" s="12">
        <f t="shared" si="96"/>
        <v>1</v>
      </c>
      <c r="F283" s="12">
        <f>COUNTIF(H$2:H283,H283)</f>
        <v>23</v>
      </c>
      <c r="G283" s="12">
        <f>COUNTIF(J$2:J283,J283)</f>
        <v>108</v>
      </c>
      <c r="H283" s="12" t="str">
        <f t="shared" si="120"/>
        <v>VF55</v>
      </c>
      <c r="I283" s="50" t="str">
        <f t="shared" si="117"/>
        <v>VF55</v>
      </c>
      <c r="J283" s="50" t="str">
        <f t="shared" si="118"/>
        <v>F</v>
      </c>
      <c r="K283" s="64" t="str">
        <f t="shared" si="121"/>
        <v>Susan Bushnell</v>
      </c>
      <c r="L283" s="64" t="str">
        <f t="shared" si="122"/>
        <v>East London Runners</v>
      </c>
      <c r="M283" s="171">
        <v>0</v>
      </c>
      <c r="N283" s="178">
        <v>34</v>
      </c>
      <c r="O283" s="178">
        <v>24</v>
      </c>
      <c r="P283" s="138">
        <f t="shared" si="99"/>
        <v>0</v>
      </c>
      <c r="Q283" s="137">
        <f t="shared" si="100"/>
        <v>34</v>
      </c>
      <c r="R283" s="143"/>
      <c r="S283" s="143"/>
      <c r="T283" s="143"/>
      <c r="U283" s="144"/>
      <c r="V283" s="144"/>
      <c r="W283" s="144"/>
      <c r="X283" s="145"/>
      <c r="Y283" s="152" t="str">
        <f t="shared" si="101"/>
        <v xml:space="preserve">   34.24 </v>
      </c>
      <c r="Z283" s="136"/>
      <c r="AA283" s="50">
        <f t="shared" si="114"/>
        <v>62</v>
      </c>
      <c r="AB283" s="129">
        <f t="shared" si="115"/>
        <v>20504</v>
      </c>
      <c r="AC283" s="58" t="str">
        <f t="shared" si="102"/>
        <v/>
      </c>
      <c r="AD283" s="58" t="str">
        <f t="shared" si="103"/>
        <v>FEast London Runners</v>
      </c>
      <c r="AE283" s="60">
        <f>IF(AD283="","",COUNTIF($AD$2:AD283,AD283))</f>
        <v>22</v>
      </c>
      <c r="AF283" s="62">
        <f>IF(AD283="","",SUMIF(AD$2:AD283,AD283,G$2:G283))</f>
        <v>1113</v>
      </c>
      <c r="AG283" s="62" t="str">
        <f>IF(AK283&lt;&gt;"",COUNTIF($AK$1:AK282,AK283)+AK283,IF(AL283&lt;&gt;"",COUNTIF($AL$1:AL282,AL283)+AL283,""))</f>
        <v/>
      </c>
      <c r="AH283" s="62" t="str">
        <f t="shared" si="104"/>
        <v>East London Runners</v>
      </c>
      <c r="AI283" s="62" t="str">
        <f>IF(AND(J283="M", AH283&lt;&gt;"U/A",AE283=Prizewinners!$J$1),AF283,"")</f>
        <v/>
      </c>
      <c r="AJ283" s="58" t="str">
        <f>IF(AND(J283="F",  AH283&lt;&gt;"U/A",AE283=Prizewinners!$J$16),AF283,"")</f>
        <v/>
      </c>
      <c r="AK283" s="58" t="str">
        <f t="shared" si="105"/>
        <v/>
      </c>
      <c r="AL283" s="58" t="str">
        <f t="shared" si="106"/>
        <v/>
      </c>
      <c r="AM283" s="58" t="str">
        <f t="shared" si="107"/>
        <v>FEast London Runners22</v>
      </c>
      <c r="AN283" s="58" t="str">
        <f t="shared" si="108"/>
        <v/>
      </c>
      <c r="AO283" s="58" t="str">
        <f t="shared" si="109"/>
        <v/>
      </c>
      <c r="AP283" s="58" t="str">
        <f t="shared" si="110"/>
        <v/>
      </c>
      <c r="AQ283" s="58" t="str">
        <f t="shared" si="111"/>
        <v>Susan Bushnell</v>
      </c>
    </row>
    <row r="284" spans="1:43" x14ac:dyDescent="0.25">
      <c r="A284" s="12" t="str">
        <f t="shared" si="97"/>
        <v>VM40,51</v>
      </c>
      <c r="B284" s="12" t="str">
        <f t="shared" si="98"/>
        <v>M,175</v>
      </c>
      <c r="C284" s="11">
        <f t="shared" si="119"/>
        <v>283</v>
      </c>
      <c r="D284" s="171">
        <v>83</v>
      </c>
      <c r="E284" s="12">
        <f t="shared" si="96"/>
        <v>1</v>
      </c>
      <c r="F284" s="12">
        <f>COUNTIF(H$2:H284,H284)</f>
        <v>51</v>
      </c>
      <c r="G284" s="12">
        <f>COUNTIF(J$2:J284,J284)</f>
        <v>175</v>
      </c>
      <c r="H284" s="12" t="str">
        <f t="shared" si="120"/>
        <v>VM40</v>
      </c>
      <c r="I284" s="50" t="str">
        <f t="shared" si="117"/>
        <v>VM40</v>
      </c>
      <c r="J284" s="50" t="str">
        <f t="shared" si="118"/>
        <v>M</v>
      </c>
      <c r="K284" s="64" t="str">
        <f t="shared" si="121"/>
        <v>Prabhakaran Sukumar</v>
      </c>
      <c r="L284" s="64" t="str">
        <f t="shared" si="122"/>
        <v>East London Runners</v>
      </c>
      <c r="M284" s="171">
        <v>0</v>
      </c>
      <c r="N284" s="178">
        <v>34</v>
      </c>
      <c r="O284" s="178">
        <v>26</v>
      </c>
      <c r="P284" s="138">
        <f t="shared" si="99"/>
        <v>0</v>
      </c>
      <c r="Q284" s="137">
        <f t="shared" si="100"/>
        <v>34</v>
      </c>
      <c r="R284" s="143"/>
      <c r="S284" s="143"/>
      <c r="T284" s="143"/>
      <c r="U284" s="144"/>
      <c r="V284" s="144"/>
      <c r="W284" s="144"/>
      <c r="X284" s="145"/>
      <c r="Y284" s="152" t="str">
        <f t="shared" si="101"/>
        <v xml:space="preserve">   34.26 </v>
      </c>
      <c r="Z284" s="136"/>
      <c r="AA284" s="50">
        <f t="shared" si="114"/>
        <v>48</v>
      </c>
      <c r="AB284" s="129">
        <f t="shared" si="115"/>
        <v>25677</v>
      </c>
      <c r="AC284" s="58" t="str">
        <f t="shared" si="102"/>
        <v/>
      </c>
      <c r="AD284" s="58" t="str">
        <f t="shared" si="103"/>
        <v>MEast London Runners</v>
      </c>
      <c r="AE284" s="60">
        <f>IF(AD284="","",COUNTIF($AD$2:AD284,AD284))</f>
        <v>49</v>
      </c>
      <c r="AF284" s="62">
        <f>IF(AD284="","",SUMIF(AD$2:AD284,AD284,G$2:G284))</f>
        <v>3650</v>
      </c>
      <c r="AG284" s="62" t="str">
        <f>IF(AK284&lt;&gt;"",COUNTIF($AK$1:AK283,AK284)+AK284,IF(AL284&lt;&gt;"",COUNTIF($AL$1:AL283,AL284)+AL284,""))</f>
        <v/>
      </c>
      <c r="AH284" s="62" t="str">
        <f t="shared" si="104"/>
        <v>East London Runners</v>
      </c>
      <c r="AI284" s="62" t="str">
        <f>IF(AND(J284="M", AH284&lt;&gt;"U/A",AE284=Prizewinners!$J$1),AF284,"")</f>
        <v/>
      </c>
      <c r="AJ284" s="58" t="str">
        <f>IF(AND(J284="F",  AH284&lt;&gt;"U/A",AE284=Prizewinners!$J$16),AF284,"")</f>
        <v/>
      </c>
      <c r="AK284" s="58" t="str">
        <f t="shared" si="105"/>
        <v/>
      </c>
      <c r="AL284" s="58" t="str">
        <f t="shared" si="106"/>
        <v/>
      </c>
      <c r="AM284" s="58" t="str">
        <f t="shared" si="107"/>
        <v>MEast London Runners49</v>
      </c>
      <c r="AN284" s="58" t="str">
        <f t="shared" si="108"/>
        <v/>
      </c>
      <c r="AO284" s="58" t="str">
        <f t="shared" si="109"/>
        <v/>
      </c>
      <c r="AP284" s="58" t="str">
        <f t="shared" si="110"/>
        <v/>
      </c>
      <c r="AQ284" s="58" t="str">
        <f t="shared" si="111"/>
        <v>Prabhakaran Sukumar</v>
      </c>
    </row>
    <row r="285" spans="1:43" x14ac:dyDescent="0.25">
      <c r="A285" s="12" t="str">
        <f t="shared" si="97"/>
        <v>VM70,5</v>
      </c>
      <c r="B285" s="12" t="str">
        <f t="shared" si="98"/>
        <v>M,176</v>
      </c>
      <c r="C285" s="11">
        <f t="shared" si="119"/>
        <v>284</v>
      </c>
      <c r="D285" s="171">
        <v>98</v>
      </c>
      <c r="E285" s="12">
        <f t="shared" si="96"/>
        <v>1</v>
      </c>
      <c r="F285" s="12">
        <f>COUNTIF(H$2:H285,H285)</f>
        <v>5</v>
      </c>
      <c r="G285" s="12">
        <f>COUNTIF(J$2:J285,J285)</f>
        <v>176</v>
      </c>
      <c r="H285" s="12" t="str">
        <f t="shared" si="120"/>
        <v>VM70</v>
      </c>
      <c r="I285" s="50" t="str">
        <f t="shared" si="117"/>
        <v>VM70</v>
      </c>
      <c r="J285" s="50" t="str">
        <f t="shared" si="118"/>
        <v>M</v>
      </c>
      <c r="K285" s="64" t="str">
        <f t="shared" si="121"/>
        <v>David Thurtle</v>
      </c>
      <c r="L285" s="64" t="str">
        <f t="shared" si="122"/>
        <v>East End Road Runners</v>
      </c>
      <c r="M285" s="171">
        <v>0</v>
      </c>
      <c r="N285" s="178">
        <v>34</v>
      </c>
      <c r="O285" s="178">
        <v>28</v>
      </c>
      <c r="P285" s="138">
        <f t="shared" si="99"/>
        <v>0</v>
      </c>
      <c r="Q285" s="137">
        <f t="shared" si="100"/>
        <v>34</v>
      </c>
      <c r="R285" s="143"/>
      <c r="S285" s="143"/>
      <c r="T285" s="143"/>
      <c r="U285" s="144"/>
      <c r="V285" s="144"/>
      <c r="W285" s="144"/>
      <c r="X285" s="145"/>
      <c r="Y285" s="152" t="str">
        <f t="shared" si="101"/>
        <v xml:space="preserve">   34.28 </v>
      </c>
      <c r="Z285" s="136"/>
      <c r="AA285" s="50">
        <f t="shared" si="114"/>
        <v>77</v>
      </c>
      <c r="AB285" s="129">
        <f t="shared" si="115"/>
        <v>15132</v>
      </c>
      <c r="AC285" s="58" t="str">
        <f t="shared" si="102"/>
        <v/>
      </c>
      <c r="AD285" s="58" t="str">
        <f t="shared" si="103"/>
        <v>MEast End Road Runners</v>
      </c>
      <c r="AE285" s="60">
        <f>IF(AD285="","",COUNTIF($AD$2:AD285,AD285))</f>
        <v>17</v>
      </c>
      <c r="AF285" s="62">
        <f>IF(AD285="","",SUMIF(AD$2:AD285,AD285,G$2:G285))</f>
        <v>1771</v>
      </c>
      <c r="AG285" s="62" t="str">
        <f>IF(AK285&lt;&gt;"",COUNTIF($AK$1:AK284,AK285)+AK285,IF(AL285&lt;&gt;"",COUNTIF($AL$1:AL284,AL285)+AL285,""))</f>
        <v/>
      </c>
      <c r="AH285" s="62" t="str">
        <f t="shared" si="104"/>
        <v>East End Road Runners</v>
      </c>
      <c r="AI285" s="62" t="str">
        <f>IF(AND(J285="M", AH285&lt;&gt;"U/A",AE285=Prizewinners!$J$1),AF285,"")</f>
        <v/>
      </c>
      <c r="AJ285" s="58" t="str">
        <f>IF(AND(J285="F",  AH285&lt;&gt;"U/A",AE285=Prizewinners!$J$16),AF285,"")</f>
        <v/>
      </c>
      <c r="AK285" s="58" t="str">
        <f t="shared" si="105"/>
        <v/>
      </c>
      <c r="AL285" s="58" t="str">
        <f t="shared" si="106"/>
        <v/>
      </c>
      <c r="AM285" s="58" t="str">
        <f t="shared" si="107"/>
        <v>MEast End Road Runners17</v>
      </c>
      <c r="AN285" s="58" t="str">
        <f t="shared" si="108"/>
        <v/>
      </c>
      <c r="AO285" s="58" t="str">
        <f t="shared" si="109"/>
        <v/>
      </c>
      <c r="AP285" s="58" t="str">
        <f t="shared" si="110"/>
        <v/>
      </c>
      <c r="AQ285" s="58" t="str">
        <f t="shared" si="111"/>
        <v>David Thurtle</v>
      </c>
    </row>
    <row r="286" spans="1:43" x14ac:dyDescent="0.25">
      <c r="A286" s="12" t="str">
        <f t="shared" si="97"/>
        <v>VM50,35</v>
      </c>
      <c r="B286" s="12" t="str">
        <f t="shared" si="98"/>
        <v>M,177</v>
      </c>
      <c r="C286" s="11">
        <f t="shared" si="119"/>
        <v>285</v>
      </c>
      <c r="D286" s="171">
        <v>395</v>
      </c>
      <c r="E286" s="12">
        <f t="shared" si="96"/>
        <v>1</v>
      </c>
      <c r="F286" s="12">
        <f>COUNTIF(H$2:H286,H286)</f>
        <v>35</v>
      </c>
      <c r="G286" s="12">
        <f>COUNTIF(J$2:J286,J286)</f>
        <v>177</v>
      </c>
      <c r="H286" s="12" t="str">
        <f t="shared" si="120"/>
        <v>VM50</v>
      </c>
      <c r="I286" s="50" t="str">
        <f t="shared" si="117"/>
        <v>VM50</v>
      </c>
      <c r="J286" s="50" t="str">
        <f t="shared" si="118"/>
        <v>M</v>
      </c>
      <c r="K286" s="64" t="str">
        <f t="shared" si="121"/>
        <v>Don Bennett</v>
      </c>
      <c r="L286" s="64" t="str">
        <f t="shared" si="122"/>
        <v>East London Runners</v>
      </c>
      <c r="M286" s="171">
        <v>0</v>
      </c>
      <c r="N286" s="178">
        <v>35</v>
      </c>
      <c r="O286" s="178">
        <v>24</v>
      </c>
      <c r="P286" s="138">
        <f t="shared" si="99"/>
        <v>0</v>
      </c>
      <c r="Q286" s="137">
        <f t="shared" si="100"/>
        <v>35</v>
      </c>
      <c r="R286" s="143"/>
      <c r="S286" s="143"/>
      <c r="T286" s="143"/>
      <c r="U286" s="144"/>
      <c r="V286" s="144"/>
      <c r="W286" s="144"/>
      <c r="X286" s="145"/>
      <c r="Y286" s="152" t="str">
        <f t="shared" si="101"/>
        <v xml:space="preserve">   35.24 </v>
      </c>
      <c r="Z286" s="136"/>
      <c r="AA286" s="50">
        <f t="shared" si="114"/>
        <v>59</v>
      </c>
      <c r="AB286" s="129">
        <f t="shared" si="115"/>
        <v>21555</v>
      </c>
      <c r="AC286" s="58" t="str">
        <f t="shared" si="102"/>
        <v/>
      </c>
      <c r="AD286" s="58" t="str">
        <f t="shared" si="103"/>
        <v>MEast London Runners</v>
      </c>
      <c r="AE286" s="60">
        <f>IF(AD286="","",COUNTIF($AD$2:AD286,AD286))</f>
        <v>50</v>
      </c>
      <c r="AF286" s="62">
        <f>IF(AD286="","",SUMIF(AD$2:AD286,AD286,G$2:G286))</f>
        <v>3827</v>
      </c>
      <c r="AG286" s="62" t="str">
        <f>IF(AK286&lt;&gt;"",COUNTIF($AK$1:AK285,AK286)+AK286,IF(AL286&lt;&gt;"",COUNTIF($AL$1:AL285,AL286)+AL286,""))</f>
        <v/>
      </c>
      <c r="AH286" s="62" t="str">
        <f t="shared" si="104"/>
        <v>East London Runners</v>
      </c>
      <c r="AI286" s="62" t="str">
        <f>IF(AND(J286="M", AH286&lt;&gt;"U/A",AE286=Prizewinners!$J$1),AF286,"")</f>
        <v/>
      </c>
      <c r="AJ286" s="58" t="str">
        <f>IF(AND(J286="F",  AH286&lt;&gt;"U/A",AE286=Prizewinners!$J$16),AF286,"")</f>
        <v/>
      </c>
      <c r="AK286" s="58" t="str">
        <f t="shared" si="105"/>
        <v/>
      </c>
      <c r="AL286" s="58" t="str">
        <f t="shared" si="106"/>
        <v/>
      </c>
      <c r="AM286" s="58" t="str">
        <f t="shared" si="107"/>
        <v>MEast London Runners50</v>
      </c>
      <c r="AN286" s="58" t="str">
        <f t="shared" si="108"/>
        <v/>
      </c>
      <c r="AO286" s="58" t="str">
        <f t="shared" si="109"/>
        <v/>
      </c>
      <c r="AP286" s="58" t="str">
        <f t="shared" si="110"/>
        <v/>
      </c>
      <c r="AQ286" s="58" t="str">
        <f t="shared" si="111"/>
        <v>Don Bennett</v>
      </c>
    </row>
    <row r="287" spans="1:43" x14ac:dyDescent="0.25">
      <c r="A287" s="12" t="str">
        <f t="shared" si="97"/>
        <v>VM40,52</v>
      </c>
      <c r="B287" s="12" t="str">
        <f t="shared" si="98"/>
        <v>M,178</v>
      </c>
      <c r="C287" s="11">
        <f t="shared" si="119"/>
        <v>286</v>
      </c>
      <c r="D287" s="171">
        <v>137</v>
      </c>
      <c r="E287" s="12">
        <f t="shared" si="96"/>
        <v>1</v>
      </c>
      <c r="F287" s="12">
        <f>COUNTIF(H$2:H287,H287)</f>
        <v>52</v>
      </c>
      <c r="G287" s="12">
        <f>COUNTIF(J$2:J287,J287)</f>
        <v>178</v>
      </c>
      <c r="H287" s="12" t="str">
        <f t="shared" si="120"/>
        <v>VM40</v>
      </c>
      <c r="I287" s="50" t="str">
        <f t="shared" si="117"/>
        <v>VM40</v>
      </c>
      <c r="J287" s="50" t="str">
        <f t="shared" si="118"/>
        <v>M</v>
      </c>
      <c r="K287" s="64" t="str">
        <f t="shared" si="121"/>
        <v>Yogesh Patel</v>
      </c>
      <c r="L287" s="64" t="str">
        <f t="shared" si="122"/>
        <v>East End Road Runners</v>
      </c>
      <c r="M287" s="171">
        <v>0</v>
      </c>
      <c r="N287" s="178">
        <v>35</v>
      </c>
      <c r="O287" s="178">
        <v>40</v>
      </c>
      <c r="P287" s="138">
        <f t="shared" si="99"/>
        <v>0</v>
      </c>
      <c r="Q287" s="137">
        <f t="shared" si="100"/>
        <v>35</v>
      </c>
      <c r="R287" s="143"/>
      <c r="S287" s="143"/>
      <c r="T287" s="143"/>
      <c r="U287" s="144"/>
      <c r="V287" s="144"/>
      <c r="W287" s="144"/>
      <c r="X287" s="145"/>
      <c r="Y287" s="152" t="str">
        <f t="shared" si="101"/>
        <v xml:space="preserve">   35.40 </v>
      </c>
      <c r="Z287" s="136"/>
      <c r="AA287" s="50">
        <f t="shared" si="114"/>
        <v>46</v>
      </c>
      <c r="AB287" s="129">
        <f t="shared" si="115"/>
        <v>26475</v>
      </c>
      <c r="AC287" s="58" t="str">
        <f t="shared" si="102"/>
        <v/>
      </c>
      <c r="AD287" s="58" t="str">
        <f t="shared" si="103"/>
        <v>MEast End Road Runners</v>
      </c>
      <c r="AE287" s="60">
        <f>IF(AD287="","",COUNTIF($AD$2:AD287,AD287))</f>
        <v>18</v>
      </c>
      <c r="AF287" s="62">
        <f>IF(AD287="","",SUMIF(AD$2:AD287,AD287,G$2:G287))</f>
        <v>1949</v>
      </c>
      <c r="AG287" s="62" t="str">
        <f>IF(AK287&lt;&gt;"",COUNTIF($AK$1:AK286,AK287)+AK287,IF(AL287&lt;&gt;"",COUNTIF($AL$1:AL286,AL287)+AL287,""))</f>
        <v/>
      </c>
      <c r="AH287" s="62" t="str">
        <f t="shared" si="104"/>
        <v>East End Road Runners</v>
      </c>
      <c r="AI287" s="62" t="str">
        <f>IF(AND(J287="M", AH287&lt;&gt;"U/A",AE287=Prizewinners!$J$1),AF287,"")</f>
        <v/>
      </c>
      <c r="AJ287" s="58" t="str">
        <f>IF(AND(J287="F",  AH287&lt;&gt;"U/A",AE287=Prizewinners!$J$16),AF287,"")</f>
        <v/>
      </c>
      <c r="AK287" s="58" t="str">
        <f t="shared" si="105"/>
        <v/>
      </c>
      <c r="AL287" s="58" t="str">
        <f t="shared" si="106"/>
        <v/>
      </c>
      <c r="AM287" s="58" t="str">
        <f t="shared" si="107"/>
        <v>MEast End Road Runners18</v>
      </c>
      <c r="AN287" s="58" t="str">
        <f t="shared" si="108"/>
        <v/>
      </c>
      <c r="AO287" s="58" t="str">
        <f t="shared" si="109"/>
        <v/>
      </c>
      <c r="AP287" s="58" t="str">
        <f t="shared" si="110"/>
        <v/>
      </c>
      <c r="AQ287" s="58" t="str">
        <f t="shared" si="111"/>
        <v>Yogesh Patel</v>
      </c>
    </row>
    <row r="288" spans="1:43" x14ac:dyDescent="0.25">
      <c r="A288" s="12" t="str">
        <f t="shared" si="97"/>
        <v>VF55,24</v>
      </c>
      <c r="B288" s="12" t="str">
        <f t="shared" si="98"/>
        <v>F,109</v>
      </c>
      <c r="C288" s="11">
        <f t="shared" si="119"/>
        <v>287</v>
      </c>
      <c r="D288" s="171">
        <v>364</v>
      </c>
      <c r="E288" s="12">
        <f t="shared" si="96"/>
        <v>1</v>
      </c>
      <c r="F288" s="12">
        <f>COUNTIF(H$2:H288,H288)</f>
        <v>24</v>
      </c>
      <c r="G288" s="12">
        <f>COUNTIF(J$2:J288,J288)</f>
        <v>109</v>
      </c>
      <c r="H288" s="12" t="str">
        <f t="shared" si="120"/>
        <v>VF55</v>
      </c>
      <c r="I288" s="50" t="str">
        <f t="shared" si="117"/>
        <v>VF55</v>
      </c>
      <c r="J288" s="50" t="str">
        <f t="shared" si="118"/>
        <v>F</v>
      </c>
      <c r="K288" s="64" t="str">
        <f t="shared" si="121"/>
        <v>Joy McCormack</v>
      </c>
      <c r="L288" s="64" t="str">
        <f t="shared" si="122"/>
        <v>Eton Manor AC</v>
      </c>
      <c r="M288" s="171">
        <v>0</v>
      </c>
      <c r="N288" s="178">
        <v>35</v>
      </c>
      <c r="O288" s="178">
        <v>49</v>
      </c>
      <c r="P288" s="138">
        <f t="shared" si="99"/>
        <v>0</v>
      </c>
      <c r="Q288" s="137">
        <f t="shared" si="100"/>
        <v>35</v>
      </c>
      <c r="R288" s="143"/>
      <c r="S288" s="143"/>
      <c r="T288" s="143"/>
      <c r="U288" s="144"/>
      <c r="V288" s="144"/>
      <c r="W288" s="144"/>
      <c r="X288" s="145"/>
      <c r="Y288" s="152" t="str">
        <f t="shared" si="101"/>
        <v xml:space="preserve">   35.49 </v>
      </c>
      <c r="Z288" s="136"/>
      <c r="AA288" s="50">
        <f t="shared" si="114"/>
        <v>58</v>
      </c>
      <c r="AB288" s="129">
        <f t="shared" si="115"/>
        <v>21959</v>
      </c>
      <c r="AC288" s="58" t="str">
        <f t="shared" si="102"/>
        <v/>
      </c>
      <c r="AD288" s="58" t="str">
        <f t="shared" si="103"/>
        <v>FEton Manor AC</v>
      </c>
      <c r="AE288" s="60">
        <f>IF(AD288="","",COUNTIF($AD$2:AD288,AD288))</f>
        <v>14</v>
      </c>
      <c r="AF288" s="62">
        <f>IF(AD288="","",SUMIF(AD$2:AD288,AD288,G$2:G288))</f>
        <v>734</v>
      </c>
      <c r="AG288" s="62" t="str">
        <f>IF(AK288&lt;&gt;"",COUNTIF($AK$1:AK287,AK288)+AK288,IF(AL288&lt;&gt;"",COUNTIF($AL$1:AL287,AL288)+AL288,""))</f>
        <v/>
      </c>
      <c r="AH288" s="62" t="str">
        <f t="shared" si="104"/>
        <v>Eton Manor AC</v>
      </c>
      <c r="AI288" s="62" t="str">
        <f>IF(AND(J288="M", AH288&lt;&gt;"U/A",AE288=Prizewinners!$J$1),AF288,"")</f>
        <v/>
      </c>
      <c r="AJ288" s="58" t="str">
        <f>IF(AND(J288="F",  AH288&lt;&gt;"U/A",AE288=Prizewinners!$J$16),AF288,"")</f>
        <v/>
      </c>
      <c r="AK288" s="58" t="str">
        <f t="shared" si="105"/>
        <v/>
      </c>
      <c r="AL288" s="58" t="str">
        <f t="shared" si="106"/>
        <v/>
      </c>
      <c r="AM288" s="58" t="str">
        <f t="shared" si="107"/>
        <v>FEton Manor AC14</v>
      </c>
      <c r="AN288" s="58" t="str">
        <f t="shared" si="108"/>
        <v/>
      </c>
      <c r="AO288" s="58" t="str">
        <f t="shared" si="109"/>
        <v/>
      </c>
      <c r="AP288" s="58" t="str">
        <f t="shared" si="110"/>
        <v/>
      </c>
      <c r="AQ288" s="58" t="str">
        <f t="shared" si="111"/>
        <v>Joy McCormack</v>
      </c>
    </row>
    <row r="289" spans="1:43" x14ac:dyDescent="0.25">
      <c r="A289" s="12" t="str">
        <f t="shared" si="97"/>
        <v>VM70,6</v>
      </c>
      <c r="B289" s="12" t="str">
        <f t="shared" si="98"/>
        <v>M,179</v>
      </c>
      <c r="C289" s="11">
        <f t="shared" si="119"/>
        <v>288</v>
      </c>
      <c r="D289" s="171">
        <v>465</v>
      </c>
      <c r="E289" s="12">
        <f t="shared" si="96"/>
        <v>1</v>
      </c>
      <c r="F289" s="12">
        <f>COUNTIF(H$2:H289,H289)</f>
        <v>6</v>
      </c>
      <c r="G289" s="12">
        <f>COUNTIF(J$2:J289,J289)</f>
        <v>179</v>
      </c>
      <c r="H289" s="12" t="str">
        <f t="shared" si="120"/>
        <v>VM70</v>
      </c>
      <c r="I289" s="50" t="str">
        <f t="shared" si="117"/>
        <v>VM70</v>
      </c>
      <c r="J289" s="50" t="str">
        <f t="shared" si="118"/>
        <v>M</v>
      </c>
      <c r="K289" s="64" t="str">
        <f t="shared" si="121"/>
        <v>ray shaw</v>
      </c>
      <c r="L289" s="64" t="str">
        <f t="shared" si="122"/>
        <v>Havering 90 Joggers</v>
      </c>
      <c r="M289" s="171">
        <v>0</v>
      </c>
      <c r="N289" s="178">
        <v>35</v>
      </c>
      <c r="O289" s="178">
        <v>50</v>
      </c>
      <c r="P289" s="138">
        <f t="shared" si="99"/>
        <v>0</v>
      </c>
      <c r="Q289" s="137">
        <f t="shared" si="100"/>
        <v>35</v>
      </c>
      <c r="R289" s="143"/>
      <c r="S289" s="143"/>
      <c r="T289" s="143"/>
      <c r="U289" s="144"/>
      <c r="V289" s="144"/>
      <c r="W289" s="144"/>
      <c r="X289" s="145"/>
      <c r="Y289" s="152" t="str">
        <f t="shared" si="101"/>
        <v xml:space="preserve">   35.50 </v>
      </c>
      <c r="Z289" s="136"/>
      <c r="AA289" s="50">
        <f t="shared" si="114"/>
        <v>75</v>
      </c>
      <c r="AB289" s="129">
        <f t="shared" si="115"/>
        <v>15750</v>
      </c>
      <c r="AC289" s="58" t="str">
        <f t="shared" si="102"/>
        <v/>
      </c>
      <c r="AD289" s="58" t="str">
        <f t="shared" si="103"/>
        <v>MHavering 90 Joggers</v>
      </c>
      <c r="AE289" s="60">
        <f>IF(AD289="","",COUNTIF($AD$2:AD289,AD289))</f>
        <v>15</v>
      </c>
      <c r="AF289" s="62">
        <f>IF(AD289="","",SUMIF(AD$2:AD289,AD289,G$2:G289))</f>
        <v>1926</v>
      </c>
      <c r="AG289" s="62" t="str">
        <f>IF(AK289&lt;&gt;"",COUNTIF($AK$1:AK288,AK289)+AK289,IF(AL289&lt;&gt;"",COUNTIF($AL$1:AL288,AL289)+AL289,""))</f>
        <v/>
      </c>
      <c r="AH289" s="62" t="str">
        <f t="shared" si="104"/>
        <v>Havering 90 Joggers</v>
      </c>
      <c r="AI289" s="62" t="str">
        <f>IF(AND(J289="M", AH289&lt;&gt;"U/A",AE289=Prizewinners!$J$1),AF289,"")</f>
        <v/>
      </c>
      <c r="AJ289" s="58" t="str">
        <f>IF(AND(J289="F",  AH289&lt;&gt;"U/A",AE289=Prizewinners!$J$16),AF289,"")</f>
        <v/>
      </c>
      <c r="AK289" s="58" t="str">
        <f t="shared" si="105"/>
        <v/>
      </c>
      <c r="AL289" s="58" t="str">
        <f t="shared" si="106"/>
        <v/>
      </c>
      <c r="AM289" s="58" t="str">
        <f t="shared" si="107"/>
        <v>MHavering 90 Joggers15</v>
      </c>
      <c r="AN289" s="58" t="str">
        <f t="shared" si="108"/>
        <v/>
      </c>
      <c r="AO289" s="58" t="str">
        <f t="shared" si="109"/>
        <v/>
      </c>
      <c r="AP289" s="58" t="str">
        <f t="shared" si="110"/>
        <v/>
      </c>
      <c r="AQ289" s="58" t="str">
        <f t="shared" si="111"/>
        <v>ray shaw</v>
      </c>
    </row>
    <row r="290" spans="1:43" x14ac:dyDescent="0.25">
      <c r="A290" s="12" t="str">
        <f t="shared" si="97"/>
        <v>VF55,25</v>
      </c>
      <c r="B290" s="12" t="str">
        <f t="shared" si="98"/>
        <v>F,110</v>
      </c>
      <c r="C290" s="11">
        <f t="shared" si="119"/>
        <v>289</v>
      </c>
      <c r="D290" s="171">
        <v>494</v>
      </c>
      <c r="E290" s="12">
        <f t="shared" si="96"/>
        <v>1</v>
      </c>
      <c r="F290" s="12">
        <f>COUNTIF(H$2:H290,H290)</f>
        <v>25</v>
      </c>
      <c r="G290" s="12">
        <f>COUNTIF(J$2:J290,J290)</f>
        <v>110</v>
      </c>
      <c r="H290" s="12" t="str">
        <f t="shared" si="120"/>
        <v>VF55</v>
      </c>
      <c r="I290" s="50" t="str">
        <f t="shared" si="117"/>
        <v>VF55</v>
      </c>
      <c r="J290" s="50" t="str">
        <f t="shared" si="118"/>
        <v>F</v>
      </c>
      <c r="K290" s="64" t="str">
        <f t="shared" si="121"/>
        <v>Vinodini Patel</v>
      </c>
      <c r="L290" s="64" t="str">
        <f t="shared" si="122"/>
        <v>East End Road Runners</v>
      </c>
      <c r="M290" s="171">
        <v>0</v>
      </c>
      <c r="N290" s="178">
        <v>35</v>
      </c>
      <c r="O290" s="178">
        <v>53</v>
      </c>
      <c r="P290" s="138">
        <f t="shared" si="99"/>
        <v>0</v>
      </c>
      <c r="Q290" s="137">
        <f t="shared" si="100"/>
        <v>35</v>
      </c>
      <c r="R290" s="143"/>
      <c r="S290" s="143"/>
      <c r="T290" s="143"/>
      <c r="U290" s="144"/>
      <c r="V290" s="144"/>
      <c r="W290" s="144"/>
      <c r="X290" s="145"/>
      <c r="Y290" s="152" t="str">
        <f t="shared" si="101"/>
        <v xml:space="preserve">   35.53 </v>
      </c>
      <c r="Z290" s="136"/>
      <c r="AA290" s="50">
        <f t="shared" si="114"/>
        <v>57</v>
      </c>
      <c r="AB290" s="129">
        <f t="shared" si="115"/>
        <v>22163</v>
      </c>
      <c r="AC290" s="58" t="str">
        <f t="shared" si="102"/>
        <v/>
      </c>
      <c r="AD290" s="58" t="str">
        <f t="shared" si="103"/>
        <v>FEast End Road Runners</v>
      </c>
      <c r="AE290" s="60">
        <f>IF(AD290="","",COUNTIF($AD$2:AD290,AD290))</f>
        <v>11</v>
      </c>
      <c r="AF290" s="62">
        <f>IF(AD290="","",SUMIF(AD$2:AD290,AD290,G$2:G290))</f>
        <v>775</v>
      </c>
      <c r="AG290" s="62" t="str">
        <f>IF(AK290&lt;&gt;"",COUNTIF($AK$1:AK289,AK290)+AK290,IF(AL290&lt;&gt;"",COUNTIF($AL$1:AL289,AL290)+AL290,""))</f>
        <v/>
      </c>
      <c r="AH290" s="62" t="str">
        <f t="shared" si="104"/>
        <v>East End Road Runners</v>
      </c>
      <c r="AI290" s="62" t="str">
        <f>IF(AND(J290="M", AH290&lt;&gt;"U/A",AE290=Prizewinners!$J$1),AF290,"")</f>
        <v/>
      </c>
      <c r="AJ290" s="58" t="str">
        <f>IF(AND(J290="F",  AH290&lt;&gt;"U/A",AE290=Prizewinners!$J$16),AF290,"")</f>
        <v/>
      </c>
      <c r="AK290" s="58" t="str">
        <f t="shared" si="105"/>
        <v/>
      </c>
      <c r="AL290" s="58" t="str">
        <f t="shared" si="106"/>
        <v/>
      </c>
      <c r="AM290" s="58" t="str">
        <f t="shared" si="107"/>
        <v>FEast End Road Runners11</v>
      </c>
      <c r="AN290" s="58" t="str">
        <f t="shared" si="108"/>
        <v/>
      </c>
      <c r="AO290" s="58" t="str">
        <f t="shared" si="109"/>
        <v/>
      </c>
      <c r="AP290" s="58" t="str">
        <f t="shared" si="110"/>
        <v/>
      </c>
      <c r="AQ290" s="58" t="str">
        <f t="shared" si="111"/>
        <v>Vinodini Patel</v>
      </c>
    </row>
    <row r="291" spans="1:43" x14ac:dyDescent="0.25">
      <c r="A291" s="12" t="str">
        <f t="shared" si="97"/>
        <v>VF35,30</v>
      </c>
      <c r="B291" s="12" t="str">
        <f t="shared" si="98"/>
        <v>F,111</v>
      </c>
      <c r="C291" s="11">
        <f t="shared" si="119"/>
        <v>290</v>
      </c>
      <c r="D291" s="171">
        <v>462</v>
      </c>
      <c r="E291" s="12">
        <f t="shared" si="96"/>
        <v>1</v>
      </c>
      <c r="F291" s="12">
        <f>COUNTIF(H$2:H291,H291)</f>
        <v>30</v>
      </c>
      <c r="G291" s="12">
        <f>COUNTIF(J$2:J291,J291)</f>
        <v>111</v>
      </c>
      <c r="H291" s="12" t="str">
        <f t="shared" si="120"/>
        <v>VF35</v>
      </c>
      <c r="I291" s="50" t="str">
        <f t="shared" si="117"/>
        <v>VF35</v>
      </c>
      <c r="J291" s="50" t="str">
        <f t="shared" si="118"/>
        <v>F</v>
      </c>
      <c r="K291" s="64" t="str">
        <f t="shared" si="121"/>
        <v>Katy Taylor</v>
      </c>
      <c r="L291" s="64" t="str">
        <f t="shared" si="122"/>
        <v>East London Runners</v>
      </c>
      <c r="M291" s="171">
        <v>0</v>
      </c>
      <c r="N291" s="178">
        <v>36</v>
      </c>
      <c r="O291" s="178">
        <v>0</v>
      </c>
      <c r="P291" s="138">
        <f t="shared" si="99"/>
        <v>0</v>
      </c>
      <c r="Q291" s="137">
        <f t="shared" si="100"/>
        <v>36</v>
      </c>
      <c r="R291" s="143"/>
      <c r="S291" s="143"/>
      <c r="T291" s="143"/>
      <c r="U291" s="144"/>
      <c r="V291" s="144"/>
      <c r="W291" s="144"/>
      <c r="X291" s="145"/>
      <c r="Y291" s="152" t="str">
        <f t="shared" si="101"/>
        <v xml:space="preserve">   36.00 </v>
      </c>
      <c r="Z291" s="136"/>
      <c r="AA291" s="50">
        <f t="shared" si="114"/>
        <v>44</v>
      </c>
      <c r="AB291" s="129">
        <f t="shared" si="115"/>
        <v>27116</v>
      </c>
      <c r="AC291" s="58" t="str">
        <f t="shared" si="102"/>
        <v/>
      </c>
      <c r="AD291" s="58" t="str">
        <f t="shared" si="103"/>
        <v>FEast London Runners</v>
      </c>
      <c r="AE291" s="60">
        <f>IF(AD291="","",COUNTIF($AD$2:AD291,AD291))</f>
        <v>23</v>
      </c>
      <c r="AF291" s="62">
        <f>IF(AD291="","",SUMIF(AD$2:AD291,AD291,G$2:G291))</f>
        <v>1224</v>
      </c>
      <c r="AG291" s="62" t="str">
        <f>IF(AK291&lt;&gt;"",COUNTIF($AK$1:AK290,AK291)+AK291,IF(AL291&lt;&gt;"",COUNTIF($AL$1:AL290,AL291)+AL291,""))</f>
        <v/>
      </c>
      <c r="AH291" s="62" t="str">
        <f t="shared" si="104"/>
        <v>East London Runners</v>
      </c>
      <c r="AI291" s="62" t="str">
        <f>IF(AND(J291="M", AH291&lt;&gt;"U/A",AE291=Prizewinners!$J$1),AF291,"")</f>
        <v/>
      </c>
      <c r="AJ291" s="58" t="str">
        <f>IF(AND(J291="F",  AH291&lt;&gt;"U/A",AE291=Prizewinners!$J$16),AF291,"")</f>
        <v/>
      </c>
      <c r="AK291" s="58" t="str">
        <f t="shared" si="105"/>
        <v/>
      </c>
      <c r="AL291" s="58" t="str">
        <f t="shared" si="106"/>
        <v/>
      </c>
      <c r="AM291" s="58" t="str">
        <f t="shared" si="107"/>
        <v>FEast London Runners23</v>
      </c>
      <c r="AN291" s="58" t="str">
        <f t="shared" si="108"/>
        <v/>
      </c>
      <c r="AO291" s="58" t="str">
        <f t="shared" si="109"/>
        <v/>
      </c>
      <c r="AP291" s="58" t="str">
        <f t="shared" si="110"/>
        <v/>
      </c>
      <c r="AQ291" s="58" t="str">
        <f t="shared" si="111"/>
        <v>Katy Taylor</v>
      </c>
    </row>
    <row r="292" spans="1:43" x14ac:dyDescent="0.25">
      <c r="A292" s="12" t="str">
        <f t="shared" si="97"/>
        <v>VM50,36</v>
      </c>
      <c r="B292" s="12" t="str">
        <f t="shared" si="98"/>
        <v>M,180</v>
      </c>
      <c r="C292" s="11">
        <f t="shared" si="119"/>
        <v>291</v>
      </c>
      <c r="D292" s="171">
        <v>54</v>
      </c>
      <c r="E292" s="12">
        <f t="shared" si="96"/>
        <v>1</v>
      </c>
      <c r="F292" s="12">
        <f>COUNTIF(H$2:H292,H292)</f>
        <v>36</v>
      </c>
      <c r="G292" s="12">
        <f>COUNTIF(J$2:J292,J292)</f>
        <v>180</v>
      </c>
      <c r="H292" s="12" t="str">
        <f t="shared" si="120"/>
        <v>VM50</v>
      </c>
      <c r="I292" s="50" t="str">
        <f t="shared" si="117"/>
        <v>VM50</v>
      </c>
      <c r="J292" s="50" t="str">
        <f t="shared" si="118"/>
        <v>M</v>
      </c>
      <c r="K292" s="64" t="str">
        <f t="shared" si="121"/>
        <v>Lee Davis</v>
      </c>
      <c r="L292" s="64" t="str">
        <f t="shared" si="122"/>
        <v>Dagenham 88 Runners</v>
      </c>
      <c r="M292" s="171">
        <v>0</v>
      </c>
      <c r="N292" s="178">
        <v>36</v>
      </c>
      <c r="O292" s="178">
        <v>34</v>
      </c>
      <c r="P292" s="138">
        <f t="shared" si="99"/>
        <v>0</v>
      </c>
      <c r="Q292" s="137">
        <f t="shared" si="100"/>
        <v>36</v>
      </c>
      <c r="R292" s="143"/>
      <c r="S292" s="143"/>
      <c r="T292" s="143"/>
      <c r="U292" s="144"/>
      <c r="V292" s="144"/>
      <c r="W292" s="144"/>
      <c r="X292" s="145"/>
      <c r="Y292" s="152" t="str">
        <f t="shared" si="101"/>
        <v xml:space="preserve">   36.34 </v>
      </c>
      <c r="Z292" s="136"/>
      <c r="AA292" s="50">
        <f t="shared" si="114"/>
        <v>50</v>
      </c>
      <c r="AB292" s="129">
        <f t="shared" si="115"/>
        <v>24732</v>
      </c>
      <c r="AC292" s="58" t="str">
        <f t="shared" si="102"/>
        <v/>
      </c>
      <c r="AD292" s="58" t="str">
        <f t="shared" si="103"/>
        <v>MDagenham 88 Runners</v>
      </c>
      <c r="AE292" s="60">
        <f>IF(AD292="","",COUNTIF($AD$2:AD292,AD292))</f>
        <v>14</v>
      </c>
      <c r="AF292" s="62">
        <f>IF(AD292="","",SUMIF(AD$2:AD292,AD292,G$2:G292))</f>
        <v>1763</v>
      </c>
      <c r="AG292" s="62" t="str">
        <f>IF(AK292&lt;&gt;"",COUNTIF($AK$1:AK291,AK292)+AK292,IF(AL292&lt;&gt;"",COUNTIF($AL$1:AL291,AL292)+AL292,""))</f>
        <v/>
      </c>
      <c r="AH292" s="62" t="str">
        <f t="shared" si="104"/>
        <v>Dagenham 88 Runners</v>
      </c>
      <c r="AI292" s="62" t="str">
        <f>IF(AND(J292="M", AH292&lt;&gt;"U/A",AE292=Prizewinners!$J$1),AF292,"")</f>
        <v/>
      </c>
      <c r="AJ292" s="58" t="str">
        <f>IF(AND(J292="F",  AH292&lt;&gt;"U/A",AE292=Prizewinners!$J$16),AF292,"")</f>
        <v/>
      </c>
      <c r="AK292" s="58" t="str">
        <f t="shared" si="105"/>
        <v/>
      </c>
      <c r="AL292" s="58" t="str">
        <f t="shared" si="106"/>
        <v/>
      </c>
      <c r="AM292" s="58" t="str">
        <f t="shared" si="107"/>
        <v>MDagenham 88 Runners14</v>
      </c>
      <c r="AN292" s="58" t="str">
        <f t="shared" si="108"/>
        <v/>
      </c>
      <c r="AO292" s="58" t="str">
        <f t="shared" si="109"/>
        <v/>
      </c>
      <c r="AP292" s="58" t="str">
        <f t="shared" si="110"/>
        <v/>
      </c>
      <c r="AQ292" s="58" t="str">
        <f t="shared" si="111"/>
        <v>Lee Davis</v>
      </c>
    </row>
    <row r="293" spans="1:43" x14ac:dyDescent="0.25">
      <c r="A293" s="12" t="str">
        <f t="shared" si="97"/>
        <v>VF55,26</v>
      </c>
      <c r="B293" s="12" t="str">
        <f t="shared" si="98"/>
        <v>F,112</v>
      </c>
      <c r="C293" s="11">
        <f t="shared" si="119"/>
        <v>292</v>
      </c>
      <c r="D293" s="171">
        <v>120</v>
      </c>
      <c r="E293" s="12">
        <f t="shared" si="96"/>
        <v>1</v>
      </c>
      <c r="F293" s="12">
        <f>COUNTIF(H$2:H293,H293)</f>
        <v>26</v>
      </c>
      <c r="G293" s="12">
        <f>COUNTIF(J$2:J293,J293)</f>
        <v>112</v>
      </c>
      <c r="H293" s="12" t="str">
        <f t="shared" si="120"/>
        <v>VF55</v>
      </c>
      <c r="I293" s="50" t="str">
        <f t="shared" si="117"/>
        <v>VF55</v>
      </c>
      <c r="J293" s="50" t="str">
        <f t="shared" si="118"/>
        <v>F</v>
      </c>
      <c r="K293" s="64" t="str">
        <f t="shared" si="121"/>
        <v>Julie Cardnell</v>
      </c>
      <c r="L293" s="64" t="str">
        <f t="shared" si="122"/>
        <v>Dagenham 88 Runners</v>
      </c>
      <c r="M293" s="171">
        <v>0</v>
      </c>
      <c r="N293" s="178">
        <v>37</v>
      </c>
      <c r="O293" s="178">
        <v>38</v>
      </c>
      <c r="P293" s="138">
        <f t="shared" si="99"/>
        <v>0</v>
      </c>
      <c r="Q293" s="137">
        <f t="shared" si="100"/>
        <v>37</v>
      </c>
      <c r="R293" s="143"/>
      <c r="S293" s="143"/>
      <c r="T293" s="143"/>
      <c r="U293" s="144"/>
      <c r="V293" s="144"/>
      <c r="W293" s="144"/>
      <c r="X293" s="145"/>
      <c r="Y293" s="152" t="str">
        <f t="shared" si="101"/>
        <v xml:space="preserve">   37.38 </v>
      </c>
      <c r="Z293" s="136"/>
      <c r="AA293" s="50">
        <f t="shared" si="114"/>
        <v>58</v>
      </c>
      <c r="AB293" s="129">
        <f t="shared" si="115"/>
        <v>22140</v>
      </c>
      <c r="AC293" s="58" t="str">
        <f t="shared" si="102"/>
        <v/>
      </c>
      <c r="AD293" s="58" t="str">
        <f t="shared" si="103"/>
        <v>FDagenham 88 Runners</v>
      </c>
      <c r="AE293" s="60">
        <f>IF(AD293="","",COUNTIF($AD$2:AD293,AD293))</f>
        <v>9</v>
      </c>
      <c r="AF293" s="62">
        <f>IF(AD293="","",SUMIF(AD$2:AD293,AD293,G$2:G293))</f>
        <v>696</v>
      </c>
      <c r="AG293" s="62" t="str">
        <f>IF(AK293&lt;&gt;"",COUNTIF($AK$1:AK292,AK293)+AK293,IF(AL293&lt;&gt;"",COUNTIF($AL$1:AL292,AL293)+AL293,""))</f>
        <v/>
      </c>
      <c r="AH293" s="62" t="str">
        <f t="shared" si="104"/>
        <v>Dagenham 88 Runners</v>
      </c>
      <c r="AI293" s="62" t="str">
        <f>IF(AND(J293="M", AH293&lt;&gt;"U/A",AE293=Prizewinners!$J$1),AF293,"")</f>
        <v/>
      </c>
      <c r="AJ293" s="58" t="str">
        <f>IF(AND(J293="F",  AH293&lt;&gt;"U/A",AE293=Prizewinners!$J$16),AF293,"")</f>
        <v/>
      </c>
      <c r="AK293" s="58" t="str">
        <f t="shared" si="105"/>
        <v/>
      </c>
      <c r="AL293" s="58" t="str">
        <f t="shared" si="106"/>
        <v/>
      </c>
      <c r="AM293" s="58" t="str">
        <f t="shared" si="107"/>
        <v>FDagenham 88 Runners9</v>
      </c>
      <c r="AN293" s="58" t="str">
        <f t="shared" si="108"/>
        <v/>
      </c>
      <c r="AO293" s="58" t="str">
        <f t="shared" si="109"/>
        <v/>
      </c>
      <c r="AP293" s="58" t="str">
        <f t="shared" si="110"/>
        <v/>
      </c>
      <c r="AQ293" s="58" t="str">
        <f t="shared" si="111"/>
        <v>Julie Cardnell</v>
      </c>
    </row>
    <row r="294" spans="1:43" x14ac:dyDescent="0.25">
      <c r="A294" s="12" t="str">
        <f t="shared" si="97"/>
        <v>VF65,3</v>
      </c>
      <c r="B294" s="12" t="str">
        <f t="shared" si="98"/>
        <v>F,113</v>
      </c>
      <c r="C294" s="11">
        <f t="shared" si="119"/>
        <v>293</v>
      </c>
      <c r="D294" s="171">
        <v>125</v>
      </c>
      <c r="E294" s="12">
        <f t="shared" si="96"/>
        <v>1</v>
      </c>
      <c r="F294" s="12">
        <f>COUNTIF(H$2:H294,H294)</f>
        <v>3</v>
      </c>
      <c r="G294" s="12">
        <f>COUNTIF(J$2:J294,J294)</f>
        <v>113</v>
      </c>
      <c r="H294" s="12" t="str">
        <f t="shared" si="120"/>
        <v>VF65</v>
      </c>
      <c r="I294" s="50" t="str">
        <f t="shared" si="117"/>
        <v>VF65</v>
      </c>
      <c r="J294" s="50" t="str">
        <f t="shared" si="118"/>
        <v>F</v>
      </c>
      <c r="K294" s="64" t="str">
        <f t="shared" si="121"/>
        <v>Veronica Waller</v>
      </c>
      <c r="L294" s="64" t="str">
        <f t="shared" si="122"/>
        <v>Dagenham 88 Runners</v>
      </c>
      <c r="M294" s="171">
        <v>0</v>
      </c>
      <c r="N294" s="178">
        <v>37</v>
      </c>
      <c r="O294" s="178">
        <v>39</v>
      </c>
      <c r="P294" s="138">
        <f t="shared" si="99"/>
        <v>0</v>
      </c>
      <c r="Q294" s="137">
        <f t="shared" si="100"/>
        <v>37</v>
      </c>
      <c r="R294" s="143"/>
      <c r="S294" s="143"/>
      <c r="T294" s="143"/>
      <c r="U294" s="144"/>
      <c r="V294" s="144"/>
      <c r="W294" s="144"/>
      <c r="X294" s="145"/>
      <c r="Y294" s="152" t="str">
        <f t="shared" si="101"/>
        <v xml:space="preserve">   37.39 </v>
      </c>
      <c r="Z294" s="136"/>
      <c r="AA294" s="50">
        <f t="shared" si="114"/>
        <v>66</v>
      </c>
      <c r="AB294" s="129">
        <f t="shared" si="115"/>
        <v>19218</v>
      </c>
      <c r="AC294" s="58" t="str">
        <f t="shared" si="102"/>
        <v/>
      </c>
      <c r="AD294" s="58" t="str">
        <f t="shared" si="103"/>
        <v>FDagenham 88 Runners</v>
      </c>
      <c r="AE294" s="60">
        <f>IF(AD294="","",COUNTIF($AD$2:AD294,AD294))</f>
        <v>10</v>
      </c>
      <c r="AF294" s="62">
        <f>IF(AD294="","",SUMIF(AD$2:AD294,AD294,G$2:G294))</f>
        <v>809</v>
      </c>
      <c r="AG294" s="62" t="str">
        <f>IF(AK294&lt;&gt;"",COUNTIF($AK$1:AK293,AK294)+AK294,IF(AL294&lt;&gt;"",COUNTIF($AL$1:AL293,AL294)+AL294,""))</f>
        <v/>
      </c>
      <c r="AH294" s="62" t="str">
        <f t="shared" si="104"/>
        <v>Dagenham 88 Runners</v>
      </c>
      <c r="AI294" s="62" t="str">
        <f>IF(AND(J294="M", AH294&lt;&gt;"U/A",AE294=Prizewinners!$J$1),AF294,"")</f>
        <v/>
      </c>
      <c r="AJ294" s="58" t="str">
        <f>IF(AND(J294="F",  AH294&lt;&gt;"U/A",AE294=Prizewinners!$J$16),AF294,"")</f>
        <v/>
      </c>
      <c r="AK294" s="58" t="str">
        <f t="shared" si="105"/>
        <v/>
      </c>
      <c r="AL294" s="58" t="str">
        <f t="shared" si="106"/>
        <v/>
      </c>
      <c r="AM294" s="58" t="str">
        <f t="shared" si="107"/>
        <v>FDagenham 88 Runners10</v>
      </c>
      <c r="AN294" s="58" t="str">
        <f t="shared" si="108"/>
        <v/>
      </c>
      <c r="AO294" s="58" t="str">
        <f t="shared" si="109"/>
        <v/>
      </c>
      <c r="AP294" s="58" t="str">
        <f t="shared" si="110"/>
        <v/>
      </c>
      <c r="AQ294" s="58" t="str">
        <f t="shared" si="111"/>
        <v>Veronica Waller</v>
      </c>
    </row>
    <row r="295" spans="1:43" x14ac:dyDescent="0.25">
      <c r="A295" s="12" t="str">
        <f t="shared" si="97"/>
        <v>SF,19</v>
      </c>
      <c r="B295" s="12" t="str">
        <f t="shared" si="98"/>
        <v>F,114</v>
      </c>
      <c r="C295" s="11">
        <f t="shared" si="119"/>
        <v>294</v>
      </c>
      <c r="D295" s="171">
        <v>348</v>
      </c>
      <c r="E295" s="12">
        <f t="shared" si="96"/>
        <v>1</v>
      </c>
      <c r="F295" s="12">
        <f>COUNTIF(H$2:H295,H295)</f>
        <v>19</v>
      </c>
      <c r="G295" s="12">
        <f>COUNTIF(J$2:J295,J295)</f>
        <v>114</v>
      </c>
      <c r="H295" s="12" t="str">
        <f t="shared" si="120"/>
        <v>SF</v>
      </c>
      <c r="I295" s="50" t="str">
        <f t="shared" si="117"/>
        <v>SF</v>
      </c>
      <c r="J295" s="50" t="str">
        <f t="shared" si="118"/>
        <v>F</v>
      </c>
      <c r="K295" s="64" t="str">
        <f t="shared" si="121"/>
        <v>Samia Choudhury</v>
      </c>
      <c r="L295" s="64" t="str">
        <f t="shared" si="122"/>
        <v>East London Runners</v>
      </c>
      <c r="M295" s="171">
        <v>0</v>
      </c>
      <c r="N295" s="178">
        <v>37</v>
      </c>
      <c r="O295" s="178">
        <v>42</v>
      </c>
      <c r="P295" s="138">
        <f t="shared" si="99"/>
        <v>0</v>
      </c>
      <c r="Q295" s="137">
        <f t="shared" si="100"/>
        <v>37</v>
      </c>
      <c r="R295" s="143"/>
      <c r="S295" s="143"/>
      <c r="T295" s="143"/>
      <c r="U295" s="144"/>
      <c r="V295" s="144"/>
      <c r="W295" s="144"/>
      <c r="X295" s="145"/>
      <c r="Y295" s="152" t="str">
        <f t="shared" si="101"/>
        <v xml:space="preserve">   37.42 </v>
      </c>
      <c r="Z295" s="136"/>
      <c r="AA295" s="50">
        <f t="shared" si="114"/>
        <v>28</v>
      </c>
      <c r="AB295" s="129">
        <f t="shared" si="115"/>
        <v>32906</v>
      </c>
      <c r="AC295" s="58" t="str">
        <f t="shared" si="102"/>
        <v/>
      </c>
      <c r="AD295" s="58" t="str">
        <f t="shared" si="103"/>
        <v>FEast London Runners</v>
      </c>
      <c r="AE295" s="60">
        <f>IF(AD295="","",COUNTIF($AD$2:AD295,AD295))</f>
        <v>24</v>
      </c>
      <c r="AF295" s="62">
        <f>IF(AD295="","",SUMIF(AD$2:AD295,AD295,G$2:G295))</f>
        <v>1338</v>
      </c>
      <c r="AG295" s="62" t="str">
        <f>IF(AK295&lt;&gt;"",COUNTIF($AK$1:AK294,AK295)+AK295,IF(AL295&lt;&gt;"",COUNTIF($AL$1:AL294,AL295)+AL295,""))</f>
        <v/>
      </c>
      <c r="AH295" s="62" t="str">
        <f t="shared" si="104"/>
        <v>East London Runners</v>
      </c>
      <c r="AI295" s="62" t="str">
        <f>IF(AND(J295="M", AH295&lt;&gt;"U/A",AE295=Prizewinners!$J$1),AF295,"")</f>
        <v/>
      </c>
      <c r="AJ295" s="58" t="str">
        <f>IF(AND(J295="F",  AH295&lt;&gt;"U/A",AE295=Prizewinners!$J$16),AF295,"")</f>
        <v/>
      </c>
      <c r="AK295" s="58" t="str">
        <f t="shared" si="105"/>
        <v/>
      </c>
      <c r="AL295" s="58" t="str">
        <f t="shared" si="106"/>
        <v/>
      </c>
      <c r="AM295" s="58" t="str">
        <f t="shared" si="107"/>
        <v>FEast London Runners24</v>
      </c>
      <c r="AN295" s="58" t="str">
        <f t="shared" si="108"/>
        <v/>
      </c>
      <c r="AO295" s="58" t="str">
        <f t="shared" si="109"/>
        <v/>
      </c>
      <c r="AP295" s="58" t="str">
        <f t="shared" si="110"/>
        <v/>
      </c>
      <c r="AQ295" s="58" t="str">
        <f t="shared" si="111"/>
        <v>Samia Choudhury</v>
      </c>
    </row>
    <row r="296" spans="1:43" x14ac:dyDescent="0.25">
      <c r="A296" s="12" t="str">
        <f t="shared" si="97"/>
        <v>VF45,34</v>
      </c>
      <c r="B296" s="12" t="str">
        <f t="shared" si="98"/>
        <v>F,115</v>
      </c>
      <c r="C296" s="11">
        <f t="shared" si="119"/>
        <v>295</v>
      </c>
      <c r="D296" s="171">
        <v>372</v>
      </c>
      <c r="E296" s="12">
        <f t="shared" si="96"/>
        <v>1</v>
      </c>
      <c r="F296" s="12">
        <f>COUNTIF(H$2:H296,H296)</f>
        <v>34</v>
      </c>
      <c r="G296" s="12">
        <f>COUNTIF(J$2:J296,J296)</f>
        <v>115</v>
      </c>
      <c r="H296" s="12" t="str">
        <f t="shared" si="120"/>
        <v>VF45</v>
      </c>
      <c r="I296" s="50" t="str">
        <f t="shared" si="117"/>
        <v>VF45</v>
      </c>
      <c r="J296" s="50" t="str">
        <f t="shared" si="118"/>
        <v>F</v>
      </c>
      <c r="K296" s="64" t="str">
        <f t="shared" si="121"/>
        <v>Ali Sheppard</v>
      </c>
      <c r="L296" s="64" t="str">
        <f t="shared" si="122"/>
        <v>Eton Manor AC</v>
      </c>
      <c r="M296" s="171">
        <v>0</v>
      </c>
      <c r="N296" s="178">
        <v>37</v>
      </c>
      <c r="O296" s="178">
        <v>44</v>
      </c>
      <c r="P296" s="138">
        <f t="shared" si="99"/>
        <v>0</v>
      </c>
      <c r="Q296" s="137">
        <f t="shared" si="100"/>
        <v>37</v>
      </c>
      <c r="R296" s="143"/>
      <c r="S296" s="143"/>
      <c r="T296" s="143"/>
      <c r="U296" s="144"/>
      <c r="V296" s="144"/>
      <c r="W296" s="144"/>
      <c r="X296" s="145"/>
      <c r="Y296" s="152" t="str">
        <f t="shared" si="101"/>
        <v xml:space="preserve">   37.44 </v>
      </c>
      <c r="Z296" s="136"/>
      <c r="AA296" s="50">
        <f t="shared" si="114"/>
        <v>54</v>
      </c>
      <c r="AB296" s="129">
        <f t="shared" si="115"/>
        <v>23290</v>
      </c>
      <c r="AC296" s="58" t="str">
        <f t="shared" si="102"/>
        <v/>
      </c>
      <c r="AD296" s="58" t="str">
        <f t="shared" si="103"/>
        <v>FEton Manor AC</v>
      </c>
      <c r="AE296" s="60">
        <f>IF(AD296="","",COUNTIF($AD$2:AD296,AD296))</f>
        <v>15</v>
      </c>
      <c r="AF296" s="62">
        <f>IF(AD296="","",SUMIF(AD$2:AD296,AD296,G$2:G296))</f>
        <v>849</v>
      </c>
      <c r="AG296" s="62" t="str">
        <f>IF(AK296&lt;&gt;"",COUNTIF($AK$1:AK295,AK296)+AK296,IF(AL296&lt;&gt;"",COUNTIF($AL$1:AL295,AL296)+AL296,""))</f>
        <v/>
      </c>
      <c r="AH296" s="62" t="str">
        <f t="shared" si="104"/>
        <v>Eton Manor AC</v>
      </c>
      <c r="AI296" s="62" t="str">
        <f>IF(AND(J296="M", AH296&lt;&gt;"U/A",AE296=Prizewinners!$J$1),AF296,"")</f>
        <v/>
      </c>
      <c r="AJ296" s="58" t="str">
        <f>IF(AND(J296="F",  AH296&lt;&gt;"U/A",AE296=Prizewinners!$J$16),AF296,"")</f>
        <v/>
      </c>
      <c r="AK296" s="58" t="str">
        <f t="shared" si="105"/>
        <v/>
      </c>
      <c r="AL296" s="58" t="str">
        <f t="shared" si="106"/>
        <v/>
      </c>
      <c r="AM296" s="58" t="str">
        <f t="shared" si="107"/>
        <v>FEton Manor AC15</v>
      </c>
      <c r="AN296" s="58" t="str">
        <f t="shared" si="108"/>
        <v/>
      </c>
      <c r="AO296" s="58" t="str">
        <f t="shared" si="109"/>
        <v/>
      </c>
      <c r="AP296" s="58" t="str">
        <f t="shared" si="110"/>
        <v/>
      </c>
      <c r="AQ296" s="58" t="str">
        <f t="shared" si="111"/>
        <v>Ali Sheppard</v>
      </c>
    </row>
    <row r="297" spans="1:43" x14ac:dyDescent="0.25">
      <c r="A297" s="12" t="str">
        <f t="shared" si="97"/>
        <v>VF35,31</v>
      </c>
      <c r="B297" s="12" t="str">
        <f t="shared" si="98"/>
        <v>F,116</v>
      </c>
      <c r="C297" s="11">
        <f t="shared" si="119"/>
        <v>296</v>
      </c>
      <c r="D297" s="171">
        <v>394</v>
      </c>
      <c r="E297" s="12">
        <f t="shared" si="96"/>
        <v>1</v>
      </c>
      <c r="F297" s="12">
        <f>COUNTIF(H$2:H297,H297)</f>
        <v>31</v>
      </c>
      <c r="G297" s="12">
        <f>COUNTIF(J$2:J297,J297)</f>
        <v>116</v>
      </c>
      <c r="H297" s="12" t="str">
        <f t="shared" si="120"/>
        <v>VF35</v>
      </c>
      <c r="I297" s="50" t="str">
        <f t="shared" si="117"/>
        <v>VF35</v>
      </c>
      <c r="J297" s="50" t="str">
        <f t="shared" si="118"/>
        <v>F</v>
      </c>
      <c r="K297" s="64" t="str">
        <f t="shared" si="121"/>
        <v>Nuray Shoukri</v>
      </c>
      <c r="L297" s="64" t="str">
        <f t="shared" si="122"/>
        <v>East End Road Runners</v>
      </c>
      <c r="M297" s="171">
        <v>0</v>
      </c>
      <c r="N297" s="178">
        <v>38</v>
      </c>
      <c r="O297" s="178">
        <v>21</v>
      </c>
      <c r="P297" s="138">
        <f t="shared" si="99"/>
        <v>0</v>
      </c>
      <c r="Q297" s="137">
        <f t="shared" si="100"/>
        <v>38</v>
      </c>
      <c r="R297" s="143"/>
      <c r="S297" s="143"/>
      <c r="T297" s="143"/>
      <c r="U297" s="144"/>
      <c r="V297" s="144"/>
      <c r="W297" s="144"/>
      <c r="X297" s="145"/>
      <c r="Y297" s="152" t="str">
        <f t="shared" si="101"/>
        <v xml:space="preserve">   38.21 </v>
      </c>
      <c r="Z297" s="136"/>
      <c r="AA297" s="50">
        <f t="shared" si="114"/>
        <v>39</v>
      </c>
      <c r="AB297" s="129">
        <f t="shared" si="115"/>
        <v>29021</v>
      </c>
      <c r="AC297" s="58" t="str">
        <f t="shared" si="102"/>
        <v/>
      </c>
      <c r="AD297" s="58" t="str">
        <f t="shared" si="103"/>
        <v>FEast End Road Runners</v>
      </c>
      <c r="AE297" s="60">
        <f>IF(AD297="","",COUNTIF($AD$2:AD297,AD297))</f>
        <v>12</v>
      </c>
      <c r="AF297" s="62">
        <f>IF(AD297="","",SUMIF(AD$2:AD297,AD297,G$2:G297))</f>
        <v>891</v>
      </c>
      <c r="AG297" s="62" t="str">
        <f>IF(AK297&lt;&gt;"",COUNTIF($AK$1:AK296,AK297)+AK297,IF(AL297&lt;&gt;"",COUNTIF($AL$1:AL296,AL297)+AL297,""))</f>
        <v/>
      </c>
      <c r="AH297" s="62" t="str">
        <f t="shared" si="104"/>
        <v>East End Road Runners</v>
      </c>
      <c r="AI297" s="62" t="str">
        <f>IF(AND(J297="M", AH297&lt;&gt;"U/A",AE297=Prizewinners!$J$1),AF297,"")</f>
        <v/>
      </c>
      <c r="AJ297" s="58" t="str">
        <f>IF(AND(J297="F",  AH297&lt;&gt;"U/A",AE297=Prizewinners!$J$16),AF297,"")</f>
        <v/>
      </c>
      <c r="AK297" s="58" t="str">
        <f t="shared" si="105"/>
        <v/>
      </c>
      <c r="AL297" s="58" t="str">
        <f t="shared" si="106"/>
        <v/>
      </c>
      <c r="AM297" s="58" t="str">
        <f t="shared" si="107"/>
        <v>FEast End Road Runners12</v>
      </c>
      <c r="AN297" s="58" t="str">
        <f t="shared" si="108"/>
        <v/>
      </c>
      <c r="AO297" s="58" t="str">
        <f t="shared" si="109"/>
        <v/>
      </c>
      <c r="AP297" s="58" t="str">
        <f t="shared" si="110"/>
        <v/>
      </c>
      <c r="AQ297" s="58" t="str">
        <f t="shared" si="111"/>
        <v>Nuray Shoukri</v>
      </c>
    </row>
    <row r="298" spans="1:43" x14ac:dyDescent="0.25">
      <c r="A298" s="12" t="str">
        <f t="shared" si="97"/>
        <v>VF45,35</v>
      </c>
      <c r="B298" s="12" t="str">
        <f t="shared" si="98"/>
        <v>F,117</v>
      </c>
      <c r="C298" s="11">
        <f t="shared" si="119"/>
        <v>297</v>
      </c>
      <c r="D298" s="171">
        <v>443</v>
      </c>
      <c r="E298" s="12">
        <f t="shared" si="96"/>
        <v>1</v>
      </c>
      <c r="F298" s="12">
        <f>COUNTIF(H$2:H298,H298)</f>
        <v>35</v>
      </c>
      <c r="G298" s="12">
        <f>COUNTIF(J$2:J298,J298)</f>
        <v>117</v>
      </c>
      <c r="H298" s="12" t="str">
        <f t="shared" si="120"/>
        <v>VF45</v>
      </c>
      <c r="I298" s="50" t="str">
        <f t="shared" si="117"/>
        <v>VF45</v>
      </c>
      <c r="J298" s="50" t="str">
        <f t="shared" si="118"/>
        <v>F</v>
      </c>
      <c r="K298" s="64" t="str">
        <f t="shared" si="121"/>
        <v>Donna Ball</v>
      </c>
      <c r="L298" s="64" t="str">
        <f t="shared" si="122"/>
        <v>Harold Wood Running Club</v>
      </c>
      <c r="M298" s="171">
        <v>0</v>
      </c>
      <c r="N298" s="178">
        <v>40</v>
      </c>
      <c r="O298" s="178">
        <v>23</v>
      </c>
      <c r="P298" s="138">
        <f t="shared" si="99"/>
        <v>0</v>
      </c>
      <c r="Q298" s="137">
        <f t="shared" si="100"/>
        <v>40</v>
      </c>
      <c r="R298" s="143"/>
      <c r="S298" s="143"/>
      <c r="T298" s="143"/>
      <c r="U298" s="144"/>
      <c r="V298" s="144"/>
      <c r="W298" s="144"/>
      <c r="X298" s="145"/>
      <c r="Y298" s="152" t="str">
        <f t="shared" si="101"/>
        <v xml:space="preserve">   40.23 </v>
      </c>
      <c r="Z298" s="136"/>
      <c r="AA298" s="50">
        <f t="shared" si="114"/>
        <v>45</v>
      </c>
      <c r="AB298" s="129">
        <f t="shared" si="115"/>
        <v>26781</v>
      </c>
      <c r="AC298" s="58" t="str">
        <f t="shared" si="102"/>
        <v/>
      </c>
      <c r="AD298" s="58" t="str">
        <f t="shared" si="103"/>
        <v>FHarold Wood Running Club</v>
      </c>
      <c r="AE298" s="60">
        <f>IF(AD298="","",COUNTIF($AD$2:AD298,AD298))</f>
        <v>11</v>
      </c>
      <c r="AF298" s="62">
        <f>IF(AD298="","",SUMIF(AD$2:AD298,AD298,G$2:G298))</f>
        <v>723</v>
      </c>
      <c r="AG298" s="62" t="str">
        <f>IF(AK298&lt;&gt;"",COUNTIF($AK$1:AK297,AK298)+AK298,IF(AL298&lt;&gt;"",COUNTIF($AL$1:AL297,AL298)+AL298,""))</f>
        <v/>
      </c>
      <c r="AH298" s="62" t="str">
        <f t="shared" si="104"/>
        <v>Harold Wood Running Club</v>
      </c>
      <c r="AI298" s="62" t="str">
        <f>IF(AND(J298="M", AH298&lt;&gt;"U/A",AE298=Prizewinners!$J$1),AF298,"")</f>
        <v/>
      </c>
      <c r="AJ298" s="58" t="str">
        <f>IF(AND(J298="F",  AH298&lt;&gt;"U/A",AE298=Prizewinners!$J$16),AF298,"")</f>
        <v/>
      </c>
      <c r="AK298" s="58" t="str">
        <f t="shared" si="105"/>
        <v/>
      </c>
      <c r="AL298" s="58" t="str">
        <f t="shared" si="106"/>
        <v/>
      </c>
      <c r="AM298" s="58" t="str">
        <f t="shared" si="107"/>
        <v>FHarold Wood Running Club11</v>
      </c>
      <c r="AN298" s="58" t="str">
        <f t="shared" si="108"/>
        <v/>
      </c>
      <c r="AO298" s="58" t="str">
        <f t="shared" si="109"/>
        <v/>
      </c>
      <c r="AP298" s="58" t="str">
        <f t="shared" si="110"/>
        <v/>
      </c>
      <c r="AQ298" s="58" t="str">
        <f t="shared" si="111"/>
        <v>Donna Ball</v>
      </c>
    </row>
    <row r="299" spans="1:43" x14ac:dyDescent="0.25">
      <c r="A299" s="12" t="str">
        <f t="shared" si="97"/>
        <v>SF,20</v>
      </c>
      <c r="B299" s="12" t="str">
        <f t="shared" si="98"/>
        <v>F,118</v>
      </c>
      <c r="C299" s="11">
        <f t="shared" si="119"/>
        <v>298</v>
      </c>
      <c r="D299" s="171">
        <v>410</v>
      </c>
      <c r="E299" s="12">
        <f t="shared" si="96"/>
        <v>1</v>
      </c>
      <c r="F299" s="12">
        <f>COUNTIF(H$2:H299,H299)</f>
        <v>20</v>
      </c>
      <c r="G299" s="12">
        <f>COUNTIF(J$2:J299,J299)</f>
        <v>118</v>
      </c>
      <c r="H299" s="12" t="str">
        <f t="shared" si="120"/>
        <v>SF</v>
      </c>
      <c r="I299" s="50" t="str">
        <f t="shared" si="117"/>
        <v>SF</v>
      </c>
      <c r="J299" s="50" t="str">
        <f t="shared" si="118"/>
        <v>F</v>
      </c>
      <c r="K299" s="64" t="str">
        <f t="shared" si="121"/>
        <v>Brooke Stephenson</v>
      </c>
      <c r="L299" s="64" t="str">
        <f t="shared" si="122"/>
        <v>East London Runners</v>
      </c>
      <c r="M299" s="171">
        <v>0</v>
      </c>
      <c r="N299" s="178">
        <v>40</v>
      </c>
      <c r="O299" s="178">
        <v>30</v>
      </c>
      <c r="P299" s="138">
        <f t="shared" si="99"/>
        <v>0</v>
      </c>
      <c r="Q299" s="137">
        <f t="shared" si="100"/>
        <v>40</v>
      </c>
      <c r="R299" s="143"/>
      <c r="S299" s="143"/>
      <c r="T299" s="143"/>
      <c r="U299" s="144"/>
      <c r="V299" s="144"/>
      <c r="W299" s="144"/>
      <c r="X299" s="145"/>
      <c r="Y299" s="152" t="str">
        <f t="shared" si="101"/>
        <v xml:space="preserve">   40.30 </v>
      </c>
      <c r="Z299" s="136"/>
      <c r="AA299" s="50">
        <f t="shared" si="114"/>
        <v>32</v>
      </c>
      <c r="AB299" s="129">
        <f t="shared" si="115"/>
        <v>31313</v>
      </c>
      <c r="AC299" s="58" t="str">
        <f t="shared" si="102"/>
        <v/>
      </c>
      <c r="AD299" s="58" t="str">
        <f t="shared" si="103"/>
        <v>FEast London Runners</v>
      </c>
      <c r="AE299" s="60">
        <f>IF(AD299="","",COUNTIF($AD$2:AD299,AD299))</f>
        <v>25</v>
      </c>
      <c r="AF299" s="62">
        <f>IF(AD299="","",SUMIF(AD$2:AD299,AD299,G$2:G299))</f>
        <v>1456</v>
      </c>
      <c r="AG299" s="62" t="str">
        <f>IF(AK299&lt;&gt;"",COUNTIF($AK$1:AK298,AK299)+AK299,IF(AL299&lt;&gt;"",COUNTIF($AL$1:AL298,AL299)+AL299,""))</f>
        <v/>
      </c>
      <c r="AH299" s="62" t="str">
        <f t="shared" si="104"/>
        <v>East London Runners</v>
      </c>
      <c r="AI299" s="62" t="str">
        <f>IF(AND(J299="M", AH299&lt;&gt;"U/A",AE299=Prizewinners!$J$1),AF299,"")</f>
        <v/>
      </c>
      <c r="AJ299" s="58" t="str">
        <f>IF(AND(J299="F",  AH299&lt;&gt;"U/A",AE299=Prizewinners!$J$16),AF299,"")</f>
        <v/>
      </c>
      <c r="AK299" s="58" t="str">
        <f t="shared" si="105"/>
        <v/>
      </c>
      <c r="AL299" s="58" t="str">
        <f t="shared" si="106"/>
        <v/>
      </c>
      <c r="AM299" s="58" t="str">
        <f t="shared" si="107"/>
        <v>FEast London Runners25</v>
      </c>
      <c r="AN299" s="58" t="str">
        <f t="shared" si="108"/>
        <v/>
      </c>
      <c r="AO299" s="58" t="str">
        <f t="shared" si="109"/>
        <v/>
      </c>
      <c r="AP299" s="58" t="str">
        <f t="shared" si="110"/>
        <v/>
      </c>
      <c r="AQ299" s="58" t="str">
        <f t="shared" si="111"/>
        <v>Brooke Stephenson</v>
      </c>
    </row>
    <row r="300" spans="1:43" x14ac:dyDescent="0.25">
      <c r="A300" s="12" t="str">
        <f t="shared" si="97"/>
        <v>VM70,7</v>
      </c>
      <c r="B300" s="12" t="str">
        <f t="shared" si="98"/>
        <v>M,181</v>
      </c>
      <c r="C300" s="11">
        <f t="shared" si="119"/>
        <v>299</v>
      </c>
      <c r="D300" s="171">
        <v>422</v>
      </c>
      <c r="E300" s="12">
        <f t="shared" si="96"/>
        <v>1</v>
      </c>
      <c r="F300" s="12">
        <f>COUNTIF(H$2:H300,H300)</f>
        <v>7</v>
      </c>
      <c r="G300" s="12">
        <f>COUNTIF(J$2:J300,J300)</f>
        <v>181</v>
      </c>
      <c r="H300" s="12" t="str">
        <f t="shared" si="120"/>
        <v>VM70</v>
      </c>
      <c r="I300" s="50" t="str">
        <f t="shared" si="117"/>
        <v>VM70</v>
      </c>
      <c r="J300" s="50" t="str">
        <f t="shared" si="118"/>
        <v>M</v>
      </c>
      <c r="K300" s="64" t="str">
        <f t="shared" si="121"/>
        <v>Sam Veerasamy</v>
      </c>
      <c r="L300" s="64" t="str">
        <f t="shared" si="122"/>
        <v>Dagenham 88 Runners</v>
      </c>
      <c r="M300" s="171">
        <v>0</v>
      </c>
      <c r="N300" s="178">
        <v>42</v>
      </c>
      <c r="O300" s="178">
        <v>55</v>
      </c>
      <c r="P300" s="138">
        <f t="shared" si="99"/>
        <v>0</v>
      </c>
      <c r="Q300" s="137">
        <f t="shared" si="100"/>
        <v>42</v>
      </c>
      <c r="R300" s="143"/>
      <c r="S300" s="143"/>
      <c r="T300" s="143"/>
      <c r="U300" s="144"/>
      <c r="V300" s="144"/>
      <c r="W300" s="144"/>
      <c r="X300" s="145"/>
      <c r="Y300" s="152" t="str">
        <f t="shared" si="101"/>
        <v xml:space="preserve">   42.55 </v>
      </c>
      <c r="Z300" s="136"/>
      <c r="AA300" s="50">
        <f t="shared" si="114"/>
        <v>73</v>
      </c>
      <c r="AB300" s="129">
        <f t="shared" si="115"/>
        <v>16676</v>
      </c>
      <c r="AC300" s="58" t="str">
        <f t="shared" si="102"/>
        <v/>
      </c>
      <c r="AD300" s="58" t="str">
        <f t="shared" si="103"/>
        <v>MDagenham 88 Runners</v>
      </c>
      <c r="AE300" s="60">
        <f>IF(AD300="","",COUNTIF($AD$2:AD300,AD300))</f>
        <v>15</v>
      </c>
      <c r="AF300" s="62">
        <f>IF(AD300="","",SUMIF(AD$2:AD300,AD300,G$2:G300))</f>
        <v>1944</v>
      </c>
      <c r="AG300" s="62" t="str">
        <f>IF(AK300&lt;&gt;"",COUNTIF($AK$1:AK299,AK300)+AK300,IF(AL300&lt;&gt;"",COUNTIF($AL$1:AL299,AL300)+AL300,""))</f>
        <v/>
      </c>
      <c r="AH300" s="62" t="str">
        <f t="shared" si="104"/>
        <v>Dagenham 88 Runners</v>
      </c>
      <c r="AI300" s="62" t="str">
        <f>IF(AND(J300="M", AH300&lt;&gt;"U/A",AE300=Prizewinners!$J$1),AF300,"")</f>
        <v/>
      </c>
      <c r="AJ300" s="58" t="str">
        <f>IF(AND(J300="F",  AH300&lt;&gt;"U/A",AE300=Prizewinners!$J$16),AF300,"")</f>
        <v/>
      </c>
      <c r="AK300" s="58" t="str">
        <f t="shared" si="105"/>
        <v/>
      </c>
      <c r="AL300" s="58" t="str">
        <f t="shared" si="106"/>
        <v/>
      </c>
      <c r="AM300" s="58" t="str">
        <f t="shared" si="107"/>
        <v>MDagenham 88 Runners15</v>
      </c>
      <c r="AN300" s="58" t="str">
        <f t="shared" si="108"/>
        <v/>
      </c>
      <c r="AO300" s="58" t="str">
        <f t="shared" si="109"/>
        <v/>
      </c>
      <c r="AP300" s="58" t="str">
        <f t="shared" si="110"/>
        <v/>
      </c>
      <c r="AQ300" s="58" t="str">
        <f t="shared" si="111"/>
        <v>Sam Veerasamy</v>
      </c>
    </row>
    <row r="301" spans="1:43" x14ac:dyDescent="0.25">
      <c r="A301" s="12" t="str">
        <f t="shared" si="97"/>
        <v>VM70,8</v>
      </c>
      <c r="B301" s="12" t="str">
        <f t="shared" si="98"/>
        <v>M,182</v>
      </c>
      <c r="C301" s="11">
        <f t="shared" si="119"/>
        <v>300</v>
      </c>
      <c r="D301" s="171">
        <v>453</v>
      </c>
      <c r="E301" s="12">
        <f t="shared" si="96"/>
        <v>1</v>
      </c>
      <c r="F301" s="12">
        <f>COUNTIF(H$2:H301,H301)</f>
        <v>8</v>
      </c>
      <c r="G301" s="12">
        <f>COUNTIF(J$2:J301,J301)</f>
        <v>182</v>
      </c>
      <c r="H301" s="12" t="str">
        <f t="shared" si="120"/>
        <v>VM70</v>
      </c>
      <c r="I301" s="50" t="str">
        <f t="shared" si="117"/>
        <v>VM70</v>
      </c>
      <c r="J301" s="50" t="str">
        <f t="shared" si="118"/>
        <v>M</v>
      </c>
      <c r="K301" s="64" t="str">
        <f t="shared" si="121"/>
        <v>Les Adler</v>
      </c>
      <c r="L301" s="64" t="str">
        <f t="shared" si="122"/>
        <v>Havering 90 Joggers</v>
      </c>
      <c r="M301" s="171">
        <v>0</v>
      </c>
      <c r="N301" s="178">
        <v>43</v>
      </c>
      <c r="O301" s="178">
        <v>6</v>
      </c>
      <c r="P301" s="138">
        <f t="shared" si="99"/>
        <v>0</v>
      </c>
      <c r="Q301" s="137">
        <f t="shared" si="100"/>
        <v>43</v>
      </c>
      <c r="R301" s="143"/>
      <c r="S301" s="143"/>
      <c r="T301" s="143"/>
      <c r="U301" s="144"/>
      <c r="V301" s="144"/>
      <c r="W301" s="144"/>
      <c r="X301" s="145"/>
      <c r="Y301" s="152" t="str">
        <f t="shared" si="101"/>
        <v xml:space="preserve">   43.06 </v>
      </c>
      <c r="Z301" s="136"/>
      <c r="AA301" s="50">
        <f t="shared" si="114"/>
        <v>72</v>
      </c>
      <c r="AB301" s="129">
        <f t="shared" si="115"/>
        <v>16925</v>
      </c>
      <c r="AC301" s="58" t="str">
        <f t="shared" si="102"/>
        <v/>
      </c>
      <c r="AD301" s="58" t="str">
        <f t="shared" si="103"/>
        <v>MHavering 90 Joggers</v>
      </c>
      <c r="AE301" s="60">
        <f>IF(AD301="","",COUNTIF($AD$2:AD301,AD301))</f>
        <v>16</v>
      </c>
      <c r="AF301" s="62">
        <f>IF(AD301="","",SUMIF(AD$2:AD301,AD301,G$2:G301))</f>
        <v>2108</v>
      </c>
      <c r="AG301" s="62" t="str">
        <f>IF(AK301&lt;&gt;"",COUNTIF($AK$1:AK300,AK301)+AK301,IF(AL301&lt;&gt;"",COUNTIF($AL$1:AL300,AL301)+AL301,""))</f>
        <v/>
      </c>
      <c r="AH301" s="62" t="str">
        <f t="shared" si="104"/>
        <v>Havering 90 Joggers</v>
      </c>
      <c r="AI301" s="62" t="str">
        <f>IF(AND(J301="M", AH301&lt;&gt;"U/A",AE301=Prizewinners!$J$1),AF301,"")</f>
        <v/>
      </c>
      <c r="AJ301" s="58" t="str">
        <f>IF(AND(J301="F",  AH301&lt;&gt;"U/A",AE301=Prizewinners!$J$16),AF301,"")</f>
        <v/>
      </c>
      <c r="AK301" s="58" t="str">
        <f t="shared" si="105"/>
        <v/>
      </c>
      <c r="AL301" s="58" t="str">
        <f t="shared" si="106"/>
        <v/>
      </c>
      <c r="AM301" s="58" t="str">
        <f t="shared" si="107"/>
        <v>MHavering 90 Joggers16</v>
      </c>
      <c r="AN301" s="58" t="str">
        <f t="shared" si="108"/>
        <v/>
      </c>
      <c r="AO301" s="58" t="str">
        <f t="shared" si="109"/>
        <v/>
      </c>
      <c r="AP301" s="58" t="str">
        <f t="shared" si="110"/>
        <v/>
      </c>
      <c r="AQ301" s="58" t="str">
        <f t="shared" si="111"/>
        <v>Les Adler</v>
      </c>
    </row>
    <row r="302" spans="1:43" x14ac:dyDescent="0.25">
      <c r="A302" s="12" t="str">
        <f t="shared" si="97"/>
        <v>VF55,27</v>
      </c>
      <c r="B302" s="12" t="str">
        <f t="shared" si="98"/>
        <v>F,119</v>
      </c>
      <c r="C302" s="11">
        <f t="shared" si="119"/>
        <v>301</v>
      </c>
      <c r="D302" s="171">
        <v>87</v>
      </c>
      <c r="E302" s="12">
        <f t="shared" si="96"/>
        <v>1</v>
      </c>
      <c r="F302" s="12">
        <f>COUNTIF(H$2:H302,H302)</f>
        <v>27</v>
      </c>
      <c r="G302" s="12">
        <f>COUNTIF(J$2:J302,J302)</f>
        <v>119</v>
      </c>
      <c r="H302" s="12" t="str">
        <f t="shared" si="120"/>
        <v>VF55</v>
      </c>
      <c r="I302" s="50" t="str">
        <f t="shared" si="117"/>
        <v>VF55</v>
      </c>
      <c r="J302" s="50" t="str">
        <f t="shared" si="118"/>
        <v>F</v>
      </c>
      <c r="K302" s="64" t="str">
        <f t="shared" si="121"/>
        <v>Esther Shifra</v>
      </c>
      <c r="L302" s="64" t="str">
        <f t="shared" si="122"/>
        <v>East End Road Runners</v>
      </c>
      <c r="M302" s="171">
        <v>0</v>
      </c>
      <c r="N302" s="178">
        <v>43</v>
      </c>
      <c r="O302" s="178">
        <v>8</v>
      </c>
      <c r="P302" s="138">
        <f t="shared" si="99"/>
        <v>0</v>
      </c>
      <c r="Q302" s="137">
        <f t="shared" si="100"/>
        <v>43</v>
      </c>
      <c r="R302" s="143"/>
      <c r="S302" s="143"/>
      <c r="T302" s="143"/>
      <c r="U302" s="144"/>
      <c r="V302" s="144"/>
      <c r="W302" s="144"/>
      <c r="X302" s="145"/>
      <c r="Y302" s="152" t="str">
        <f t="shared" si="101"/>
        <v xml:space="preserve">   43.08 </v>
      </c>
      <c r="Z302" s="136"/>
      <c r="AA302" s="50">
        <f t="shared" si="114"/>
        <v>62</v>
      </c>
      <c r="AB302" s="129">
        <f t="shared" si="115"/>
        <v>20353</v>
      </c>
      <c r="AC302" s="58" t="str">
        <f t="shared" si="102"/>
        <v/>
      </c>
      <c r="AD302" s="58" t="str">
        <f t="shared" si="103"/>
        <v>FEast End Road Runners</v>
      </c>
      <c r="AE302" s="60">
        <f>IF(AD302="","",COUNTIF($AD$2:AD302,AD302))</f>
        <v>13</v>
      </c>
      <c r="AF302" s="62">
        <f>IF(AD302="","",SUMIF(AD$2:AD302,AD302,G$2:G302))</f>
        <v>1010</v>
      </c>
      <c r="AG302" s="62" t="str">
        <f>IF(AK302&lt;&gt;"",COUNTIF($AK$1:AK301,AK302)+AK302,IF(AL302&lt;&gt;"",COUNTIF($AL$1:AL301,AL302)+AL302,""))</f>
        <v/>
      </c>
      <c r="AH302" s="62" t="str">
        <f t="shared" si="104"/>
        <v>East End Road Runners</v>
      </c>
      <c r="AI302" s="62" t="str">
        <f>IF(AND(J302="M", AH302&lt;&gt;"U/A",AE302=Prizewinners!$J$1),AF302,"")</f>
        <v/>
      </c>
      <c r="AJ302" s="58" t="str">
        <f>IF(AND(J302="F",  AH302&lt;&gt;"U/A",AE302=Prizewinners!$J$16),AF302,"")</f>
        <v/>
      </c>
      <c r="AK302" s="58" t="str">
        <f t="shared" si="105"/>
        <v/>
      </c>
      <c r="AL302" s="58" t="str">
        <f t="shared" si="106"/>
        <v/>
      </c>
      <c r="AM302" s="58" t="str">
        <f t="shared" si="107"/>
        <v>FEast End Road Runners13</v>
      </c>
      <c r="AN302" s="58" t="str">
        <f t="shared" si="108"/>
        <v/>
      </c>
      <c r="AO302" s="58" t="str">
        <f t="shared" si="109"/>
        <v/>
      </c>
      <c r="AP302" s="58" t="str">
        <f t="shared" si="110"/>
        <v/>
      </c>
      <c r="AQ302" s="58" t="str">
        <f t="shared" si="111"/>
        <v>Esther Shifra</v>
      </c>
    </row>
    <row r="303" spans="1:43" x14ac:dyDescent="0.25">
      <c r="A303" s="12" t="str">
        <f t="shared" si="97"/>
        <v>VF45,36</v>
      </c>
      <c r="B303" s="12" t="str">
        <f t="shared" si="98"/>
        <v>F,120</v>
      </c>
      <c r="C303" s="11">
        <f t="shared" si="119"/>
        <v>302</v>
      </c>
      <c r="D303" s="171">
        <v>88</v>
      </c>
      <c r="E303" s="12">
        <f t="shared" si="96"/>
        <v>1</v>
      </c>
      <c r="F303" s="12">
        <f>COUNTIF(H$2:H303,H303)</f>
        <v>36</v>
      </c>
      <c r="G303" s="12">
        <f>COUNTIF(J$2:J303,J303)</f>
        <v>120</v>
      </c>
      <c r="H303" s="12" t="str">
        <f t="shared" si="120"/>
        <v>VF45</v>
      </c>
      <c r="I303" s="50" t="str">
        <f t="shared" si="117"/>
        <v>VF45</v>
      </c>
      <c r="J303" s="50" t="str">
        <f t="shared" si="118"/>
        <v>F</v>
      </c>
      <c r="K303" s="64" t="str">
        <f t="shared" si="121"/>
        <v>Bisi Imafidon</v>
      </c>
      <c r="L303" s="64" t="str">
        <f t="shared" si="122"/>
        <v>East End Road Runners</v>
      </c>
      <c r="M303" s="171">
        <v>0</v>
      </c>
      <c r="N303" s="178">
        <v>44</v>
      </c>
      <c r="O303" s="178">
        <v>42</v>
      </c>
      <c r="P303" s="138">
        <f t="shared" si="99"/>
        <v>0</v>
      </c>
      <c r="Q303" s="137">
        <f t="shared" si="100"/>
        <v>44</v>
      </c>
      <c r="R303" s="143"/>
      <c r="S303" s="143"/>
      <c r="T303" s="143"/>
      <c r="U303" s="144"/>
      <c r="V303" s="144"/>
      <c r="W303" s="144"/>
      <c r="X303" s="145"/>
      <c r="Y303" s="152" t="str">
        <f t="shared" si="101"/>
        <v xml:space="preserve">   44.42 </v>
      </c>
      <c r="Z303" s="136"/>
      <c r="AA303" s="50">
        <f t="shared" si="114"/>
        <v>51</v>
      </c>
      <c r="AB303" s="129">
        <f t="shared" si="115"/>
        <v>24621</v>
      </c>
      <c r="AC303" s="58" t="str">
        <f t="shared" si="102"/>
        <v/>
      </c>
      <c r="AD303" s="58" t="str">
        <f t="shared" si="103"/>
        <v>FEast End Road Runners</v>
      </c>
      <c r="AE303" s="60">
        <f>IF(AD303="","",COUNTIF($AD$2:AD303,AD303))</f>
        <v>14</v>
      </c>
      <c r="AF303" s="62">
        <f>IF(AD303="","",SUMIF(AD$2:AD303,AD303,G$2:G303))</f>
        <v>1130</v>
      </c>
      <c r="AG303" s="62" t="str">
        <f>IF(AK303&lt;&gt;"",COUNTIF($AK$1:AK302,AK303)+AK303,IF(AL303&lt;&gt;"",COUNTIF($AL$1:AL302,AL303)+AL303,""))</f>
        <v/>
      </c>
      <c r="AH303" s="62" t="str">
        <f t="shared" si="104"/>
        <v>East End Road Runners</v>
      </c>
      <c r="AI303" s="62" t="str">
        <f>IF(AND(J303="M", AH303&lt;&gt;"U/A",AE303=Prizewinners!$J$1),AF303,"")</f>
        <v/>
      </c>
      <c r="AJ303" s="58" t="str">
        <f>IF(AND(J303="F",  AH303&lt;&gt;"U/A",AE303=Prizewinners!$J$16),AF303,"")</f>
        <v/>
      </c>
      <c r="AK303" s="58" t="str">
        <f t="shared" si="105"/>
        <v/>
      </c>
      <c r="AL303" s="58" t="str">
        <f t="shared" si="106"/>
        <v/>
      </c>
      <c r="AM303" s="58" t="str">
        <f t="shared" si="107"/>
        <v>FEast End Road Runners14</v>
      </c>
      <c r="AN303" s="58" t="str">
        <f t="shared" si="108"/>
        <v/>
      </c>
      <c r="AO303" s="58" t="str">
        <f t="shared" si="109"/>
        <v/>
      </c>
      <c r="AP303" s="58" t="str">
        <f t="shared" si="110"/>
        <v/>
      </c>
      <c r="AQ303" s="58" t="str">
        <f t="shared" si="111"/>
        <v>Bisi Imafidon</v>
      </c>
    </row>
    <row r="304" spans="1:43" x14ac:dyDescent="0.25">
      <c r="A304" s="12" t="str">
        <f t="shared" si="97"/>
        <v>VM60,23</v>
      </c>
      <c r="B304" s="12" t="str">
        <f t="shared" si="98"/>
        <v>M,183</v>
      </c>
      <c r="C304" s="11">
        <f t="shared" si="119"/>
        <v>303</v>
      </c>
      <c r="D304" s="171">
        <v>124</v>
      </c>
      <c r="E304" s="12">
        <f t="shared" si="96"/>
        <v>1</v>
      </c>
      <c r="F304" s="12">
        <f>COUNTIF(H$2:H304,H304)</f>
        <v>23</v>
      </c>
      <c r="G304" s="12">
        <f>COUNTIF(J$2:J304,J304)</f>
        <v>183</v>
      </c>
      <c r="H304" s="12" t="str">
        <f t="shared" si="120"/>
        <v>VM60</v>
      </c>
      <c r="I304" s="50" t="str">
        <f t="shared" si="117"/>
        <v>VM60</v>
      </c>
      <c r="J304" s="50" t="str">
        <f t="shared" si="118"/>
        <v>M</v>
      </c>
      <c r="K304" s="64" t="str">
        <f t="shared" si="121"/>
        <v>Irving Bell</v>
      </c>
      <c r="L304" s="64" t="str">
        <f t="shared" si="122"/>
        <v>Unattached</v>
      </c>
      <c r="M304" s="171">
        <v>0</v>
      </c>
      <c r="N304" s="178">
        <v>49</v>
      </c>
      <c r="O304" s="178">
        <v>48</v>
      </c>
      <c r="P304" s="138">
        <f t="shared" si="99"/>
        <v>0</v>
      </c>
      <c r="Q304" s="137">
        <f t="shared" si="100"/>
        <v>49</v>
      </c>
      <c r="R304" s="143"/>
      <c r="S304" s="143"/>
      <c r="T304" s="143"/>
      <c r="U304" s="144"/>
      <c r="V304" s="144"/>
      <c r="W304" s="144"/>
      <c r="X304" s="145"/>
      <c r="Y304" s="152" t="str">
        <f t="shared" si="101"/>
        <v xml:space="preserve">   49.48 </v>
      </c>
      <c r="Z304" s="136"/>
      <c r="AA304" s="50">
        <f t="shared" si="114"/>
        <v>69</v>
      </c>
      <c r="AB304" s="129">
        <f t="shared" si="115"/>
        <v>17960</v>
      </c>
      <c r="AC304" s="58" t="str">
        <f t="shared" si="102"/>
        <v/>
      </c>
      <c r="AD304" s="58" t="str">
        <f t="shared" si="103"/>
        <v>MUnattached</v>
      </c>
      <c r="AE304" s="60">
        <f>IF(AD304="","",COUNTIF($AD$2:AD304,AD304))</f>
        <v>6</v>
      </c>
      <c r="AF304" s="62">
        <f>IF(AD304="","",SUMIF(AD$2:AD304,AD304,G$2:G304))</f>
        <v>703</v>
      </c>
      <c r="AG304" s="62" t="str">
        <f>IF(AK304&lt;&gt;"",COUNTIF($AK$1:AK303,AK304)+AK304,IF(AL304&lt;&gt;"",COUNTIF($AL$1:AL303,AL304)+AL304,""))</f>
        <v/>
      </c>
      <c r="AH304" s="62" t="str">
        <f t="shared" si="104"/>
        <v>Unattached</v>
      </c>
      <c r="AI304" s="62" t="str">
        <f>IF(AND(J304="M", AH304&lt;&gt;"U/A",AE304=Prizewinners!$J$1),AF304,"")</f>
        <v/>
      </c>
      <c r="AJ304" s="58" t="str">
        <f>IF(AND(J304="F",  AH304&lt;&gt;"U/A",AE304=Prizewinners!$J$16),AF304,"")</f>
        <v/>
      </c>
      <c r="AK304" s="58" t="str">
        <f t="shared" si="105"/>
        <v/>
      </c>
      <c r="AL304" s="58" t="str">
        <f t="shared" si="106"/>
        <v/>
      </c>
      <c r="AM304" s="58" t="str">
        <f t="shared" si="107"/>
        <v>MUnattached6</v>
      </c>
      <c r="AN304" s="58" t="str">
        <f t="shared" si="108"/>
        <v/>
      </c>
      <c r="AO304" s="58" t="str">
        <f t="shared" si="109"/>
        <v/>
      </c>
      <c r="AP304" s="58" t="str">
        <f t="shared" si="110"/>
        <v/>
      </c>
      <c r="AQ304" s="58" t="str">
        <f t="shared" si="111"/>
        <v>Irving Bell</v>
      </c>
    </row>
    <row r="305" spans="1:43" x14ac:dyDescent="0.25">
      <c r="A305" s="12" t="str">
        <f t="shared" si="97"/>
        <v>VM60,24</v>
      </c>
      <c r="B305" s="12" t="str">
        <f t="shared" si="98"/>
        <v>M,184</v>
      </c>
      <c r="C305" s="11">
        <f t="shared" si="119"/>
        <v>304</v>
      </c>
      <c r="D305" s="171">
        <v>56</v>
      </c>
      <c r="E305" s="12">
        <f t="shared" si="96"/>
        <v>1</v>
      </c>
      <c r="F305" s="12">
        <f>COUNTIF(H$2:H305,H305)</f>
        <v>24</v>
      </c>
      <c r="G305" s="12">
        <f>COUNTIF(J$2:J305,J305)</f>
        <v>184</v>
      </c>
      <c r="H305" s="12" t="str">
        <f t="shared" si="120"/>
        <v>VM60</v>
      </c>
      <c r="I305" s="50" t="str">
        <f t="shared" si="117"/>
        <v>VM60</v>
      </c>
      <c r="J305" s="50" t="str">
        <f t="shared" si="118"/>
        <v>M</v>
      </c>
      <c r="K305" s="64" t="str">
        <f t="shared" si="121"/>
        <v>ALAN COSTAR</v>
      </c>
      <c r="L305" s="64" t="str">
        <f t="shared" si="122"/>
        <v>Unattached</v>
      </c>
      <c r="M305" s="171">
        <v>0</v>
      </c>
      <c r="N305" s="178">
        <v>49</v>
      </c>
      <c r="O305" s="178">
        <v>54</v>
      </c>
      <c r="P305" s="138">
        <f t="shared" si="99"/>
        <v>0</v>
      </c>
      <c r="Q305" s="137">
        <f t="shared" si="100"/>
        <v>49</v>
      </c>
      <c r="R305" s="143"/>
      <c r="S305" s="143"/>
      <c r="T305" s="143"/>
      <c r="U305" s="144"/>
      <c r="V305" s="144"/>
      <c r="W305" s="144"/>
      <c r="X305" s="145"/>
      <c r="Y305" s="152" t="str">
        <f t="shared" si="101"/>
        <v xml:space="preserve">   49.54 </v>
      </c>
      <c r="Z305" s="136"/>
      <c r="AA305" s="50">
        <f t="shared" si="114"/>
        <v>64</v>
      </c>
      <c r="AB305" s="129">
        <f t="shared" si="115"/>
        <v>19676</v>
      </c>
      <c r="AC305" s="58" t="str">
        <f t="shared" si="102"/>
        <v/>
      </c>
      <c r="AD305" s="58" t="str">
        <f t="shared" si="103"/>
        <v>MUnattached</v>
      </c>
      <c r="AE305" s="60">
        <f>IF(AD305="","",COUNTIF($AD$2:AD305,AD305))</f>
        <v>7</v>
      </c>
      <c r="AF305" s="62">
        <f>IF(AD305="","",SUMIF(AD$2:AD305,AD305,G$2:G305))</f>
        <v>887</v>
      </c>
      <c r="AG305" s="62" t="str">
        <f>IF(AK305&lt;&gt;"",COUNTIF($AK$1:AK304,AK305)+AK305,IF(AL305&lt;&gt;"",COUNTIF($AL$1:AL304,AL305)+AL305,""))</f>
        <v/>
      </c>
      <c r="AH305" s="62" t="str">
        <f t="shared" si="104"/>
        <v>Unattached</v>
      </c>
      <c r="AI305" s="62" t="str">
        <f>IF(AND(J305="M", AH305&lt;&gt;"U/A",AE305=Prizewinners!$J$1),AF305,"")</f>
        <v/>
      </c>
      <c r="AJ305" s="58" t="str">
        <f>IF(AND(J305="F",  AH305&lt;&gt;"U/A",AE305=Prizewinners!$J$16),AF305,"")</f>
        <v/>
      </c>
      <c r="AK305" s="58" t="str">
        <f t="shared" si="105"/>
        <v/>
      </c>
      <c r="AL305" s="58" t="str">
        <f t="shared" si="106"/>
        <v/>
      </c>
      <c r="AM305" s="58" t="str">
        <f t="shared" si="107"/>
        <v>MUnattached7</v>
      </c>
      <c r="AN305" s="58" t="str">
        <f t="shared" si="108"/>
        <v/>
      </c>
      <c r="AO305" s="58" t="str">
        <f t="shared" si="109"/>
        <v/>
      </c>
      <c r="AP305" s="58" t="str">
        <f t="shared" si="110"/>
        <v/>
      </c>
      <c r="AQ305" s="58" t="str">
        <f t="shared" si="111"/>
        <v>ALAN COSTAR</v>
      </c>
    </row>
    <row r="306" spans="1:43" x14ac:dyDescent="0.25">
      <c r="A306" s="12" t="str">
        <f t="shared" si="97"/>
        <v>VF35,32</v>
      </c>
      <c r="B306" s="12" t="str">
        <f t="shared" si="98"/>
        <v>F,121</v>
      </c>
      <c r="C306" s="11">
        <f t="shared" si="119"/>
        <v>305</v>
      </c>
      <c r="D306" s="171">
        <v>77</v>
      </c>
      <c r="E306" s="12">
        <f t="shared" si="96"/>
        <v>1</v>
      </c>
      <c r="F306" s="12">
        <f>COUNTIF(H$2:H306,H306)</f>
        <v>32</v>
      </c>
      <c r="G306" s="12">
        <f>COUNTIF(J$2:J306,J306)</f>
        <v>121</v>
      </c>
      <c r="H306" s="12" t="str">
        <f t="shared" si="120"/>
        <v>VF35</v>
      </c>
      <c r="I306" s="50" t="str">
        <f t="shared" si="117"/>
        <v>VF35</v>
      </c>
      <c r="J306" s="50" t="str">
        <f t="shared" si="118"/>
        <v>F</v>
      </c>
      <c r="K306" s="64" t="str">
        <f t="shared" si="121"/>
        <v>Natalie Traylen</v>
      </c>
      <c r="L306" s="64" t="str">
        <f t="shared" si="122"/>
        <v>Barking Road Runners</v>
      </c>
      <c r="M306" s="171">
        <v>0</v>
      </c>
      <c r="N306" s="178">
        <v>50</v>
      </c>
      <c r="O306" s="178">
        <v>9</v>
      </c>
      <c r="P306" s="138">
        <f t="shared" si="99"/>
        <v>0</v>
      </c>
      <c r="Q306" s="137">
        <f t="shared" si="100"/>
        <v>50</v>
      </c>
      <c r="R306" s="143"/>
      <c r="S306" s="143"/>
      <c r="T306" s="143"/>
      <c r="U306" s="144"/>
      <c r="V306" s="144"/>
      <c r="W306" s="144"/>
      <c r="X306" s="145"/>
      <c r="Y306" s="152" t="str">
        <f t="shared" si="101"/>
        <v xml:space="preserve">   50.09 </v>
      </c>
      <c r="Z306" s="136"/>
      <c r="AA306" s="50">
        <f t="shared" si="114"/>
        <v>43</v>
      </c>
      <c r="AB306" s="129">
        <f t="shared" si="115"/>
        <v>27388</v>
      </c>
      <c r="AC306" s="58" t="str">
        <f t="shared" si="102"/>
        <v/>
      </c>
      <c r="AD306" s="58" t="str">
        <f t="shared" si="103"/>
        <v>FBarking Road Runners</v>
      </c>
      <c r="AE306" s="60">
        <f>IF(AD306="","",COUNTIF($AD$2:AD306,AD306))</f>
        <v>6</v>
      </c>
      <c r="AF306" s="62">
        <f>IF(AD306="","",SUMIF(AD$2:AD306,AD306,G$2:G306))</f>
        <v>321</v>
      </c>
      <c r="AG306" s="62" t="str">
        <f>IF(AK306&lt;&gt;"",COUNTIF($AK$1:AK305,AK306)+AK306,IF(AL306&lt;&gt;"",COUNTIF($AL$1:AL305,AL306)+AL306,""))</f>
        <v/>
      </c>
      <c r="AH306" s="62" t="str">
        <f t="shared" si="104"/>
        <v>Barking Road Runners</v>
      </c>
      <c r="AI306" s="62" t="str">
        <f>IF(AND(J306="M", AH306&lt;&gt;"U/A",AE306=Prizewinners!$J$1),AF306,"")</f>
        <v/>
      </c>
      <c r="AJ306" s="58" t="str">
        <f>IF(AND(J306="F",  AH306&lt;&gt;"U/A",AE306=Prizewinners!$J$16),AF306,"")</f>
        <v/>
      </c>
      <c r="AK306" s="58" t="str">
        <f t="shared" si="105"/>
        <v/>
      </c>
      <c r="AL306" s="58" t="str">
        <f t="shared" si="106"/>
        <v/>
      </c>
      <c r="AM306" s="58" t="str">
        <f t="shared" si="107"/>
        <v>FBarking Road Runners6</v>
      </c>
      <c r="AN306" s="58" t="str">
        <f t="shared" si="108"/>
        <v/>
      </c>
      <c r="AO306" s="58" t="str">
        <f t="shared" si="109"/>
        <v/>
      </c>
      <c r="AP306" s="58" t="str">
        <f t="shared" si="110"/>
        <v/>
      </c>
      <c r="AQ306" s="58" t="str">
        <f t="shared" si="111"/>
        <v>Natalie Traylen</v>
      </c>
    </row>
    <row r="307" spans="1:43" x14ac:dyDescent="0.25">
      <c r="A307" s="12" t="str">
        <f t="shared" si="97"/>
        <v>,7</v>
      </c>
      <c r="B307" s="12" t="str">
        <f t="shared" si="98"/>
        <v>,1</v>
      </c>
      <c r="C307" s="11">
        <f t="shared" si="119"/>
        <v>306</v>
      </c>
      <c r="D307" s="171"/>
      <c r="E307" s="12">
        <f t="shared" si="96"/>
        <v>0</v>
      </c>
      <c r="F307" s="12">
        <f>COUNTIF(H$2:H307,H307)</f>
        <v>7</v>
      </c>
      <c r="G307" s="12">
        <f>COUNTIF(J$2:J307,J307)</f>
        <v>1</v>
      </c>
      <c r="H307" s="12" t="str">
        <f t="shared" si="120"/>
        <v/>
      </c>
      <c r="I307" s="50" t="str">
        <f t="shared" si="117"/>
        <v/>
      </c>
      <c r="J307" s="50" t="str">
        <f t="shared" si="118"/>
        <v/>
      </c>
      <c r="K307" s="64" t="str">
        <f t="shared" si="121"/>
        <v/>
      </c>
      <c r="L307" s="64" t="str">
        <f t="shared" si="122"/>
        <v/>
      </c>
      <c r="M307" s="171"/>
      <c r="N307" s="178"/>
      <c r="O307" s="178"/>
      <c r="P307" s="138">
        <f t="shared" si="99"/>
        <v>0</v>
      </c>
      <c r="Q307" s="137">
        <f t="shared" si="100"/>
        <v>50</v>
      </c>
      <c r="R307" s="143"/>
      <c r="S307" s="143"/>
      <c r="T307" s="143"/>
      <c r="U307" s="144"/>
      <c r="V307" s="144"/>
      <c r="W307" s="144"/>
      <c r="X307" s="145"/>
      <c r="Y307" s="152" t="str">
        <f t="shared" si="101"/>
        <v xml:space="preserve">   50.00 </v>
      </c>
      <c r="Z307" s="136"/>
      <c r="AA307" s="50" t="str">
        <f t="shared" si="114"/>
        <v/>
      </c>
      <c r="AB307" s="129" t="str">
        <f t="shared" si="115"/>
        <v/>
      </c>
      <c r="AC307" s="58" t="str">
        <f t="shared" si="102"/>
        <v/>
      </c>
      <c r="AD307" s="58" t="str">
        <f t="shared" si="103"/>
        <v/>
      </c>
      <c r="AE307" s="60" t="str">
        <f>IF(AD307="","",COUNTIF($AD$2:AD307,AD307))</f>
        <v/>
      </c>
      <c r="AF307" s="62" t="str">
        <f>IF(AD307="","",SUMIF(AD$2:AD307,AD307,G$2:G307))</f>
        <v/>
      </c>
      <c r="AG307" s="62" t="str">
        <f>IF(AK307&lt;&gt;"",COUNTIF($AK$1:AK306,AK307)+AK307,IF(AL307&lt;&gt;"",COUNTIF($AL$1:AL306,AL307)+AL307,""))</f>
        <v/>
      </c>
      <c r="AH307" s="62" t="str">
        <f t="shared" si="104"/>
        <v/>
      </c>
      <c r="AI307" s="62" t="str">
        <f>IF(AND(J307="M", AH307&lt;&gt;"U/A",AE307=Prizewinners!$J$1),AF307,"")</f>
        <v/>
      </c>
      <c r="AJ307" s="58" t="str">
        <f>IF(AND(J307="F",  AH307&lt;&gt;"U/A",AE307=Prizewinners!$J$16),AF307,"")</f>
        <v/>
      </c>
      <c r="AK307" s="58" t="str">
        <f t="shared" si="105"/>
        <v/>
      </c>
      <c r="AL307" s="58" t="str">
        <f t="shared" si="106"/>
        <v/>
      </c>
      <c r="AM307" s="58" t="str">
        <f t="shared" si="107"/>
        <v/>
      </c>
      <c r="AN307" s="58" t="str">
        <f t="shared" si="108"/>
        <v/>
      </c>
      <c r="AO307" s="58" t="str">
        <f t="shared" si="109"/>
        <v/>
      </c>
      <c r="AP307" s="58" t="str">
        <f t="shared" si="110"/>
        <v/>
      </c>
      <c r="AQ307" s="58" t="str">
        <f t="shared" si="111"/>
        <v/>
      </c>
    </row>
    <row r="308" spans="1:43" x14ac:dyDescent="0.25">
      <c r="A308" s="12" t="str">
        <f t="shared" si="97"/>
        <v>,8</v>
      </c>
      <c r="B308" s="12" t="str">
        <f t="shared" si="98"/>
        <v>,2</v>
      </c>
      <c r="C308" s="11">
        <f t="shared" si="119"/>
        <v>307</v>
      </c>
      <c r="D308" s="171"/>
      <c r="E308" s="12">
        <f t="shared" si="96"/>
        <v>0</v>
      </c>
      <c r="F308" s="12">
        <f>COUNTIF(H$2:H308,H308)</f>
        <v>8</v>
      </c>
      <c r="G308" s="12">
        <f>COUNTIF(J$2:J308,J308)</f>
        <v>2</v>
      </c>
      <c r="H308" s="12" t="str">
        <f t="shared" si="120"/>
        <v/>
      </c>
      <c r="I308" s="50" t="str">
        <f t="shared" si="117"/>
        <v/>
      </c>
      <c r="J308" s="50" t="str">
        <f t="shared" si="118"/>
        <v/>
      </c>
      <c r="K308" s="64" t="str">
        <f t="shared" si="121"/>
        <v/>
      </c>
      <c r="L308" s="64" t="str">
        <f t="shared" si="122"/>
        <v/>
      </c>
      <c r="M308" s="171"/>
      <c r="N308" s="178"/>
      <c r="O308" s="178"/>
      <c r="P308" s="138">
        <f t="shared" si="99"/>
        <v>0</v>
      </c>
      <c r="Q308" s="137">
        <f t="shared" si="100"/>
        <v>50</v>
      </c>
      <c r="R308" s="143"/>
      <c r="S308" s="143"/>
      <c r="T308" s="143"/>
      <c r="U308" s="144"/>
      <c r="V308" s="144"/>
      <c r="W308" s="144"/>
      <c r="X308" s="145"/>
      <c r="Y308" s="152" t="str">
        <f t="shared" si="101"/>
        <v xml:space="preserve">   50.00 </v>
      </c>
      <c r="Z308" s="136"/>
      <c r="AA308" s="50" t="str">
        <f t="shared" si="114"/>
        <v/>
      </c>
      <c r="AB308" s="129" t="str">
        <f t="shared" si="115"/>
        <v/>
      </c>
      <c r="AC308" s="58" t="str">
        <f t="shared" si="102"/>
        <v/>
      </c>
      <c r="AD308" s="58" t="str">
        <f t="shared" si="103"/>
        <v/>
      </c>
      <c r="AE308" s="60" t="str">
        <f>IF(AD308="","",COUNTIF($AD$2:AD308,AD308))</f>
        <v/>
      </c>
      <c r="AF308" s="62" t="str">
        <f>IF(AD308="","",SUMIF(AD$2:AD308,AD308,G$2:G308))</f>
        <v/>
      </c>
      <c r="AG308" s="62" t="str">
        <f>IF(AK308&lt;&gt;"",COUNTIF($AK$1:AK307,AK308)+AK308,IF(AL308&lt;&gt;"",COUNTIF($AL$1:AL307,AL308)+AL308,""))</f>
        <v/>
      </c>
      <c r="AH308" s="62" t="str">
        <f t="shared" si="104"/>
        <v/>
      </c>
      <c r="AI308" s="62" t="str">
        <f>IF(AND(J308="M", AH308&lt;&gt;"U/A",AE308=Prizewinners!$J$1),AF308,"")</f>
        <v/>
      </c>
      <c r="AJ308" s="58" t="str">
        <f>IF(AND(J308="F",  AH308&lt;&gt;"U/A",AE308=Prizewinners!$J$16),AF308,"")</f>
        <v/>
      </c>
      <c r="AK308" s="58" t="str">
        <f t="shared" si="105"/>
        <v/>
      </c>
      <c r="AL308" s="58" t="str">
        <f t="shared" si="106"/>
        <v/>
      </c>
      <c r="AM308" s="58" t="str">
        <f t="shared" si="107"/>
        <v/>
      </c>
      <c r="AN308" s="58" t="str">
        <f t="shared" si="108"/>
        <v/>
      </c>
      <c r="AO308" s="58" t="str">
        <f t="shared" si="109"/>
        <v/>
      </c>
      <c r="AP308" s="58" t="str">
        <f t="shared" si="110"/>
        <v/>
      </c>
      <c r="AQ308" s="58" t="str">
        <f t="shared" si="111"/>
        <v/>
      </c>
    </row>
    <row r="309" spans="1:43" x14ac:dyDescent="0.25">
      <c r="A309" s="12" t="str">
        <f t="shared" si="97"/>
        <v>,9</v>
      </c>
      <c r="B309" s="12" t="str">
        <f t="shared" si="98"/>
        <v>,3</v>
      </c>
      <c r="C309" s="11">
        <f t="shared" si="119"/>
        <v>308</v>
      </c>
      <c r="D309" s="171"/>
      <c r="E309" s="12">
        <f t="shared" si="96"/>
        <v>0</v>
      </c>
      <c r="F309" s="12">
        <f>COUNTIF(H$2:H309,H309)</f>
        <v>9</v>
      </c>
      <c r="G309" s="12">
        <f>COUNTIF(J$2:J309,J309)</f>
        <v>3</v>
      </c>
      <c r="H309" s="12" t="str">
        <f t="shared" si="120"/>
        <v/>
      </c>
      <c r="I309" s="50" t="str">
        <f t="shared" si="117"/>
        <v/>
      </c>
      <c r="J309" s="50" t="str">
        <f t="shared" si="118"/>
        <v/>
      </c>
      <c r="K309" s="64" t="str">
        <f t="shared" si="121"/>
        <v/>
      </c>
      <c r="L309" s="64" t="str">
        <f t="shared" si="122"/>
        <v/>
      </c>
      <c r="M309" s="171"/>
      <c r="N309" s="178"/>
      <c r="O309" s="178"/>
      <c r="P309" s="138">
        <f t="shared" si="99"/>
        <v>0</v>
      </c>
      <c r="Q309" s="137">
        <f t="shared" si="100"/>
        <v>50</v>
      </c>
      <c r="R309" s="143"/>
      <c r="S309" s="143"/>
      <c r="T309" s="143"/>
      <c r="U309" s="144"/>
      <c r="V309" s="144"/>
      <c r="W309" s="144"/>
      <c r="X309" s="145"/>
      <c r="Y309" s="152" t="str">
        <f t="shared" si="101"/>
        <v xml:space="preserve">   50.00 </v>
      </c>
      <c r="Z309" s="136"/>
      <c r="AA309" s="50" t="str">
        <f t="shared" si="114"/>
        <v/>
      </c>
      <c r="AB309" s="129" t="str">
        <f t="shared" si="115"/>
        <v/>
      </c>
      <c r="AC309" s="58" t="str">
        <f t="shared" si="102"/>
        <v/>
      </c>
      <c r="AD309" s="58" t="str">
        <f t="shared" si="103"/>
        <v/>
      </c>
      <c r="AE309" s="60" t="str">
        <f>IF(AD309="","",COUNTIF($AD$2:AD309,AD309))</f>
        <v/>
      </c>
      <c r="AF309" s="62" t="str">
        <f>IF(AD309="","",SUMIF(AD$2:AD309,AD309,G$2:G309))</f>
        <v/>
      </c>
      <c r="AG309" s="62" t="str">
        <f>IF(AK309&lt;&gt;"",COUNTIF($AK$1:AK308,AK309)+AK309,IF(AL309&lt;&gt;"",COUNTIF($AL$1:AL308,AL309)+AL309,""))</f>
        <v/>
      </c>
      <c r="AH309" s="62" t="str">
        <f t="shared" si="104"/>
        <v/>
      </c>
      <c r="AI309" s="62" t="str">
        <f>IF(AND(J309="M", AH309&lt;&gt;"U/A",AE309=Prizewinners!$J$1),AF309,"")</f>
        <v/>
      </c>
      <c r="AJ309" s="58" t="str">
        <f>IF(AND(J309="F",  AH309&lt;&gt;"U/A",AE309=Prizewinners!$J$16),AF309,"")</f>
        <v/>
      </c>
      <c r="AK309" s="58" t="str">
        <f t="shared" si="105"/>
        <v/>
      </c>
      <c r="AL309" s="58" t="str">
        <f t="shared" si="106"/>
        <v/>
      </c>
      <c r="AM309" s="58" t="str">
        <f t="shared" si="107"/>
        <v/>
      </c>
      <c r="AN309" s="58" t="str">
        <f t="shared" si="108"/>
        <v/>
      </c>
      <c r="AO309" s="58" t="str">
        <f t="shared" si="109"/>
        <v/>
      </c>
      <c r="AP309" s="58" t="str">
        <f t="shared" si="110"/>
        <v/>
      </c>
      <c r="AQ309" s="58" t="str">
        <f t="shared" si="111"/>
        <v/>
      </c>
    </row>
    <row r="310" spans="1:43" x14ac:dyDescent="0.25">
      <c r="A310" s="12" t="str">
        <f t="shared" si="97"/>
        <v>,10</v>
      </c>
      <c r="B310" s="12" t="str">
        <f t="shared" si="98"/>
        <v>,4</v>
      </c>
      <c r="C310" s="11">
        <f t="shared" si="119"/>
        <v>309</v>
      </c>
      <c r="D310" s="171"/>
      <c r="E310" s="12">
        <f t="shared" si="96"/>
        <v>0</v>
      </c>
      <c r="F310" s="12">
        <f>COUNTIF(H$2:H310,H310)</f>
        <v>10</v>
      </c>
      <c r="G310" s="12">
        <f>COUNTIF(J$2:J310,J310)</f>
        <v>4</v>
      </c>
      <c r="H310" s="12" t="str">
        <f t="shared" si="120"/>
        <v/>
      </c>
      <c r="I310" s="50" t="str">
        <f t="shared" si="117"/>
        <v/>
      </c>
      <c r="J310" s="50" t="str">
        <f t="shared" si="118"/>
        <v/>
      </c>
      <c r="K310" s="64" t="str">
        <f t="shared" si="121"/>
        <v/>
      </c>
      <c r="L310" s="64" t="str">
        <f t="shared" si="122"/>
        <v/>
      </c>
      <c r="M310" s="171"/>
      <c r="N310" s="178"/>
      <c r="O310" s="178"/>
      <c r="P310" s="138">
        <f t="shared" si="99"/>
        <v>0</v>
      </c>
      <c r="Q310" s="137">
        <f t="shared" si="100"/>
        <v>50</v>
      </c>
      <c r="R310" s="143"/>
      <c r="S310" s="143"/>
      <c r="T310" s="143"/>
      <c r="U310" s="144"/>
      <c r="V310" s="144"/>
      <c r="W310" s="144"/>
      <c r="X310" s="145"/>
      <c r="Y310" s="152" t="str">
        <f t="shared" si="101"/>
        <v xml:space="preserve">   50.00 </v>
      </c>
      <c r="Z310" s="136"/>
      <c r="AA310" s="50" t="str">
        <f t="shared" si="114"/>
        <v/>
      </c>
      <c r="AB310" s="129" t="str">
        <f t="shared" si="115"/>
        <v/>
      </c>
      <c r="AC310" s="58" t="str">
        <f t="shared" si="102"/>
        <v/>
      </c>
      <c r="AD310" s="58" t="str">
        <f t="shared" si="103"/>
        <v/>
      </c>
      <c r="AE310" s="60" t="str">
        <f>IF(AD310="","",COUNTIF($AD$2:AD310,AD310))</f>
        <v/>
      </c>
      <c r="AF310" s="62" t="str">
        <f>IF(AD310="","",SUMIF(AD$2:AD310,AD310,G$2:G310))</f>
        <v/>
      </c>
      <c r="AG310" s="62" t="str">
        <f>IF(AK310&lt;&gt;"",COUNTIF($AK$1:AK309,AK310)+AK310,IF(AL310&lt;&gt;"",COUNTIF($AL$1:AL309,AL310)+AL310,""))</f>
        <v/>
      </c>
      <c r="AH310" s="62" t="str">
        <f t="shared" si="104"/>
        <v/>
      </c>
      <c r="AI310" s="62" t="str">
        <f>IF(AND(J310="M", AH310&lt;&gt;"U/A",AE310=Prizewinners!$J$1),AF310,"")</f>
        <v/>
      </c>
      <c r="AJ310" s="58" t="str">
        <f>IF(AND(J310="F",  AH310&lt;&gt;"U/A",AE310=Prizewinners!$J$16),AF310,"")</f>
        <v/>
      </c>
      <c r="AK310" s="58" t="str">
        <f t="shared" si="105"/>
        <v/>
      </c>
      <c r="AL310" s="58" t="str">
        <f t="shared" si="106"/>
        <v/>
      </c>
      <c r="AM310" s="58" t="str">
        <f t="shared" si="107"/>
        <v/>
      </c>
      <c r="AN310" s="58" t="str">
        <f t="shared" si="108"/>
        <v/>
      </c>
      <c r="AO310" s="58" t="str">
        <f t="shared" si="109"/>
        <v/>
      </c>
      <c r="AP310" s="58" t="str">
        <f t="shared" si="110"/>
        <v/>
      </c>
      <c r="AQ310" s="58" t="str">
        <f t="shared" si="111"/>
        <v/>
      </c>
    </row>
    <row r="311" spans="1:43" x14ac:dyDescent="0.25">
      <c r="A311" s="12" t="str">
        <f t="shared" si="97"/>
        <v>,11</v>
      </c>
      <c r="B311" s="12" t="str">
        <f t="shared" si="98"/>
        <v>,5</v>
      </c>
      <c r="C311" s="11">
        <f t="shared" si="119"/>
        <v>310</v>
      </c>
      <c r="D311" s="171"/>
      <c r="E311" s="12">
        <f t="shared" si="96"/>
        <v>0</v>
      </c>
      <c r="F311" s="12">
        <f>COUNTIF(H$2:H311,H311)</f>
        <v>11</v>
      </c>
      <c r="G311" s="12">
        <f>COUNTIF(J$2:J311,J311)</f>
        <v>5</v>
      </c>
      <c r="H311" s="12" t="str">
        <f t="shared" si="120"/>
        <v/>
      </c>
      <c r="I311" s="50" t="str">
        <f t="shared" si="117"/>
        <v/>
      </c>
      <c r="J311" s="50" t="str">
        <f t="shared" si="118"/>
        <v/>
      </c>
      <c r="K311" s="64" t="str">
        <f t="shared" si="121"/>
        <v/>
      </c>
      <c r="L311" s="64" t="str">
        <f t="shared" si="122"/>
        <v/>
      </c>
      <c r="M311" s="171"/>
      <c r="N311" s="178"/>
      <c r="O311" s="178"/>
      <c r="P311" s="138">
        <f t="shared" si="99"/>
        <v>0</v>
      </c>
      <c r="Q311" s="137">
        <f t="shared" si="100"/>
        <v>50</v>
      </c>
      <c r="R311" s="143"/>
      <c r="S311" s="143"/>
      <c r="T311" s="143"/>
      <c r="U311" s="144"/>
      <c r="V311" s="144"/>
      <c r="W311" s="144"/>
      <c r="X311" s="145"/>
      <c r="Y311" s="152" t="str">
        <f t="shared" si="101"/>
        <v xml:space="preserve">   50.00 </v>
      </c>
      <c r="Z311" s="136"/>
      <c r="AA311" s="50" t="str">
        <f t="shared" si="114"/>
        <v/>
      </c>
      <c r="AB311" s="129" t="str">
        <f t="shared" si="115"/>
        <v/>
      </c>
      <c r="AC311" s="58" t="str">
        <f t="shared" si="102"/>
        <v/>
      </c>
      <c r="AD311" s="58" t="str">
        <f t="shared" si="103"/>
        <v/>
      </c>
      <c r="AE311" s="60" t="str">
        <f>IF(AD311="","",COUNTIF($AD$2:AD311,AD311))</f>
        <v/>
      </c>
      <c r="AF311" s="62" t="str">
        <f>IF(AD311="","",SUMIF(AD$2:AD311,AD311,G$2:G311))</f>
        <v/>
      </c>
      <c r="AG311" s="62" t="str">
        <f>IF(AK311&lt;&gt;"",COUNTIF($AK$1:AK310,AK311)+AK311,IF(AL311&lt;&gt;"",COUNTIF($AL$1:AL310,AL311)+AL311,""))</f>
        <v/>
      </c>
      <c r="AH311" s="62" t="str">
        <f t="shared" si="104"/>
        <v/>
      </c>
      <c r="AI311" s="62" t="str">
        <f>IF(AND(J311="M", AH311&lt;&gt;"U/A",AE311=Prizewinners!$J$1),AF311,"")</f>
        <v/>
      </c>
      <c r="AJ311" s="58" t="str">
        <f>IF(AND(J311="F",  AH311&lt;&gt;"U/A",AE311=Prizewinners!$J$16),AF311,"")</f>
        <v/>
      </c>
      <c r="AK311" s="58" t="str">
        <f t="shared" si="105"/>
        <v/>
      </c>
      <c r="AL311" s="58" t="str">
        <f t="shared" si="106"/>
        <v/>
      </c>
      <c r="AM311" s="58" t="str">
        <f t="shared" si="107"/>
        <v/>
      </c>
      <c r="AN311" s="58" t="str">
        <f t="shared" si="108"/>
        <v/>
      </c>
      <c r="AO311" s="58" t="str">
        <f t="shared" si="109"/>
        <v/>
      </c>
      <c r="AP311" s="58" t="str">
        <f t="shared" si="110"/>
        <v/>
      </c>
      <c r="AQ311" s="58" t="str">
        <f t="shared" si="111"/>
        <v/>
      </c>
    </row>
    <row r="312" spans="1:43" x14ac:dyDescent="0.25">
      <c r="A312" s="12" t="str">
        <f t="shared" si="97"/>
        <v>,12</v>
      </c>
      <c r="B312" s="12" t="str">
        <f t="shared" si="98"/>
        <v>,6</v>
      </c>
      <c r="C312" s="11">
        <f t="shared" si="119"/>
        <v>311</v>
      </c>
      <c r="D312" s="171"/>
      <c r="E312" s="12">
        <f t="shared" si="96"/>
        <v>0</v>
      </c>
      <c r="F312" s="12">
        <f>COUNTIF(H$2:H312,H312)</f>
        <v>12</v>
      </c>
      <c r="G312" s="12">
        <f>COUNTIF(J$2:J312,J312)</f>
        <v>6</v>
      </c>
      <c r="H312" s="12" t="str">
        <f t="shared" si="120"/>
        <v/>
      </c>
      <c r="I312" s="50" t="str">
        <f t="shared" si="117"/>
        <v/>
      </c>
      <c r="J312" s="50" t="str">
        <f t="shared" si="118"/>
        <v/>
      </c>
      <c r="K312" s="64" t="str">
        <f t="shared" si="121"/>
        <v/>
      </c>
      <c r="L312" s="64" t="str">
        <f t="shared" si="122"/>
        <v/>
      </c>
      <c r="M312" s="171"/>
      <c r="N312" s="178"/>
      <c r="O312" s="178"/>
      <c r="P312" s="138">
        <f t="shared" si="99"/>
        <v>0</v>
      </c>
      <c r="Q312" s="137">
        <f t="shared" si="100"/>
        <v>50</v>
      </c>
      <c r="R312" s="143"/>
      <c r="S312" s="143"/>
      <c r="T312" s="143"/>
      <c r="U312" s="144"/>
      <c r="V312" s="144"/>
      <c r="W312" s="144"/>
      <c r="X312" s="145"/>
      <c r="Y312" s="152" t="str">
        <f t="shared" si="101"/>
        <v xml:space="preserve">   50.00 </v>
      </c>
      <c r="Z312" s="136"/>
      <c r="AA312" s="50" t="str">
        <f t="shared" si="114"/>
        <v/>
      </c>
      <c r="AB312" s="129" t="str">
        <f t="shared" si="115"/>
        <v/>
      </c>
      <c r="AC312" s="58" t="str">
        <f t="shared" si="102"/>
        <v/>
      </c>
      <c r="AD312" s="58" t="str">
        <f t="shared" si="103"/>
        <v/>
      </c>
      <c r="AE312" s="60" t="str">
        <f>IF(AD312="","",COUNTIF($AD$2:AD312,AD312))</f>
        <v/>
      </c>
      <c r="AF312" s="62" t="str">
        <f>IF(AD312="","",SUMIF(AD$2:AD312,AD312,G$2:G312))</f>
        <v/>
      </c>
      <c r="AG312" s="62" t="str">
        <f>IF(AK312&lt;&gt;"",COUNTIF($AK$1:AK311,AK312)+AK312,IF(AL312&lt;&gt;"",COUNTIF($AL$1:AL311,AL312)+AL312,""))</f>
        <v/>
      </c>
      <c r="AH312" s="62" t="str">
        <f t="shared" si="104"/>
        <v/>
      </c>
      <c r="AI312" s="62" t="str">
        <f>IF(AND(J312="M", AH312&lt;&gt;"U/A",AE312=Prizewinners!$J$1),AF312,"")</f>
        <v/>
      </c>
      <c r="AJ312" s="58" t="str">
        <f>IF(AND(J312="F",  AH312&lt;&gt;"U/A",AE312=Prizewinners!$J$16),AF312,"")</f>
        <v/>
      </c>
      <c r="AK312" s="58" t="str">
        <f t="shared" si="105"/>
        <v/>
      </c>
      <c r="AL312" s="58" t="str">
        <f t="shared" si="106"/>
        <v/>
      </c>
      <c r="AM312" s="58" t="str">
        <f t="shared" si="107"/>
        <v/>
      </c>
      <c r="AN312" s="58" t="str">
        <f t="shared" si="108"/>
        <v/>
      </c>
      <c r="AO312" s="58" t="str">
        <f t="shared" si="109"/>
        <v/>
      </c>
      <c r="AP312" s="58" t="str">
        <f t="shared" si="110"/>
        <v/>
      </c>
      <c r="AQ312" s="58" t="str">
        <f t="shared" si="111"/>
        <v/>
      </c>
    </row>
    <row r="313" spans="1:43" x14ac:dyDescent="0.25">
      <c r="A313" s="12" t="str">
        <f t="shared" si="97"/>
        <v>,13</v>
      </c>
      <c r="B313" s="12" t="str">
        <f t="shared" si="98"/>
        <v>,7</v>
      </c>
      <c r="C313" s="11">
        <f t="shared" si="119"/>
        <v>312</v>
      </c>
      <c r="D313" s="171"/>
      <c r="E313" s="12">
        <f t="shared" si="96"/>
        <v>0</v>
      </c>
      <c r="F313" s="12">
        <f>COUNTIF(H$2:H313,H313)</f>
        <v>13</v>
      </c>
      <c r="G313" s="12">
        <f>COUNTIF(J$2:J313,J313)</f>
        <v>7</v>
      </c>
      <c r="H313" s="12" t="str">
        <f t="shared" si="120"/>
        <v/>
      </c>
      <c r="I313" s="50" t="str">
        <f t="shared" si="117"/>
        <v/>
      </c>
      <c r="J313" s="50" t="str">
        <f t="shared" si="118"/>
        <v/>
      </c>
      <c r="K313" s="64" t="str">
        <f t="shared" si="121"/>
        <v/>
      </c>
      <c r="L313" s="64" t="str">
        <f t="shared" si="122"/>
        <v/>
      </c>
      <c r="M313" s="171"/>
      <c r="N313" s="178"/>
      <c r="O313" s="178"/>
      <c r="P313" s="138">
        <f t="shared" si="99"/>
        <v>0</v>
      </c>
      <c r="Q313" s="137">
        <f t="shared" si="100"/>
        <v>50</v>
      </c>
      <c r="R313" s="143"/>
      <c r="S313" s="143"/>
      <c r="T313" s="143"/>
      <c r="U313" s="144"/>
      <c r="V313" s="144"/>
      <c r="W313" s="144"/>
      <c r="X313" s="145"/>
      <c r="Y313" s="152" t="str">
        <f t="shared" si="101"/>
        <v xml:space="preserve">   50.00 </v>
      </c>
      <c r="Z313" s="136"/>
      <c r="AA313" s="50" t="str">
        <f t="shared" si="114"/>
        <v/>
      </c>
      <c r="AB313" s="129" t="str">
        <f t="shared" si="115"/>
        <v/>
      </c>
      <c r="AC313" s="58" t="str">
        <f t="shared" si="102"/>
        <v/>
      </c>
      <c r="AD313" s="58" t="str">
        <f t="shared" si="103"/>
        <v/>
      </c>
      <c r="AE313" s="60" t="str">
        <f>IF(AD313="","",COUNTIF($AD$2:AD313,AD313))</f>
        <v/>
      </c>
      <c r="AF313" s="62" t="str">
        <f>IF(AD313="","",SUMIF(AD$2:AD313,AD313,G$2:G313))</f>
        <v/>
      </c>
      <c r="AG313" s="62" t="str">
        <f>IF(AK313&lt;&gt;"",COUNTIF($AK$1:AK312,AK313)+AK313,IF(AL313&lt;&gt;"",COUNTIF($AL$1:AL312,AL313)+AL313,""))</f>
        <v/>
      </c>
      <c r="AH313" s="62" t="str">
        <f t="shared" si="104"/>
        <v/>
      </c>
      <c r="AI313" s="62" t="str">
        <f>IF(AND(J313="M", AH313&lt;&gt;"U/A",AE313=Prizewinners!$J$1),AF313,"")</f>
        <v/>
      </c>
      <c r="AJ313" s="58" t="str">
        <f>IF(AND(J313="F",  AH313&lt;&gt;"U/A",AE313=Prizewinners!$J$16),AF313,"")</f>
        <v/>
      </c>
      <c r="AK313" s="58" t="str">
        <f t="shared" si="105"/>
        <v/>
      </c>
      <c r="AL313" s="58" t="str">
        <f t="shared" si="106"/>
        <v/>
      </c>
      <c r="AM313" s="58" t="str">
        <f t="shared" si="107"/>
        <v/>
      </c>
      <c r="AN313" s="58" t="str">
        <f t="shared" si="108"/>
        <v/>
      </c>
      <c r="AO313" s="58" t="str">
        <f t="shared" si="109"/>
        <v/>
      </c>
      <c r="AP313" s="58" t="str">
        <f t="shared" si="110"/>
        <v/>
      </c>
      <c r="AQ313" s="58" t="str">
        <f t="shared" si="111"/>
        <v/>
      </c>
    </row>
    <row r="314" spans="1:43" x14ac:dyDescent="0.25">
      <c r="A314" s="12" t="str">
        <f t="shared" si="97"/>
        <v>,14</v>
      </c>
      <c r="B314" s="12" t="str">
        <f t="shared" si="98"/>
        <v>,8</v>
      </c>
      <c r="C314" s="11">
        <f t="shared" si="119"/>
        <v>313</v>
      </c>
      <c r="D314" s="171"/>
      <c r="E314" s="12">
        <f t="shared" si="96"/>
        <v>0</v>
      </c>
      <c r="F314" s="12">
        <f>COUNTIF(H$2:H314,H314)</f>
        <v>14</v>
      </c>
      <c r="G314" s="12">
        <f>COUNTIF(J$2:J314,J314)</f>
        <v>8</v>
      </c>
      <c r="H314" s="12" t="str">
        <f t="shared" si="120"/>
        <v/>
      </c>
      <c r="I314" s="50" t="str">
        <f t="shared" si="117"/>
        <v/>
      </c>
      <c r="J314" s="50" t="str">
        <f t="shared" si="118"/>
        <v/>
      </c>
      <c r="K314" s="64" t="str">
        <f t="shared" si="121"/>
        <v/>
      </c>
      <c r="L314" s="64" t="str">
        <f t="shared" si="122"/>
        <v/>
      </c>
      <c r="M314" s="171"/>
      <c r="N314" s="178"/>
      <c r="O314" s="178"/>
      <c r="P314" s="138">
        <f t="shared" si="99"/>
        <v>0</v>
      </c>
      <c r="Q314" s="137">
        <f t="shared" si="100"/>
        <v>50</v>
      </c>
      <c r="R314" s="143"/>
      <c r="S314" s="143"/>
      <c r="T314" s="143"/>
      <c r="U314" s="144"/>
      <c r="V314" s="144"/>
      <c r="W314" s="144"/>
      <c r="X314" s="145"/>
      <c r="Y314" s="152" t="str">
        <f t="shared" si="101"/>
        <v xml:space="preserve">   50.00 </v>
      </c>
      <c r="Z314" s="136"/>
      <c r="AA314" s="50" t="str">
        <f t="shared" si="114"/>
        <v/>
      </c>
      <c r="AB314" s="129" t="str">
        <f t="shared" si="115"/>
        <v/>
      </c>
      <c r="AC314" s="58" t="str">
        <f t="shared" si="102"/>
        <v/>
      </c>
      <c r="AD314" s="58" t="str">
        <f t="shared" si="103"/>
        <v/>
      </c>
      <c r="AE314" s="60" t="str">
        <f>IF(AD314="","",COUNTIF($AD$2:AD314,AD314))</f>
        <v/>
      </c>
      <c r="AF314" s="62" t="str">
        <f>IF(AD314="","",SUMIF(AD$2:AD314,AD314,G$2:G314))</f>
        <v/>
      </c>
      <c r="AG314" s="62" t="str">
        <f>IF(AK314&lt;&gt;"",COUNTIF($AK$1:AK313,AK314)+AK314,IF(AL314&lt;&gt;"",COUNTIF($AL$1:AL313,AL314)+AL314,""))</f>
        <v/>
      </c>
      <c r="AH314" s="62" t="str">
        <f t="shared" si="104"/>
        <v/>
      </c>
      <c r="AI314" s="62" t="str">
        <f>IF(AND(J314="M", AH314&lt;&gt;"U/A",AE314=Prizewinners!$J$1),AF314,"")</f>
        <v/>
      </c>
      <c r="AJ314" s="58" t="str">
        <f>IF(AND(J314="F",  AH314&lt;&gt;"U/A",AE314=Prizewinners!$J$16),AF314,"")</f>
        <v/>
      </c>
      <c r="AK314" s="58" t="str">
        <f t="shared" si="105"/>
        <v/>
      </c>
      <c r="AL314" s="58" t="str">
        <f t="shared" si="106"/>
        <v/>
      </c>
      <c r="AM314" s="58" t="str">
        <f t="shared" si="107"/>
        <v/>
      </c>
      <c r="AN314" s="58" t="str">
        <f t="shared" si="108"/>
        <v/>
      </c>
      <c r="AO314" s="58" t="str">
        <f t="shared" si="109"/>
        <v/>
      </c>
      <c r="AP314" s="58" t="str">
        <f t="shared" si="110"/>
        <v/>
      </c>
      <c r="AQ314" s="58" t="str">
        <f t="shared" si="111"/>
        <v/>
      </c>
    </row>
    <row r="315" spans="1:43" x14ac:dyDescent="0.25">
      <c r="A315" s="12" t="str">
        <f t="shared" si="97"/>
        <v>,15</v>
      </c>
      <c r="B315" s="12" t="str">
        <f t="shared" si="98"/>
        <v>,9</v>
      </c>
      <c r="C315" s="11">
        <f t="shared" si="119"/>
        <v>314</v>
      </c>
      <c r="D315" s="171"/>
      <c r="E315" s="12">
        <f t="shared" si="96"/>
        <v>0</v>
      </c>
      <c r="F315" s="12">
        <f>COUNTIF(H$2:H315,H315)</f>
        <v>15</v>
      </c>
      <c r="G315" s="12">
        <f>COUNTIF(J$2:J315,J315)</f>
        <v>9</v>
      </c>
      <c r="H315" s="12" t="str">
        <f t="shared" si="120"/>
        <v/>
      </c>
      <c r="I315" s="50" t="str">
        <f t="shared" si="117"/>
        <v/>
      </c>
      <c r="J315" s="50" t="str">
        <f t="shared" si="118"/>
        <v/>
      </c>
      <c r="K315" s="64" t="str">
        <f t="shared" si="121"/>
        <v/>
      </c>
      <c r="L315" s="64" t="str">
        <f t="shared" si="122"/>
        <v/>
      </c>
      <c r="M315" s="171"/>
      <c r="N315" s="178"/>
      <c r="O315" s="178"/>
      <c r="P315" s="138">
        <f t="shared" si="99"/>
        <v>0</v>
      </c>
      <c r="Q315" s="137">
        <f t="shared" si="100"/>
        <v>50</v>
      </c>
      <c r="R315" s="143"/>
      <c r="S315" s="143"/>
      <c r="T315" s="143"/>
      <c r="U315" s="144"/>
      <c r="V315" s="144"/>
      <c r="W315" s="144"/>
      <c r="X315" s="145"/>
      <c r="Y315" s="152" t="str">
        <f t="shared" si="101"/>
        <v xml:space="preserve">   50.00 </v>
      </c>
      <c r="Z315" s="136"/>
      <c r="AA315" s="50" t="str">
        <f t="shared" si="114"/>
        <v/>
      </c>
      <c r="AB315" s="129" t="str">
        <f t="shared" si="115"/>
        <v/>
      </c>
      <c r="AC315" s="58" t="str">
        <f t="shared" si="102"/>
        <v/>
      </c>
      <c r="AD315" s="58" t="str">
        <f t="shared" si="103"/>
        <v/>
      </c>
      <c r="AE315" s="60" t="str">
        <f>IF(AD315="","",COUNTIF($AD$2:AD315,AD315))</f>
        <v/>
      </c>
      <c r="AF315" s="62" t="str">
        <f>IF(AD315="","",SUMIF(AD$2:AD315,AD315,G$2:G315))</f>
        <v/>
      </c>
      <c r="AG315" s="62" t="str">
        <f>IF(AK315&lt;&gt;"",COUNTIF($AK$1:AK314,AK315)+AK315,IF(AL315&lt;&gt;"",COUNTIF($AL$1:AL314,AL315)+AL315,""))</f>
        <v/>
      </c>
      <c r="AH315" s="62" t="str">
        <f t="shared" si="104"/>
        <v/>
      </c>
      <c r="AI315" s="62" t="str">
        <f>IF(AND(J315="M", AH315&lt;&gt;"U/A",AE315=Prizewinners!$J$1),AF315,"")</f>
        <v/>
      </c>
      <c r="AJ315" s="58" t="str">
        <f>IF(AND(J315="F",  AH315&lt;&gt;"U/A",AE315=Prizewinners!$J$16),AF315,"")</f>
        <v/>
      </c>
      <c r="AK315" s="58" t="str">
        <f t="shared" si="105"/>
        <v/>
      </c>
      <c r="AL315" s="58" t="str">
        <f t="shared" si="106"/>
        <v/>
      </c>
      <c r="AM315" s="58" t="str">
        <f t="shared" si="107"/>
        <v/>
      </c>
      <c r="AN315" s="58" t="str">
        <f t="shared" si="108"/>
        <v/>
      </c>
      <c r="AO315" s="58" t="str">
        <f t="shared" si="109"/>
        <v/>
      </c>
      <c r="AP315" s="58" t="str">
        <f t="shared" si="110"/>
        <v/>
      </c>
      <c r="AQ315" s="58" t="str">
        <f t="shared" si="111"/>
        <v/>
      </c>
    </row>
    <row r="316" spans="1:43" x14ac:dyDescent="0.25">
      <c r="A316" s="12" t="str">
        <f t="shared" si="97"/>
        <v>,16</v>
      </c>
      <c r="B316" s="12" t="str">
        <f t="shared" si="98"/>
        <v>,10</v>
      </c>
      <c r="C316" s="11">
        <f t="shared" si="119"/>
        <v>315</v>
      </c>
      <c r="D316" s="171"/>
      <c r="E316" s="12">
        <f t="shared" si="96"/>
        <v>0</v>
      </c>
      <c r="F316" s="12">
        <f>COUNTIF(H$2:H316,H316)</f>
        <v>16</v>
      </c>
      <c r="G316" s="12">
        <f>COUNTIF(J$2:J316,J316)</f>
        <v>10</v>
      </c>
      <c r="H316" s="12" t="str">
        <f t="shared" si="120"/>
        <v/>
      </c>
      <c r="I316" s="50" t="str">
        <f t="shared" si="117"/>
        <v/>
      </c>
      <c r="J316" s="50" t="str">
        <f t="shared" si="118"/>
        <v/>
      </c>
      <c r="K316" s="64" t="str">
        <f t="shared" si="121"/>
        <v/>
      </c>
      <c r="L316" s="64" t="str">
        <f t="shared" si="122"/>
        <v/>
      </c>
      <c r="M316" s="171"/>
      <c r="N316" s="178"/>
      <c r="O316" s="178"/>
      <c r="P316" s="138">
        <f t="shared" si="99"/>
        <v>0</v>
      </c>
      <c r="Q316" s="137">
        <f t="shared" si="100"/>
        <v>50</v>
      </c>
      <c r="R316" s="143"/>
      <c r="S316" s="143"/>
      <c r="T316" s="143"/>
      <c r="U316" s="144"/>
      <c r="V316" s="144"/>
      <c r="W316" s="144"/>
      <c r="X316" s="145"/>
      <c r="Y316" s="152" t="str">
        <f t="shared" si="101"/>
        <v xml:space="preserve">   50.00 </v>
      </c>
      <c r="Z316" s="136"/>
      <c r="AA316" s="50" t="str">
        <f t="shared" si="114"/>
        <v/>
      </c>
      <c r="AB316" s="129" t="str">
        <f t="shared" si="115"/>
        <v/>
      </c>
      <c r="AC316" s="58" t="str">
        <f t="shared" si="102"/>
        <v/>
      </c>
      <c r="AD316" s="58" t="str">
        <f t="shared" si="103"/>
        <v/>
      </c>
      <c r="AE316" s="60" t="str">
        <f>IF(AD316="","",COUNTIF($AD$2:AD316,AD316))</f>
        <v/>
      </c>
      <c r="AF316" s="62" t="str">
        <f>IF(AD316="","",SUMIF(AD$2:AD316,AD316,G$2:G316))</f>
        <v/>
      </c>
      <c r="AG316" s="62" t="str">
        <f>IF(AK316&lt;&gt;"",COUNTIF($AK$1:AK315,AK316)+AK316,IF(AL316&lt;&gt;"",COUNTIF($AL$1:AL315,AL316)+AL316,""))</f>
        <v/>
      </c>
      <c r="AH316" s="62" t="str">
        <f t="shared" si="104"/>
        <v/>
      </c>
      <c r="AI316" s="62" t="str">
        <f>IF(AND(J316="M", AH316&lt;&gt;"U/A",AE316=Prizewinners!$J$1),AF316,"")</f>
        <v/>
      </c>
      <c r="AJ316" s="58" t="str">
        <f>IF(AND(J316="F",  AH316&lt;&gt;"U/A",AE316=Prizewinners!$J$16),AF316,"")</f>
        <v/>
      </c>
      <c r="AK316" s="58" t="str">
        <f t="shared" si="105"/>
        <v/>
      </c>
      <c r="AL316" s="58" t="str">
        <f t="shared" si="106"/>
        <v/>
      </c>
      <c r="AM316" s="58" t="str">
        <f t="shared" si="107"/>
        <v/>
      </c>
      <c r="AN316" s="58" t="str">
        <f t="shared" si="108"/>
        <v/>
      </c>
      <c r="AO316" s="58" t="str">
        <f t="shared" si="109"/>
        <v/>
      </c>
      <c r="AP316" s="58" t="str">
        <f t="shared" si="110"/>
        <v/>
      </c>
      <c r="AQ316" s="58" t="str">
        <f t="shared" si="111"/>
        <v/>
      </c>
    </row>
    <row r="317" spans="1:43" x14ac:dyDescent="0.25">
      <c r="A317" s="12" t="str">
        <f t="shared" si="97"/>
        <v>,17</v>
      </c>
      <c r="B317" s="12" t="str">
        <f t="shared" si="98"/>
        <v>,11</v>
      </c>
      <c r="C317" s="11">
        <f t="shared" si="119"/>
        <v>316</v>
      </c>
      <c r="D317" s="171"/>
      <c r="E317" s="12">
        <f t="shared" si="96"/>
        <v>0</v>
      </c>
      <c r="F317" s="12">
        <f>COUNTIF(H$2:H317,H317)</f>
        <v>17</v>
      </c>
      <c r="G317" s="12">
        <f>COUNTIF(J$2:J317,J317)</f>
        <v>11</v>
      </c>
      <c r="H317" s="12" t="str">
        <f t="shared" si="120"/>
        <v/>
      </c>
      <c r="I317" s="50" t="str">
        <f t="shared" si="117"/>
        <v/>
      </c>
      <c r="J317" s="50" t="str">
        <f t="shared" si="118"/>
        <v/>
      </c>
      <c r="K317" s="64" t="str">
        <f t="shared" si="121"/>
        <v/>
      </c>
      <c r="L317" s="64" t="str">
        <f t="shared" si="122"/>
        <v/>
      </c>
      <c r="M317" s="171"/>
      <c r="N317" s="178"/>
      <c r="O317" s="178"/>
      <c r="P317" s="138">
        <f t="shared" si="99"/>
        <v>0</v>
      </c>
      <c r="Q317" s="137">
        <f t="shared" si="100"/>
        <v>50</v>
      </c>
      <c r="R317" s="143"/>
      <c r="S317" s="143"/>
      <c r="T317" s="143"/>
      <c r="U317" s="144"/>
      <c r="V317" s="144"/>
      <c r="W317" s="144"/>
      <c r="X317" s="145"/>
      <c r="Y317" s="152" t="str">
        <f t="shared" si="101"/>
        <v xml:space="preserve">   50.00 </v>
      </c>
      <c r="Z317" s="136"/>
      <c r="AA317" s="50" t="str">
        <f t="shared" si="114"/>
        <v/>
      </c>
      <c r="AB317" s="129" t="str">
        <f t="shared" si="115"/>
        <v/>
      </c>
      <c r="AC317" s="58" t="str">
        <f t="shared" si="102"/>
        <v/>
      </c>
      <c r="AD317" s="58" t="str">
        <f t="shared" si="103"/>
        <v/>
      </c>
      <c r="AE317" s="60" t="str">
        <f>IF(AD317="","",COUNTIF($AD$2:AD317,AD317))</f>
        <v/>
      </c>
      <c r="AF317" s="62" t="str">
        <f>IF(AD317="","",SUMIF(AD$2:AD317,AD317,G$2:G317))</f>
        <v/>
      </c>
      <c r="AG317" s="62" t="str">
        <f>IF(AK317&lt;&gt;"",COUNTIF($AK$1:AK316,AK317)+AK317,IF(AL317&lt;&gt;"",COUNTIF($AL$1:AL316,AL317)+AL317,""))</f>
        <v/>
      </c>
      <c r="AH317" s="62" t="str">
        <f t="shared" si="104"/>
        <v/>
      </c>
      <c r="AI317" s="62" t="str">
        <f>IF(AND(J317="M", AH317&lt;&gt;"U/A",AE317=Prizewinners!$J$1),AF317,"")</f>
        <v/>
      </c>
      <c r="AJ317" s="58" t="str">
        <f>IF(AND(J317="F",  AH317&lt;&gt;"U/A",AE317=Prizewinners!$J$16),AF317,"")</f>
        <v/>
      </c>
      <c r="AK317" s="58" t="str">
        <f t="shared" si="105"/>
        <v/>
      </c>
      <c r="AL317" s="58" t="str">
        <f t="shared" si="106"/>
        <v/>
      </c>
      <c r="AM317" s="58" t="str">
        <f t="shared" si="107"/>
        <v/>
      </c>
      <c r="AN317" s="58" t="str">
        <f t="shared" si="108"/>
        <v/>
      </c>
      <c r="AO317" s="58" t="str">
        <f t="shared" si="109"/>
        <v/>
      </c>
      <c r="AP317" s="58" t="str">
        <f t="shared" si="110"/>
        <v/>
      </c>
      <c r="AQ317" s="58" t="str">
        <f t="shared" si="111"/>
        <v/>
      </c>
    </row>
    <row r="318" spans="1:43" x14ac:dyDescent="0.25">
      <c r="A318" s="12" t="str">
        <f t="shared" si="97"/>
        <v>,18</v>
      </c>
      <c r="B318" s="12" t="str">
        <f t="shared" si="98"/>
        <v>,12</v>
      </c>
      <c r="C318" s="11">
        <f t="shared" si="119"/>
        <v>317</v>
      </c>
      <c r="D318" s="171"/>
      <c r="E318" s="12">
        <f t="shared" si="96"/>
        <v>0</v>
      </c>
      <c r="F318" s="12">
        <f>COUNTIF(H$2:H318,H318)</f>
        <v>18</v>
      </c>
      <c r="G318" s="12">
        <f>COUNTIF(J$2:J318,J318)</f>
        <v>12</v>
      </c>
      <c r="H318" s="12" t="str">
        <f t="shared" ref="H318:H324" si="123">IF(G318&gt;3,I318,"")</f>
        <v/>
      </c>
      <c r="I318" s="50" t="str">
        <f t="shared" si="117"/>
        <v/>
      </c>
      <c r="J318" s="50" t="str">
        <f t="shared" si="118"/>
        <v/>
      </c>
      <c r="K318" s="64" t="str">
        <f t="shared" si="121"/>
        <v/>
      </c>
      <c r="L318" s="64" t="str">
        <f t="shared" si="122"/>
        <v/>
      </c>
      <c r="M318" s="171"/>
      <c r="N318" s="178"/>
      <c r="O318" s="178"/>
      <c r="P318" s="138">
        <f t="shared" si="99"/>
        <v>0</v>
      </c>
      <c r="Q318" s="137">
        <f t="shared" si="100"/>
        <v>50</v>
      </c>
      <c r="R318" s="143"/>
      <c r="S318" s="143"/>
      <c r="T318" s="143"/>
      <c r="U318" s="144"/>
      <c r="V318" s="144"/>
      <c r="W318" s="144"/>
      <c r="X318" s="145"/>
      <c r="Y318" s="152" t="str">
        <f t="shared" si="101"/>
        <v xml:space="preserve">   50.00 </v>
      </c>
      <c r="Z318" s="136"/>
      <c r="AA318" s="50" t="str">
        <f t="shared" si="114"/>
        <v/>
      </c>
      <c r="AB318" s="129" t="str">
        <f t="shared" si="115"/>
        <v/>
      </c>
      <c r="AC318" s="58" t="str">
        <f t="shared" si="102"/>
        <v/>
      </c>
      <c r="AD318" s="58" t="str">
        <f t="shared" si="103"/>
        <v/>
      </c>
      <c r="AE318" s="60" t="str">
        <f>IF(AD318="","",COUNTIF($AD$2:AD318,AD318))</f>
        <v/>
      </c>
      <c r="AF318" s="62" t="str">
        <f>IF(AD318="","",SUMIF(AD$2:AD318,AD318,G$2:G318))</f>
        <v/>
      </c>
      <c r="AG318" s="62" t="str">
        <f>IF(AK318&lt;&gt;"",COUNTIF($AK$1:AK317,AK318)+AK318,IF(AL318&lt;&gt;"",COUNTIF($AL$1:AL317,AL318)+AL318,""))</f>
        <v/>
      </c>
      <c r="AH318" s="62" t="str">
        <f t="shared" si="104"/>
        <v/>
      </c>
      <c r="AI318" s="62" t="str">
        <f>IF(AND(J318="M", AH318&lt;&gt;"U/A",AE318=Prizewinners!$J$1),AF318,"")</f>
        <v/>
      </c>
      <c r="AJ318" s="58" t="str">
        <f>IF(AND(J318="F",  AH318&lt;&gt;"U/A",AE318=Prizewinners!$J$16),AF318,"")</f>
        <v/>
      </c>
      <c r="AK318" s="58" t="str">
        <f t="shared" si="105"/>
        <v/>
      </c>
      <c r="AL318" s="58" t="str">
        <f t="shared" si="106"/>
        <v/>
      </c>
      <c r="AM318" s="58" t="str">
        <f t="shared" si="107"/>
        <v/>
      </c>
      <c r="AN318" s="58" t="str">
        <f t="shared" si="108"/>
        <v/>
      </c>
      <c r="AO318" s="58" t="str">
        <f t="shared" si="109"/>
        <v/>
      </c>
      <c r="AP318" s="58" t="str">
        <f t="shared" si="110"/>
        <v/>
      </c>
      <c r="AQ318" s="58" t="str">
        <f t="shared" si="111"/>
        <v/>
      </c>
    </row>
    <row r="319" spans="1:43" x14ac:dyDescent="0.25">
      <c r="A319" s="12" t="str">
        <f t="shared" si="97"/>
        <v>,19</v>
      </c>
      <c r="B319" s="12" t="str">
        <f t="shared" si="98"/>
        <v>,13</v>
      </c>
      <c r="C319" s="11">
        <f t="shared" si="119"/>
        <v>318</v>
      </c>
      <c r="D319" s="171"/>
      <c r="E319" s="12">
        <f t="shared" si="96"/>
        <v>0</v>
      </c>
      <c r="F319" s="12">
        <f>COUNTIF(H$2:H319,H319)</f>
        <v>19</v>
      </c>
      <c r="G319" s="12">
        <f>COUNTIF(J$2:J319,J319)</f>
        <v>13</v>
      </c>
      <c r="H319" s="12" t="str">
        <f t="shared" si="123"/>
        <v/>
      </c>
      <c r="I319" s="50" t="str">
        <f t="shared" si="117"/>
        <v/>
      </c>
      <c r="J319" s="50" t="str">
        <f t="shared" si="118"/>
        <v/>
      </c>
      <c r="K319" s="64" t="str">
        <f t="shared" si="121"/>
        <v/>
      </c>
      <c r="L319" s="64" t="str">
        <f t="shared" si="122"/>
        <v/>
      </c>
      <c r="M319" s="171"/>
      <c r="N319" s="178"/>
      <c r="O319" s="178"/>
      <c r="P319" s="138">
        <f t="shared" si="99"/>
        <v>0</v>
      </c>
      <c r="Q319" s="137">
        <f t="shared" si="100"/>
        <v>50</v>
      </c>
      <c r="R319" s="143"/>
      <c r="S319" s="143"/>
      <c r="T319" s="143"/>
      <c r="U319" s="144"/>
      <c r="V319" s="144"/>
      <c r="W319" s="144"/>
      <c r="X319" s="145"/>
      <c r="Y319" s="152" t="str">
        <f t="shared" si="101"/>
        <v xml:space="preserve">   50.00 </v>
      </c>
      <c r="Z319" s="136"/>
      <c r="AA319" s="50" t="str">
        <f t="shared" si="114"/>
        <v/>
      </c>
      <c r="AB319" s="129" t="str">
        <f t="shared" si="115"/>
        <v/>
      </c>
      <c r="AC319" s="58" t="str">
        <f t="shared" si="102"/>
        <v/>
      </c>
      <c r="AD319" s="58" t="str">
        <f t="shared" si="103"/>
        <v/>
      </c>
      <c r="AE319" s="60" t="str">
        <f>IF(AD319="","",COUNTIF($AD$2:AD319,AD319))</f>
        <v/>
      </c>
      <c r="AF319" s="62" t="str">
        <f>IF(AD319="","",SUMIF(AD$2:AD319,AD319,G$2:G319))</f>
        <v/>
      </c>
      <c r="AG319" s="62" t="str">
        <f>IF(AK319&lt;&gt;"",COUNTIF($AK$1:AK318,AK319)+AK319,IF(AL319&lt;&gt;"",COUNTIF($AL$1:AL318,AL319)+AL319,""))</f>
        <v/>
      </c>
      <c r="AH319" s="62" t="str">
        <f t="shared" si="104"/>
        <v/>
      </c>
      <c r="AI319" s="62" t="str">
        <f>IF(AND(J319="M", AH319&lt;&gt;"U/A",AE319=Prizewinners!$J$1),AF319,"")</f>
        <v/>
      </c>
      <c r="AJ319" s="58" t="str">
        <f>IF(AND(J319="F",  AH319&lt;&gt;"U/A",AE319=Prizewinners!$J$16),AF319,"")</f>
        <v/>
      </c>
      <c r="AK319" s="58" t="str">
        <f t="shared" si="105"/>
        <v/>
      </c>
      <c r="AL319" s="58" t="str">
        <f t="shared" si="106"/>
        <v/>
      </c>
      <c r="AM319" s="58" t="str">
        <f t="shared" si="107"/>
        <v/>
      </c>
      <c r="AN319" s="58" t="str">
        <f t="shared" si="108"/>
        <v/>
      </c>
      <c r="AO319" s="58" t="str">
        <f t="shared" si="109"/>
        <v/>
      </c>
      <c r="AP319" s="58" t="str">
        <f t="shared" si="110"/>
        <v/>
      </c>
      <c r="AQ319" s="58" t="str">
        <f t="shared" si="111"/>
        <v/>
      </c>
    </row>
    <row r="320" spans="1:43" x14ac:dyDescent="0.25">
      <c r="A320" s="12" t="str">
        <f t="shared" si="97"/>
        <v>,20</v>
      </c>
      <c r="B320" s="12" t="str">
        <f t="shared" si="98"/>
        <v>,14</v>
      </c>
      <c r="C320" s="11">
        <f t="shared" si="119"/>
        <v>319</v>
      </c>
      <c r="D320" s="171"/>
      <c r="E320" s="12">
        <f t="shared" si="96"/>
        <v>0</v>
      </c>
      <c r="F320" s="12">
        <f>COUNTIF(H$2:H320,H320)</f>
        <v>20</v>
      </c>
      <c r="G320" s="12">
        <f>COUNTIF(J$2:J320,J320)</f>
        <v>14</v>
      </c>
      <c r="H320" s="12" t="str">
        <f t="shared" si="123"/>
        <v/>
      </c>
      <c r="I320" s="50" t="str">
        <f t="shared" si="117"/>
        <v/>
      </c>
      <c r="J320" s="50" t="str">
        <f t="shared" si="118"/>
        <v/>
      </c>
      <c r="K320" s="64" t="str">
        <f t="shared" si="121"/>
        <v/>
      </c>
      <c r="L320" s="64" t="str">
        <f t="shared" si="122"/>
        <v/>
      </c>
      <c r="M320" s="171"/>
      <c r="N320" s="178"/>
      <c r="O320" s="178"/>
      <c r="P320" s="138">
        <f t="shared" si="99"/>
        <v>0</v>
      </c>
      <c r="Q320" s="137">
        <f t="shared" si="100"/>
        <v>50</v>
      </c>
      <c r="R320" s="143"/>
      <c r="S320" s="143"/>
      <c r="T320" s="143"/>
      <c r="U320" s="144"/>
      <c r="V320" s="144"/>
      <c r="W320" s="144"/>
      <c r="X320" s="145"/>
      <c r="Y320" s="152" t="str">
        <f t="shared" si="101"/>
        <v xml:space="preserve">   50.00 </v>
      </c>
      <c r="Z320" s="136"/>
      <c r="AA320" s="50" t="str">
        <f t="shared" si="114"/>
        <v/>
      </c>
      <c r="AB320" s="129" t="str">
        <f t="shared" si="115"/>
        <v/>
      </c>
      <c r="AC320" s="58" t="str">
        <f t="shared" si="102"/>
        <v/>
      </c>
      <c r="AD320" s="58" t="str">
        <f t="shared" si="103"/>
        <v/>
      </c>
      <c r="AE320" s="60" t="str">
        <f>IF(AD320="","",COUNTIF($AD$2:AD320,AD320))</f>
        <v/>
      </c>
      <c r="AF320" s="62" t="str">
        <f>IF(AD320="","",SUMIF(AD$2:AD320,AD320,G$2:G320))</f>
        <v/>
      </c>
      <c r="AG320" s="62" t="str">
        <f>IF(AK320&lt;&gt;"",COUNTIF($AK$1:AK319,AK320)+AK320,IF(AL320&lt;&gt;"",COUNTIF($AL$1:AL319,AL320)+AL320,""))</f>
        <v/>
      </c>
      <c r="AH320" s="62" t="str">
        <f t="shared" si="104"/>
        <v/>
      </c>
      <c r="AI320" s="62" t="str">
        <f>IF(AND(J320="M", AH320&lt;&gt;"U/A",AE320=Prizewinners!$J$1),AF320,"")</f>
        <v/>
      </c>
      <c r="AJ320" s="58" t="str">
        <f>IF(AND(J320="F",  AH320&lt;&gt;"U/A",AE320=Prizewinners!$J$16),AF320,"")</f>
        <v/>
      </c>
      <c r="AK320" s="58" t="str">
        <f t="shared" si="105"/>
        <v/>
      </c>
      <c r="AL320" s="58" t="str">
        <f t="shared" si="106"/>
        <v/>
      </c>
      <c r="AM320" s="58" t="str">
        <f t="shared" si="107"/>
        <v/>
      </c>
      <c r="AN320" s="58" t="str">
        <f t="shared" si="108"/>
        <v/>
      </c>
      <c r="AO320" s="58" t="str">
        <f t="shared" si="109"/>
        <v/>
      </c>
      <c r="AP320" s="58" t="str">
        <f t="shared" si="110"/>
        <v/>
      </c>
      <c r="AQ320" s="58" t="str">
        <f t="shared" si="111"/>
        <v/>
      </c>
    </row>
    <row r="321" spans="1:43" x14ac:dyDescent="0.25">
      <c r="A321" s="12" t="str">
        <f t="shared" si="97"/>
        <v>,21</v>
      </c>
      <c r="B321" s="12" t="str">
        <f t="shared" si="98"/>
        <v>,15</v>
      </c>
      <c r="C321" s="11">
        <f t="shared" si="119"/>
        <v>320</v>
      </c>
      <c r="D321" s="171"/>
      <c r="E321" s="12">
        <f t="shared" si="96"/>
        <v>0</v>
      </c>
      <c r="F321" s="12">
        <f>COUNTIF(H$2:H321,H321)</f>
        <v>21</v>
      </c>
      <c r="G321" s="12">
        <f>COUNTIF(J$2:J321,J321)</f>
        <v>15</v>
      </c>
      <c r="H321" s="12" t="str">
        <f t="shared" si="123"/>
        <v/>
      </c>
      <c r="I321" s="50" t="str">
        <f t="shared" si="117"/>
        <v/>
      </c>
      <c r="J321" s="50" t="str">
        <f t="shared" si="118"/>
        <v/>
      </c>
      <c r="K321" s="64" t="str">
        <f t="shared" si="121"/>
        <v/>
      </c>
      <c r="L321" s="64" t="str">
        <f t="shared" si="122"/>
        <v/>
      </c>
      <c r="M321" s="171"/>
      <c r="N321" s="178"/>
      <c r="O321" s="178"/>
      <c r="P321" s="138">
        <f t="shared" si="99"/>
        <v>0</v>
      </c>
      <c r="Q321" s="137">
        <f t="shared" si="100"/>
        <v>50</v>
      </c>
      <c r="R321" s="143"/>
      <c r="S321" s="143"/>
      <c r="T321" s="143"/>
      <c r="U321" s="144"/>
      <c r="V321" s="144"/>
      <c r="W321" s="144"/>
      <c r="X321" s="145"/>
      <c r="Y321" s="152" t="str">
        <f t="shared" si="101"/>
        <v xml:space="preserve">   50.00 </v>
      </c>
      <c r="Z321" s="136"/>
      <c r="AA321" s="50" t="str">
        <f t="shared" si="114"/>
        <v/>
      </c>
      <c r="AB321" s="129" t="str">
        <f t="shared" si="115"/>
        <v/>
      </c>
      <c r="AC321" s="58" t="str">
        <f t="shared" si="102"/>
        <v/>
      </c>
      <c r="AD321" s="58" t="str">
        <f t="shared" si="103"/>
        <v/>
      </c>
      <c r="AE321" s="60" t="str">
        <f>IF(AD321="","",COUNTIF($AD$2:AD321,AD321))</f>
        <v/>
      </c>
      <c r="AF321" s="62" t="str">
        <f>IF(AD321="","",SUMIF(AD$2:AD321,AD321,G$2:G321))</f>
        <v/>
      </c>
      <c r="AG321" s="62" t="str">
        <f>IF(AK321&lt;&gt;"",COUNTIF($AK$1:AK320,AK321)+AK321,IF(AL321&lt;&gt;"",COUNTIF($AL$1:AL320,AL321)+AL321,""))</f>
        <v/>
      </c>
      <c r="AH321" s="62" t="str">
        <f t="shared" si="104"/>
        <v/>
      </c>
      <c r="AI321" s="62" t="str">
        <f>IF(AND(J321="M", AH321&lt;&gt;"U/A",AE321=Prizewinners!$J$1),AF321,"")</f>
        <v/>
      </c>
      <c r="AJ321" s="58" t="str">
        <f>IF(AND(J321="F",  AH321&lt;&gt;"U/A",AE321=Prizewinners!$J$16),AF321,"")</f>
        <v/>
      </c>
      <c r="AK321" s="58" t="str">
        <f t="shared" si="105"/>
        <v/>
      </c>
      <c r="AL321" s="58" t="str">
        <f t="shared" si="106"/>
        <v/>
      </c>
      <c r="AM321" s="58" t="str">
        <f t="shared" si="107"/>
        <v/>
      </c>
      <c r="AN321" s="58" t="str">
        <f t="shared" si="108"/>
        <v/>
      </c>
      <c r="AO321" s="58" t="str">
        <f t="shared" si="109"/>
        <v/>
      </c>
      <c r="AP321" s="58" t="str">
        <f t="shared" si="110"/>
        <v/>
      </c>
      <c r="AQ321" s="58" t="str">
        <f t="shared" si="111"/>
        <v/>
      </c>
    </row>
    <row r="322" spans="1:43" x14ac:dyDescent="0.25">
      <c r="A322" s="12" t="str">
        <f t="shared" si="97"/>
        <v>,22</v>
      </c>
      <c r="B322" s="12" t="str">
        <f t="shared" si="98"/>
        <v>,16</v>
      </c>
      <c r="C322" s="11">
        <f t="shared" si="119"/>
        <v>321</v>
      </c>
      <c r="D322" s="171"/>
      <c r="E322" s="12">
        <f t="shared" ref="E322:E385" si="124">IF(D322="",0,COUNTIF(K:K,K322))</f>
        <v>0</v>
      </c>
      <c r="F322" s="12">
        <f>COUNTIF(H$2:H322,H322)</f>
        <v>22</v>
      </c>
      <c r="G322" s="12">
        <f>COUNTIF(J$2:J322,J322)</f>
        <v>16</v>
      </c>
      <c r="H322" s="12" t="str">
        <f t="shared" si="123"/>
        <v/>
      </c>
      <c r="I322" s="50" t="str">
        <f t="shared" si="117"/>
        <v/>
      </c>
      <c r="J322" s="50" t="str">
        <f t="shared" si="118"/>
        <v/>
      </c>
      <c r="K322" s="64" t="str">
        <f t="shared" si="121"/>
        <v/>
      </c>
      <c r="L322" s="64" t="str">
        <f t="shared" si="122"/>
        <v/>
      </c>
      <c r="M322" s="171"/>
      <c r="N322" s="178"/>
      <c r="O322" s="178"/>
      <c r="P322" s="138">
        <f t="shared" si="99"/>
        <v>0</v>
      </c>
      <c r="Q322" s="137">
        <f t="shared" si="100"/>
        <v>50</v>
      </c>
      <c r="R322" s="143"/>
      <c r="S322" s="143"/>
      <c r="T322" s="143"/>
      <c r="U322" s="144"/>
      <c r="V322" s="144"/>
      <c r="W322" s="144"/>
      <c r="X322" s="145"/>
      <c r="Y322" s="152" t="str">
        <f t="shared" si="101"/>
        <v xml:space="preserve">   50.00 </v>
      </c>
      <c r="Z322" s="136"/>
      <c r="AA322" s="50" t="str">
        <f t="shared" si="114"/>
        <v/>
      </c>
      <c r="AB322" s="129" t="str">
        <f t="shared" si="115"/>
        <v/>
      </c>
      <c r="AC322" s="58" t="str">
        <f t="shared" si="102"/>
        <v/>
      </c>
      <c r="AD322" s="58" t="str">
        <f t="shared" si="103"/>
        <v/>
      </c>
      <c r="AE322" s="60" t="str">
        <f>IF(AD322="","",COUNTIF($AD$2:AD322,AD322))</f>
        <v/>
      </c>
      <c r="AF322" s="62" t="str">
        <f>IF(AD322="","",SUMIF(AD$2:AD322,AD322,G$2:G322))</f>
        <v/>
      </c>
      <c r="AG322" s="62" t="str">
        <f>IF(AK322&lt;&gt;"",COUNTIF($AK$1:AK321,AK322)+AK322,IF(AL322&lt;&gt;"",COUNTIF($AL$1:AL321,AL322)+AL322,""))</f>
        <v/>
      </c>
      <c r="AH322" s="62" t="str">
        <f t="shared" si="104"/>
        <v/>
      </c>
      <c r="AI322" s="62" t="str">
        <f>IF(AND(J322="M", AH322&lt;&gt;"U/A",AE322=Prizewinners!$J$1),AF322,"")</f>
        <v/>
      </c>
      <c r="AJ322" s="58" t="str">
        <f>IF(AND(J322="F",  AH322&lt;&gt;"U/A",AE322=Prizewinners!$J$16),AF322,"")</f>
        <v/>
      </c>
      <c r="AK322" s="58" t="str">
        <f t="shared" si="105"/>
        <v/>
      </c>
      <c r="AL322" s="58" t="str">
        <f t="shared" si="106"/>
        <v/>
      </c>
      <c r="AM322" s="58" t="str">
        <f t="shared" si="107"/>
        <v/>
      </c>
      <c r="AN322" s="58" t="str">
        <f t="shared" si="108"/>
        <v/>
      </c>
      <c r="AO322" s="58" t="str">
        <f t="shared" si="109"/>
        <v/>
      </c>
      <c r="AP322" s="58" t="str">
        <f t="shared" si="110"/>
        <v/>
      </c>
      <c r="AQ322" s="58" t="str">
        <f t="shared" si="111"/>
        <v/>
      </c>
    </row>
    <row r="323" spans="1:43" x14ac:dyDescent="0.25">
      <c r="A323" s="12" t="str">
        <f t="shared" ref="A323:A386" si="125">IF(Z323="RESM",Z323,IF(Z323="RESF",Z323,CONCATENATE(H323,",",F323)))</f>
        <v>,23</v>
      </c>
      <c r="B323" s="12" t="str">
        <f t="shared" ref="B323:B386" si="126">CONCATENATE(J323,",",G323)</f>
        <v>,17</v>
      </c>
      <c r="C323" s="11">
        <f t="shared" si="119"/>
        <v>322</v>
      </c>
      <c r="D323" s="171"/>
      <c r="E323" s="12">
        <f t="shared" si="124"/>
        <v>0</v>
      </c>
      <c r="F323" s="12">
        <f>COUNTIF(H$2:H323,H323)</f>
        <v>23</v>
      </c>
      <c r="G323" s="12">
        <f>COUNTIF(J$2:J323,J323)</f>
        <v>17</v>
      </c>
      <c r="H323" s="12" t="str">
        <f t="shared" si="123"/>
        <v/>
      </c>
      <c r="I323" s="50" t="str">
        <f t="shared" si="117"/>
        <v/>
      </c>
      <c r="J323" s="50" t="str">
        <f t="shared" si="118"/>
        <v/>
      </c>
      <c r="K323" s="64" t="str">
        <f t="shared" si="121"/>
        <v/>
      </c>
      <c r="L323" s="64" t="str">
        <f t="shared" si="122"/>
        <v/>
      </c>
      <c r="M323" s="171"/>
      <c r="N323" s="178"/>
      <c r="O323" s="178"/>
      <c r="P323" s="138">
        <f t="shared" ref="P323:P386" si="127">IF(LEN(TRIM(M323))=0,P322,M323)</f>
        <v>0</v>
      </c>
      <c r="Q323" s="137">
        <f t="shared" ref="Q323:Q386" si="128">IF(N323="",Q322,N323)</f>
        <v>50</v>
      </c>
      <c r="R323" s="143"/>
      <c r="S323" s="143"/>
      <c r="T323" s="143"/>
      <c r="U323" s="144"/>
      <c r="V323" s="144"/>
      <c r="W323" s="144"/>
      <c r="X323" s="145"/>
      <c r="Y323" s="152" t="str">
        <f t="shared" ref="Y323:Y386" si="129">CONCATENATE(IF(P323=0,"  ",TEXT(P323,"#0")),IF(P323=0," ","."),IF(LEN(TRIM(Q323))=0,"  ",TEXT(Q323,"00")),IF(LEN(TRIM(Q323))=0,"","."),TEXT(O323,"00")," ")</f>
        <v xml:space="preserve">   50.00 </v>
      </c>
      <c r="Z323" s="136"/>
      <c r="AA323" s="50" t="str">
        <f t="shared" si="114"/>
        <v/>
      </c>
      <c r="AB323" s="129" t="str">
        <f t="shared" si="115"/>
        <v/>
      </c>
      <c r="AC323" s="58" t="str">
        <f t="shared" ref="AC323:AC386" si="130">IF(AG323&lt;&gt;"",CONCATENATE(J323,AG323),"")</f>
        <v/>
      </c>
      <c r="AD323" s="58" t="str">
        <f t="shared" ref="AD323:AD386" si="131">CONCATENATE(J323,L323)</f>
        <v/>
      </c>
      <c r="AE323" s="60" t="str">
        <f>IF(AD323="","",COUNTIF($AD$2:AD323,AD323))</f>
        <v/>
      </c>
      <c r="AF323" s="62" t="str">
        <f>IF(AD323="","",SUMIF(AD$2:AD323,AD323,G$2:G323))</f>
        <v/>
      </c>
      <c r="AG323" s="62" t="str">
        <f>IF(AK323&lt;&gt;"",COUNTIF($AK$1:AK322,AK323)+AK323,IF(AL323&lt;&gt;"",COUNTIF($AL$1:AL322,AL323)+AL323,""))</f>
        <v/>
      </c>
      <c r="AH323" s="62" t="str">
        <f t="shared" ref="AH323:AH386" si="132">L323</f>
        <v/>
      </c>
      <c r="AI323" s="62" t="str">
        <f>IF(AND(J323="M", AH323&lt;&gt;"U/A",AE323=Prizewinners!$J$1),AF323,"")</f>
        <v/>
      </c>
      <c r="AJ323" s="58" t="str">
        <f>IF(AND(J323="F",  AH323&lt;&gt;"U/A",AE323=Prizewinners!$J$16),AF323,"")</f>
        <v/>
      </c>
      <c r="AK323" s="58" t="str">
        <f t="shared" ref="AK323:AK386" si="133">IF(AI323&lt;&gt;"",RANK(AI323,AI$2:AI$504,1),"")</f>
        <v/>
      </c>
      <c r="AL323" s="58" t="str">
        <f t="shared" ref="AL323:AL386" si="134">IF(AJ323&lt;&gt;"",RANK(AJ323,AJ$2:AJ$504,1),"")</f>
        <v/>
      </c>
      <c r="AM323" s="58" t="str">
        <f t="shared" ref="AM323:AM386" si="135">CONCATENATE(AD323,AE323)</f>
        <v/>
      </c>
      <c r="AN323" s="58" t="str">
        <f t="shared" ref="AN323:AN386" si="136">IF(AG323&lt;&gt;"",VLOOKUP(CONCATENATE(AD323,"1"),Scoring_Team,5,FALSE),"")</f>
        <v/>
      </c>
      <c r="AO323" s="58" t="str">
        <f t="shared" ref="AO323:AO386" si="137">IF(AG323&lt;&gt;"",VLOOKUP(CONCATENATE(AD323,"2"),Scoring_Team,5,FALSE),"")</f>
        <v/>
      </c>
      <c r="AP323" s="58" t="str">
        <f t="shared" ref="AP323:AP386" si="138">IF(AG323&lt;&gt;"",VLOOKUP(CONCATENATE(AD323,"3"),Scoring_Team,5,FALSE),"")</f>
        <v/>
      </c>
      <c r="AQ323" s="58" t="str">
        <f t="shared" ref="AQ323:AQ386" si="139">K323</f>
        <v/>
      </c>
    </row>
    <row r="324" spans="1:43" x14ac:dyDescent="0.25">
      <c r="A324" s="12" t="str">
        <f t="shared" si="125"/>
        <v>,24</v>
      </c>
      <c r="B324" s="12" t="str">
        <f t="shared" si="126"/>
        <v>,18</v>
      </c>
      <c r="C324" s="11">
        <f t="shared" si="119"/>
        <v>323</v>
      </c>
      <c r="D324" s="171"/>
      <c r="E324" s="12">
        <f t="shared" si="124"/>
        <v>0</v>
      </c>
      <c r="F324" s="12">
        <f>COUNTIF(H$2:H324,H324)</f>
        <v>24</v>
      </c>
      <c r="G324" s="12">
        <f>COUNTIF(J$2:J324,J324)</f>
        <v>18</v>
      </c>
      <c r="H324" s="12" t="str">
        <f t="shared" si="123"/>
        <v/>
      </c>
      <c r="I324" s="50" t="str">
        <f t="shared" si="117"/>
        <v/>
      </c>
      <c r="J324" s="50" t="str">
        <f t="shared" si="118"/>
        <v/>
      </c>
      <c r="K324" s="64" t="str">
        <f t="shared" si="121"/>
        <v/>
      </c>
      <c r="L324" s="64" t="str">
        <f t="shared" si="122"/>
        <v/>
      </c>
      <c r="M324" s="171"/>
      <c r="N324" s="178"/>
      <c r="O324" s="178"/>
      <c r="P324" s="138">
        <f t="shared" si="127"/>
        <v>0</v>
      </c>
      <c r="Q324" s="137">
        <f t="shared" si="128"/>
        <v>50</v>
      </c>
      <c r="R324" s="143"/>
      <c r="S324" s="143"/>
      <c r="T324" s="143"/>
      <c r="U324" s="144"/>
      <c r="V324" s="144"/>
      <c r="W324" s="144"/>
      <c r="X324" s="145"/>
      <c r="Y324" s="152" t="str">
        <f t="shared" si="129"/>
        <v xml:space="preserve">   50.00 </v>
      </c>
      <c r="Z324" s="136"/>
      <c r="AA324" s="50" t="str">
        <f t="shared" ref="AA324:AA387" si="140">IF(ISNA(VLOOKUP($D324,Runner,6,FALSE)),"",VLOOKUP($D324,Runner,6,FALSE))</f>
        <v/>
      </c>
      <c r="AB324" s="129" t="str">
        <f t="shared" ref="AB324:AB387" si="141">IF(ISNA(VLOOKUP($D324,Runner,8,FALSE)),"",IF(VLOOKUP($D324,Runner,8,FALSE)=0,"",VLOOKUP($D324,Runner,8,FALSE)))</f>
        <v/>
      </c>
      <c r="AC324" s="58" t="str">
        <f t="shared" si="130"/>
        <v/>
      </c>
      <c r="AD324" s="58" t="str">
        <f t="shared" si="131"/>
        <v/>
      </c>
      <c r="AE324" s="60" t="str">
        <f>IF(AD324="","",COUNTIF($AD$2:AD324,AD324))</f>
        <v/>
      </c>
      <c r="AF324" s="62" t="str">
        <f>IF(AD324="","",SUMIF(AD$2:AD324,AD324,G$2:G324))</f>
        <v/>
      </c>
      <c r="AG324" s="62" t="str">
        <f>IF(AK324&lt;&gt;"",COUNTIF($AK$1:AK323,AK324)+AK324,IF(AL324&lt;&gt;"",COUNTIF($AL$1:AL323,AL324)+AL324,""))</f>
        <v/>
      </c>
      <c r="AH324" s="62" t="str">
        <f t="shared" si="132"/>
        <v/>
      </c>
      <c r="AI324" s="62" t="str">
        <f>IF(AND(J324="M", AH324&lt;&gt;"U/A",AE324=Prizewinners!$J$1),AF324,"")</f>
        <v/>
      </c>
      <c r="AJ324" s="58" t="str">
        <f>IF(AND(J324="F",  AH324&lt;&gt;"U/A",AE324=Prizewinners!$J$16),AF324,"")</f>
        <v/>
      </c>
      <c r="AK324" s="58" t="str">
        <f t="shared" si="133"/>
        <v/>
      </c>
      <c r="AL324" s="58" t="str">
        <f t="shared" si="134"/>
        <v/>
      </c>
      <c r="AM324" s="58" t="str">
        <f t="shared" si="135"/>
        <v/>
      </c>
      <c r="AN324" s="58" t="str">
        <f t="shared" si="136"/>
        <v/>
      </c>
      <c r="AO324" s="58" t="str">
        <f t="shared" si="137"/>
        <v/>
      </c>
      <c r="AP324" s="58" t="str">
        <f t="shared" si="138"/>
        <v/>
      </c>
      <c r="AQ324" s="58" t="str">
        <f t="shared" si="139"/>
        <v/>
      </c>
    </row>
    <row r="325" spans="1:43" x14ac:dyDescent="0.25">
      <c r="A325" s="12" t="str">
        <f t="shared" si="125"/>
        <v>,25</v>
      </c>
      <c r="B325" s="12" t="str">
        <f t="shared" si="126"/>
        <v>,19</v>
      </c>
      <c r="C325" s="11">
        <f t="shared" si="119"/>
        <v>324</v>
      </c>
      <c r="D325" s="171"/>
      <c r="E325" s="12">
        <f t="shared" si="124"/>
        <v>0</v>
      </c>
      <c r="F325" s="12">
        <f>COUNTIF(H$2:H325,H325)</f>
        <v>25</v>
      </c>
      <c r="G325" s="12">
        <f>COUNTIF(J$2:J325,J325)</f>
        <v>19</v>
      </c>
      <c r="H325" s="12" t="str">
        <f t="shared" ref="H325:H388" si="142">IF(G325&gt;3,I325,"")</f>
        <v/>
      </c>
      <c r="I325" s="50" t="str">
        <f t="shared" ref="I325:I388" si="143">IF(ISNA(VLOOKUP($D325,Runner,3,FALSE)),IF(ISNA(VLOOKUP($D325,Code,3,FALSE)),"",VLOOKUP($D325,Code,3,FALSE)),VLOOKUP($D325,Runner,3,FALSE))</f>
        <v/>
      </c>
      <c r="J325" s="50" t="str">
        <f t="shared" ref="J325:J388" si="144">IF(ISNA(VLOOKUP($D325,Runner,5,FALSE)),IF(ISNA(VLOOKUP($D325,Code,5,FALSE)),"",VLOOKUP($D325,Code,5,FALSE)),VLOOKUP($D325,Runner,5,FALSE))</f>
        <v/>
      </c>
      <c r="K325" s="64" t="str">
        <f t="shared" ref="K325:K388" si="145">TRIM(IF(ISNA(VLOOKUP($D325,Runner,2,FALSE)),IF(ISNA(VLOOKUP($D325,Code,2,FALSE)),"",VLOOKUP($D325,Code,2,FALSE)),VLOOKUP($D325,Runner,2,FALSE)))</f>
        <v/>
      </c>
      <c r="L325" s="64" t="str">
        <f t="shared" ref="L325:L388" si="146">IF(ISNA(VLOOKUP($D325,Runner,4,FALSE)),IF(ISNA(VLOOKUP($D325,Code,4,FALSE)),"",VLOOKUP($D325,Code,4,FALSE)),VLOOKUP($D325,Runner,4,FALSE))</f>
        <v/>
      </c>
      <c r="M325" s="171"/>
      <c r="N325" s="178"/>
      <c r="O325" s="178"/>
      <c r="P325" s="138">
        <f t="shared" si="127"/>
        <v>0</v>
      </c>
      <c r="Q325" s="137">
        <f t="shared" si="128"/>
        <v>50</v>
      </c>
      <c r="R325" s="143"/>
      <c r="S325" s="143"/>
      <c r="T325" s="143"/>
      <c r="U325" s="144"/>
      <c r="V325" s="144"/>
      <c r="W325" s="144"/>
      <c r="X325" s="145"/>
      <c r="Y325" s="152" t="str">
        <f t="shared" si="129"/>
        <v xml:space="preserve">   50.00 </v>
      </c>
      <c r="Z325" s="136"/>
      <c r="AA325" s="50" t="str">
        <f t="shared" si="140"/>
        <v/>
      </c>
      <c r="AB325" s="129" t="str">
        <f t="shared" si="141"/>
        <v/>
      </c>
      <c r="AC325" s="58" t="str">
        <f t="shared" si="130"/>
        <v/>
      </c>
      <c r="AD325" s="58" t="str">
        <f t="shared" si="131"/>
        <v/>
      </c>
      <c r="AE325" s="60" t="str">
        <f>IF(AD325="","",COUNTIF($AD$2:AD325,AD325))</f>
        <v/>
      </c>
      <c r="AF325" s="62" t="str">
        <f>IF(AD325="","",SUMIF(AD$2:AD325,AD325,G$2:G325))</f>
        <v/>
      </c>
      <c r="AG325" s="62" t="str">
        <f>IF(AK325&lt;&gt;"",COUNTIF($AK$1:AK324,AK325)+AK325,IF(AL325&lt;&gt;"",COUNTIF($AL$1:AL324,AL325)+AL325,""))</f>
        <v/>
      </c>
      <c r="AH325" s="62" t="str">
        <f t="shared" si="132"/>
        <v/>
      </c>
      <c r="AI325" s="62" t="str">
        <f>IF(AND(J325="M", AH325&lt;&gt;"U/A",AE325=Prizewinners!$J$1),AF325,"")</f>
        <v/>
      </c>
      <c r="AJ325" s="58" t="str">
        <f>IF(AND(J325="F",  AH325&lt;&gt;"U/A",AE325=Prizewinners!$J$16),AF325,"")</f>
        <v/>
      </c>
      <c r="AK325" s="58" t="str">
        <f t="shared" si="133"/>
        <v/>
      </c>
      <c r="AL325" s="58" t="str">
        <f t="shared" si="134"/>
        <v/>
      </c>
      <c r="AM325" s="58" t="str">
        <f t="shared" si="135"/>
        <v/>
      </c>
      <c r="AN325" s="58" t="str">
        <f t="shared" si="136"/>
        <v/>
      </c>
      <c r="AO325" s="58" t="str">
        <f t="shared" si="137"/>
        <v/>
      </c>
      <c r="AP325" s="58" t="str">
        <f t="shared" si="138"/>
        <v/>
      </c>
      <c r="AQ325" s="58" t="str">
        <f t="shared" si="139"/>
        <v/>
      </c>
    </row>
    <row r="326" spans="1:43" x14ac:dyDescent="0.25">
      <c r="A326" s="12" t="str">
        <f t="shared" si="125"/>
        <v>,26</v>
      </c>
      <c r="B326" s="12" t="str">
        <f t="shared" si="126"/>
        <v>,20</v>
      </c>
      <c r="C326" s="11">
        <f t="shared" ref="C326:C389" si="147">C325+1</f>
        <v>325</v>
      </c>
      <c r="D326" s="171"/>
      <c r="E326" s="12">
        <f t="shared" si="124"/>
        <v>0</v>
      </c>
      <c r="F326" s="12">
        <f>COUNTIF(H$2:H326,H326)</f>
        <v>26</v>
      </c>
      <c r="G326" s="12">
        <f>COUNTIF(J$2:J326,J326)</f>
        <v>20</v>
      </c>
      <c r="H326" s="12" t="str">
        <f t="shared" si="142"/>
        <v/>
      </c>
      <c r="I326" s="50" t="str">
        <f t="shared" si="143"/>
        <v/>
      </c>
      <c r="J326" s="50" t="str">
        <f t="shared" si="144"/>
        <v/>
      </c>
      <c r="K326" s="64" t="str">
        <f t="shared" si="145"/>
        <v/>
      </c>
      <c r="L326" s="64" t="str">
        <f t="shared" si="146"/>
        <v/>
      </c>
      <c r="M326" s="171"/>
      <c r="N326" s="178"/>
      <c r="O326" s="178"/>
      <c r="P326" s="138">
        <f t="shared" si="127"/>
        <v>0</v>
      </c>
      <c r="Q326" s="137">
        <f t="shared" si="128"/>
        <v>50</v>
      </c>
      <c r="R326" s="143"/>
      <c r="S326" s="143"/>
      <c r="T326" s="143"/>
      <c r="U326" s="144"/>
      <c r="V326" s="144"/>
      <c r="W326" s="144"/>
      <c r="X326" s="145"/>
      <c r="Y326" s="152" t="str">
        <f t="shared" si="129"/>
        <v xml:space="preserve">   50.00 </v>
      </c>
      <c r="Z326" s="136"/>
      <c r="AA326" s="50" t="str">
        <f t="shared" si="140"/>
        <v/>
      </c>
      <c r="AB326" s="129" t="str">
        <f t="shared" si="141"/>
        <v/>
      </c>
      <c r="AC326" s="58" t="str">
        <f t="shared" si="130"/>
        <v/>
      </c>
      <c r="AD326" s="58" t="str">
        <f t="shared" si="131"/>
        <v/>
      </c>
      <c r="AE326" s="60" t="str">
        <f>IF(AD326="","",COUNTIF($AD$2:AD326,AD326))</f>
        <v/>
      </c>
      <c r="AF326" s="62" t="str">
        <f>IF(AD326="","",SUMIF(AD$2:AD326,AD326,G$2:G326))</f>
        <v/>
      </c>
      <c r="AG326" s="62" t="str">
        <f>IF(AK326&lt;&gt;"",COUNTIF($AK$1:AK325,AK326)+AK326,IF(AL326&lt;&gt;"",COUNTIF($AL$1:AL325,AL326)+AL326,""))</f>
        <v/>
      </c>
      <c r="AH326" s="62" t="str">
        <f t="shared" si="132"/>
        <v/>
      </c>
      <c r="AI326" s="62" t="str">
        <f>IF(AND(J326="M", AH326&lt;&gt;"U/A",AE326=Prizewinners!$J$1),AF326,"")</f>
        <v/>
      </c>
      <c r="AJ326" s="58" t="str">
        <f>IF(AND(J326="F",  AH326&lt;&gt;"U/A",AE326=Prizewinners!$J$16),AF326,"")</f>
        <v/>
      </c>
      <c r="AK326" s="58" t="str">
        <f t="shared" si="133"/>
        <v/>
      </c>
      <c r="AL326" s="58" t="str">
        <f t="shared" si="134"/>
        <v/>
      </c>
      <c r="AM326" s="58" t="str">
        <f t="shared" si="135"/>
        <v/>
      </c>
      <c r="AN326" s="58" t="str">
        <f t="shared" si="136"/>
        <v/>
      </c>
      <c r="AO326" s="58" t="str">
        <f t="shared" si="137"/>
        <v/>
      </c>
      <c r="AP326" s="58" t="str">
        <f t="shared" si="138"/>
        <v/>
      </c>
      <c r="AQ326" s="58" t="str">
        <f t="shared" si="139"/>
        <v/>
      </c>
    </row>
    <row r="327" spans="1:43" x14ac:dyDescent="0.25">
      <c r="A327" s="12" t="str">
        <f t="shared" si="125"/>
        <v>,27</v>
      </c>
      <c r="B327" s="12" t="str">
        <f t="shared" si="126"/>
        <v>,21</v>
      </c>
      <c r="C327" s="11">
        <f t="shared" si="147"/>
        <v>326</v>
      </c>
      <c r="D327" s="171"/>
      <c r="E327" s="12">
        <f t="shared" si="124"/>
        <v>0</v>
      </c>
      <c r="F327" s="12">
        <f>COUNTIF(H$2:H327,H327)</f>
        <v>27</v>
      </c>
      <c r="G327" s="12">
        <f>COUNTIF(J$2:J327,J327)</f>
        <v>21</v>
      </c>
      <c r="H327" s="12" t="str">
        <f t="shared" si="142"/>
        <v/>
      </c>
      <c r="I327" s="50" t="str">
        <f t="shared" si="143"/>
        <v/>
      </c>
      <c r="J327" s="50" t="str">
        <f t="shared" si="144"/>
        <v/>
      </c>
      <c r="K327" s="64" t="str">
        <f t="shared" si="145"/>
        <v/>
      </c>
      <c r="L327" s="64" t="str">
        <f t="shared" si="146"/>
        <v/>
      </c>
      <c r="M327" s="171"/>
      <c r="N327" s="178"/>
      <c r="O327" s="178"/>
      <c r="P327" s="138">
        <f t="shared" si="127"/>
        <v>0</v>
      </c>
      <c r="Q327" s="137">
        <f t="shared" si="128"/>
        <v>50</v>
      </c>
      <c r="R327" s="143"/>
      <c r="S327" s="143"/>
      <c r="T327" s="143"/>
      <c r="U327" s="144"/>
      <c r="V327" s="144"/>
      <c r="W327" s="144"/>
      <c r="X327" s="145"/>
      <c r="Y327" s="152" t="str">
        <f t="shared" si="129"/>
        <v xml:space="preserve">   50.00 </v>
      </c>
      <c r="Z327" s="136"/>
      <c r="AA327" s="50" t="str">
        <f t="shared" si="140"/>
        <v/>
      </c>
      <c r="AB327" s="129" t="str">
        <f t="shared" si="141"/>
        <v/>
      </c>
      <c r="AC327" s="58" t="str">
        <f t="shared" si="130"/>
        <v/>
      </c>
      <c r="AD327" s="58" t="str">
        <f t="shared" si="131"/>
        <v/>
      </c>
      <c r="AE327" s="60" t="str">
        <f>IF(AD327="","",COUNTIF($AD$2:AD327,AD327))</f>
        <v/>
      </c>
      <c r="AF327" s="62" t="str">
        <f>IF(AD327="","",SUMIF(AD$2:AD327,AD327,G$2:G327))</f>
        <v/>
      </c>
      <c r="AG327" s="62" t="str">
        <f>IF(AK327&lt;&gt;"",COUNTIF($AK$1:AK326,AK327)+AK327,IF(AL327&lt;&gt;"",COUNTIF($AL$1:AL326,AL327)+AL327,""))</f>
        <v/>
      </c>
      <c r="AH327" s="62" t="str">
        <f t="shared" si="132"/>
        <v/>
      </c>
      <c r="AI327" s="62" t="str">
        <f>IF(AND(J327="M", AH327&lt;&gt;"U/A",AE327=Prizewinners!$J$1),AF327,"")</f>
        <v/>
      </c>
      <c r="AJ327" s="58" t="str">
        <f>IF(AND(J327="F",  AH327&lt;&gt;"U/A",AE327=Prizewinners!$J$16),AF327,"")</f>
        <v/>
      </c>
      <c r="AK327" s="58" t="str">
        <f t="shared" si="133"/>
        <v/>
      </c>
      <c r="AL327" s="58" t="str">
        <f t="shared" si="134"/>
        <v/>
      </c>
      <c r="AM327" s="58" t="str">
        <f t="shared" si="135"/>
        <v/>
      </c>
      <c r="AN327" s="58" t="str">
        <f t="shared" si="136"/>
        <v/>
      </c>
      <c r="AO327" s="58" t="str">
        <f t="shared" si="137"/>
        <v/>
      </c>
      <c r="AP327" s="58" t="str">
        <f t="shared" si="138"/>
        <v/>
      </c>
      <c r="AQ327" s="58" t="str">
        <f t="shared" si="139"/>
        <v/>
      </c>
    </row>
    <row r="328" spans="1:43" x14ac:dyDescent="0.25">
      <c r="A328" s="12" t="str">
        <f t="shared" si="125"/>
        <v>,28</v>
      </c>
      <c r="B328" s="12" t="str">
        <f t="shared" si="126"/>
        <v>,22</v>
      </c>
      <c r="C328" s="11">
        <f t="shared" si="147"/>
        <v>327</v>
      </c>
      <c r="D328" s="171"/>
      <c r="E328" s="12">
        <f t="shared" si="124"/>
        <v>0</v>
      </c>
      <c r="F328" s="12">
        <f>COUNTIF(H$2:H328,H328)</f>
        <v>28</v>
      </c>
      <c r="G328" s="12">
        <f>COUNTIF(J$2:J328,J328)</f>
        <v>22</v>
      </c>
      <c r="H328" s="12" t="str">
        <f t="shared" si="142"/>
        <v/>
      </c>
      <c r="I328" s="50" t="str">
        <f t="shared" si="143"/>
        <v/>
      </c>
      <c r="J328" s="50" t="str">
        <f t="shared" si="144"/>
        <v/>
      </c>
      <c r="K328" s="64" t="str">
        <f t="shared" si="145"/>
        <v/>
      </c>
      <c r="L328" s="64" t="str">
        <f t="shared" si="146"/>
        <v/>
      </c>
      <c r="M328" s="171"/>
      <c r="N328" s="178"/>
      <c r="O328" s="178"/>
      <c r="P328" s="138">
        <f t="shared" si="127"/>
        <v>0</v>
      </c>
      <c r="Q328" s="137">
        <f t="shared" si="128"/>
        <v>50</v>
      </c>
      <c r="R328" s="143"/>
      <c r="S328" s="143"/>
      <c r="T328" s="143"/>
      <c r="U328" s="144"/>
      <c r="V328" s="144"/>
      <c r="W328" s="144"/>
      <c r="X328" s="145"/>
      <c r="Y328" s="152" t="str">
        <f t="shared" si="129"/>
        <v xml:space="preserve">   50.00 </v>
      </c>
      <c r="Z328" s="136"/>
      <c r="AA328" s="50" t="str">
        <f t="shared" si="140"/>
        <v/>
      </c>
      <c r="AB328" s="129" t="str">
        <f t="shared" si="141"/>
        <v/>
      </c>
      <c r="AC328" s="58" t="str">
        <f t="shared" si="130"/>
        <v/>
      </c>
      <c r="AD328" s="58" t="str">
        <f t="shared" si="131"/>
        <v/>
      </c>
      <c r="AE328" s="60" t="str">
        <f>IF(AD328="","",COUNTIF($AD$2:AD328,AD328))</f>
        <v/>
      </c>
      <c r="AF328" s="62" t="str">
        <f>IF(AD328="","",SUMIF(AD$2:AD328,AD328,G$2:G328))</f>
        <v/>
      </c>
      <c r="AG328" s="62" t="str">
        <f>IF(AK328&lt;&gt;"",COUNTIF($AK$1:AK327,AK328)+AK328,IF(AL328&lt;&gt;"",COUNTIF($AL$1:AL327,AL328)+AL328,""))</f>
        <v/>
      </c>
      <c r="AH328" s="62" t="str">
        <f t="shared" si="132"/>
        <v/>
      </c>
      <c r="AI328" s="62" t="str">
        <f>IF(AND(J328="M", AH328&lt;&gt;"U/A",AE328=Prizewinners!$J$1),AF328,"")</f>
        <v/>
      </c>
      <c r="AJ328" s="58" t="str">
        <f>IF(AND(J328="F",  AH328&lt;&gt;"U/A",AE328=Prizewinners!$J$16),AF328,"")</f>
        <v/>
      </c>
      <c r="AK328" s="58" t="str">
        <f t="shared" si="133"/>
        <v/>
      </c>
      <c r="AL328" s="58" t="str">
        <f t="shared" si="134"/>
        <v/>
      </c>
      <c r="AM328" s="58" t="str">
        <f t="shared" si="135"/>
        <v/>
      </c>
      <c r="AN328" s="58" t="str">
        <f t="shared" si="136"/>
        <v/>
      </c>
      <c r="AO328" s="58" t="str">
        <f t="shared" si="137"/>
        <v/>
      </c>
      <c r="AP328" s="58" t="str">
        <f t="shared" si="138"/>
        <v/>
      </c>
      <c r="AQ328" s="58" t="str">
        <f t="shared" si="139"/>
        <v/>
      </c>
    </row>
    <row r="329" spans="1:43" x14ac:dyDescent="0.25">
      <c r="A329" s="12" t="str">
        <f t="shared" si="125"/>
        <v>,29</v>
      </c>
      <c r="B329" s="12" t="str">
        <f t="shared" si="126"/>
        <v>,23</v>
      </c>
      <c r="C329" s="11">
        <f t="shared" si="147"/>
        <v>328</v>
      </c>
      <c r="D329" s="171"/>
      <c r="E329" s="12">
        <f t="shared" si="124"/>
        <v>0</v>
      </c>
      <c r="F329" s="12">
        <f>COUNTIF(H$2:H329,H329)</f>
        <v>29</v>
      </c>
      <c r="G329" s="12">
        <f>COUNTIF(J$2:J329,J329)</f>
        <v>23</v>
      </c>
      <c r="H329" s="12" t="str">
        <f t="shared" si="142"/>
        <v/>
      </c>
      <c r="I329" s="50" t="str">
        <f t="shared" si="143"/>
        <v/>
      </c>
      <c r="J329" s="50" t="str">
        <f t="shared" si="144"/>
        <v/>
      </c>
      <c r="K329" s="64" t="str">
        <f t="shared" si="145"/>
        <v/>
      </c>
      <c r="L329" s="64" t="str">
        <f t="shared" si="146"/>
        <v/>
      </c>
      <c r="M329" s="171"/>
      <c r="N329" s="178"/>
      <c r="O329" s="178"/>
      <c r="P329" s="138">
        <f t="shared" si="127"/>
        <v>0</v>
      </c>
      <c r="Q329" s="137">
        <f t="shared" si="128"/>
        <v>50</v>
      </c>
      <c r="R329" s="143"/>
      <c r="S329" s="143"/>
      <c r="T329" s="143"/>
      <c r="U329" s="144"/>
      <c r="V329" s="144"/>
      <c r="W329" s="144"/>
      <c r="X329" s="145"/>
      <c r="Y329" s="152" t="str">
        <f t="shared" si="129"/>
        <v xml:space="preserve">   50.00 </v>
      </c>
      <c r="Z329" s="136"/>
      <c r="AA329" s="50" t="str">
        <f t="shared" si="140"/>
        <v/>
      </c>
      <c r="AB329" s="129" t="str">
        <f t="shared" si="141"/>
        <v/>
      </c>
      <c r="AC329" s="58" t="str">
        <f t="shared" si="130"/>
        <v/>
      </c>
      <c r="AD329" s="58" t="str">
        <f t="shared" si="131"/>
        <v/>
      </c>
      <c r="AE329" s="60" t="str">
        <f>IF(AD329="","",COUNTIF($AD$2:AD329,AD329))</f>
        <v/>
      </c>
      <c r="AF329" s="62" t="str">
        <f>IF(AD329="","",SUMIF(AD$2:AD329,AD329,G$2:G329))</f>
        <v/>
      </c>
      <c r="AG329" s="62" t="str">
        <f>IF(AK329&lt;&gt;"",COUNTIF($AK$1:AK328,AK329)+AK329,IF(AL329&lt;&gt;"",COUNTIF($AL$1:AL328,AL329)+AL329,""))</f>
        <v/>
      </c>
      <c r="AH329" s="62" t="str">
        <f t="shared" si="132"/>
        <v/>
      </c>
      <c r="AI329" s="62" t="str">
        <f>IF(AND(J329="M", AH329&lt;&gt;"U/A",AE329=Prizewinners!$J$1),AF329,"")</f>
        <v/>
      </c>
      <c r="AJ329" s="58" t="str">
        <f>IF(AND(J329="F",  AH329&lt;&gt;"U/A",AE329=Prizewinners!$J$16),AF329,"")</f>
        <v/>
      </c>
      <c r="AK329" s="58" t="str">
        <f t="shared" si="133"/>
        <v/>
      </c>
      <c r="AL329" s="58" t="str">
        <f t="shared" si="134"/>
        <v/>
      </c>
      <c r="AM329" s="58" t="str">
        <f t="shared" si="135"/>
        <v/>
      </c>
      <c r="AN329" s="58" t="str">
        <f t="shared" si="136"/>
        <v/>
      </c>
      <c r="AO329" s="58" t="str">
        <f t="shared" si="137"/>
        <v/>
      </c>
      <c r="AP329" s="58" t="str">
        <f t="shared" si="138"/>
        <v/>
      </c>
      <c r="AQ329" s="58" t="str">
        <f t="shared" si="139"/>
        <v/>
      </c>
    </row>
    <row r="330" spans="1:43" x14ac:dyDescent="0.25">
      <c r="A330" s="12" t="str">
        <f t="shared" si="125"/>
        <v>,30</v>
      </c>
      <c r="B330" s="12" t="str">
        <f t="shared" si="126"/>
        <v>,24</v>
      </c>
      <c r="C330" s="11">
        <f t="shared" si="147"/>
        <v>329</v>
      </c>
      <c r="D330" s="171"/>
      <c r="E330" s="12">
        <f t="shared" si="124"/>
        <v>0</v>
      </c>
      <c r="F330" s="12">
        <f>COUNTIF(H$2:H330,H330)</f>
        <v>30</v>
      </c>
      <c r="G330" s="12">
        <f>COUNTIF(J$2:J330,J330)</f>
        <v>24</v>
      </c>
      <c r="H330" s="12" t="str">
        <f t="shared" si="142"/>
        <v/>
      </c>
      <c r="I330" s="50" t="str">
        <f t="shared" si="143"/>
        <v/>
      </c>
      <c r="J330" s="50" t="str">
        <f t="shared" si="144"/>
        <v/>
      </c>
      <c r="K330" s="64" t="str">
        <f t="shared" si="145"/>
        <v/>
      </c>
      <c r="L330" s="64" t="str">
        <f t="shared" si="146"/>
        <v/>
      </c>
      <c r="M330" s="171"/>
      <c r="N330" s="178"/>
      <c r="O330" s="178"/>
      <c r="P330" s="138">
        <f t="shared" si="127"/>
        <v>0</v>
      </c>
      <c r="Q330" s="137">
        <f t="shared" si="128"/>
        <v>50</v>
      </c>
      <c r="R330" s="143"/>
      <c r="S330" s="143"/>
      <c r="T330" s="143"/>
      <c r="U330" s="144"/>
      <c r="V330" s="144"/>
      <c r="W330" s="144"/>
      <c r="X330" s="145"/>
      <c r="Y330" s="152" t="str">
        <f t="shared" si="129"/>
        <v xml:space="preserve">   50.00 </v>
      </c>
      <c r="Z330" s="136"/>
      <c r="AA330" s="50" t="str">
        <f t="shared" si="140"/>
        <v/>
      </c>
      <c r="AB330" s="129" t="str">
        <f t="shared" si="141"/>
        <v/>
      </c>
      <c r="AC330" s="58" t="str">
        <f t="shared" si="130"/>
        <v/>
      </c>
      <c r="AD330" s="58" t="str">
        <f t="shared" si="131"/>
        <v/>
      </c>
      <c r="AE330" s="60" t="str">
        <f>IF(AD330="","",COUNTIF($AD$2:AD330,AD330))</f>
        <v/>
      </c>
      <c r="AF330" s="62" t="str">
        <f>IF(AD330="","",SUMIF(AD$2:AD330,AD330,G$2:G330))</f>
        <v/>
      </c>
      <c r="AG330" s="62" t="str">
        <f>IF(AK330&lt;&gt;"",COUNTIF($AK$1:AK329,AK330)+AK330,IF(AL330&lt;&gt;"",COUNTIF($AL$1:AL329,AL330)+AL330,""))</f>
        <v/>
      </c>
      <c r="AH330" s="62" t="str">
        <f t="shared" si="132"/>
        <v/>
      </c>
      <c r="AI330" s="62" t="str">
        <f>IF(AND(J330="M", AH330&lt;&gt;"U/A",AE330=Prizewinners!$J$1),AF330,"")</f>
        <v/>
      </c>
      <c r="AJ330" s="58" t="str">
        <f>IF(AND(J330="F",  AH330&lt;&gt;"U/A",AE330=Prizewinners!$J$16),AF330,"")</f>
        <v/>
      </c>
      <c r="AK330" s="58" t="str">
        <f t="shared" si="133"/>
        <v/>
      </c>
      <c r="AL330" s="58" t="str">
        <f t="shared" si="134"/>
        <v/>
      </c>
      <c r="AM330" s="58" t="str">
        <f t="shared" si="135"/>
        <v/>
      </c>
      <c r="AN330" s="58" t="str">
        <f t="shared" si="136"/>
        <v/>
      </c>
      <c r="AO330" s="58" t="str">
        <f t="shared" si="137"/>
        <v/>
      </c>
      <c r="AP330" s="58" t="str">
        <f t="shared" si="138"/>
        <v/>
      </c>
      <c r="AQ330" s="58" t="str">
        <f t="shared" si="139"/>
        <v/>
      </c>
    </row>
    <row r="331" spans="1:43" x14ac:dyDescent="0.25">
      <c r="A331" s="12" t="str">
        <f t="shared" si="125"/>
        <v>,31</v>
      </c>
      <c r="B331" s="12" t="str">
        <f t="shared" si="126"/>
        <v>,25</v>
      </c>
      <c r="C331" s="11">
        <f t="shared" si="147"/>
        <v>330</v>
      </c>
      <c r="D331" s="171"/>
      <c r="E331" s="12">
        <f t="shared" si="124"/>
        <v>0</v>
      </c>
      <c r="F331" s="12">
        <f>COUNTIF(H$2:H331,H331)</f>
        <v>31</v>
      </c>
      <c r="G331" s="12">
        <f>COUNTIF(J$2:J331,J331)</f>
        <v>25</v>
      </c>
      <c r="H331" s="12" t="str">
        <f t="shared" si="142"/>
        <v/>
      </c>
      <c r="I331" s="50" t="str">
        <f t="shared" si="143"/>
        <v/>
      </c>
      <c r="J331" s="50" t="str">
        <f t="shared" si="144"/>
        <v/>
      </c>
      <c r="K331" s="64" t="str">
        <f t="shared" si="145"/>
        <v/>
      </c>
      <c r="L331" s="64" t="str">
        <f t="shared" si="146"/>
        <v/>
      </c>
      <c r="M331" s="171"/>
      <c r="N331" s="178"/>
      <c r="O331" s="178"/>
      <c r="P331" s="138">
        <f t="shared" si="127"/>
        <v>0</v>
      </c>
      <c r="Q331" s="137">
        <f t="shared" si="128"/>
        <v>50</v>
      </c>
      <c r="R331" s="143"/>
      <c r="S331" s="143"/>
      <c r="T331" s="143"/>
      <c r="U331" s="144"/>
      <c r="V331" s="144"/>
      <c r="W331" s="144"/>
      <c r="X331" s="145"/>
      <c r="Y331" s="152" t="str">
        <f t="shared" si="129"/>
        <v xml:space="preserve">   50.00 </v>
      </c>
      <c r="Z331" s="136"/>
      <c r="AA331" s="50" t="str">
        <f t="shared" si="140"/>
        <v/>
      </c>
      <c r="AB331" s="129" t="str">
        <f t="shared" si="141"/>
        <v/>
      </c>
      <c r="AC331" s="58" t="str">
        <f t="shared" si="130"/>
        <v/>
      </c>
      <c r="AD331" s="58" t="str">
        <f t="shared" si="131"/>
        <v/>
      </c>
      <c r="AE331" s="60" t="str">
        <f>IF(AD331="","",COUNTIF($AD$2:AD331,AD331))</f>
        <v/>
      </c>
      <c r="AF331" s="62" t="str">
        <f>IF(AD331="","",SUMIF(AD$2:AD331,AD331,G$2:G331))</f>
        <v/>
      </c>
      <c r="AG331" s="62" t="str">
        <f>IF(AK331&lt;&gt;"",COUNTIF($AK$1:AK330,AK331)+AK331,IF(AL331&lt;&gt;"",COUNTIF($AL$1:AL330,AL331)+AL331,""))</f>
        <v/>
      </c>
      <c r="AH331" s="62" t="str">
        <f t="shared" si="132"/>
        <v/>
      </c>
      <c r="AI331" s="62" t="str">
        <f>IF(AND(J331="M", AH331&lt;&gt;"U/A",AE331=Prizewinners!$J$1),AF331,"")</f>
        <v/>
      </c>
      <c r="AJ331" s="58" t="str">
        <f>IF(AND(J331="F",  AH331&lt;&gt;"U/A",AE331=Prizewinners!$J$16),AF331,"")</f>
        <v/>
      </c>
      <c r="AK331" s="58" t="str">
        <f t="shared" si="133"/>
        <v/>
      </c>
      <c r="AL331" s="58" t="str">
        <f t="shared" si="134"/>
        <v/>
      </c>
      <c r="AM331" s="58" t="str">
        <f t="shared" si="135"/>
        <v/>
      </c>
      <c r="AN331" s="58" t="str">
        <f t="shared" si="136"/>
        <v/>
      </c>
      <c r="AO331" s="58" t="str">
        <f t="shared" si="137"/>
        <v/>
      </c>
      <c r="AP331" s="58" t="str">
        <f t="shared" si="138"/>
        <v/>
      </c>
      <c r="AQ331" s="58" t="str">
        <f t="shared" si="139"/>
        <v/>
      </c>
    </row>
    <row r="332" spans="1:43" x14ac:dyDescent="0.25">
      <c r="A332" s="12" t="str">
        <f t="shared" si="125"/>
        <v>,32</v>
      </c>
      <c r="B332" s="12" t="str">
        <f t="shared" si="126"/>
        <v>,26</v>
      </c>
      <c r="C332" s="11">
        <f t="shared" si="147"/>
        <v>331</v>
      </c>
      <c r="D332" s="171"/>
      <c r="E332" s="12">
        <f t="shared" si="124"/>
        <v>0</v>
      </c>
      <c r="F332" s="12">
        <f>COUNTIF(H$2:H332,H332)</f>
        <v>32</v>
      </c>
      <c r="G332" s="12">
        <f>COUNTIF(J$2:J332,J332)</f>
        <v>26</v>
      </c>
      <c r="H332" s="12" t="str">
        <f t="shared" si="142"/>
        <v/>
      </c>
      <c r="I332" s="50" t="str">
        <f t="shared" si="143"/>
        <v/>
      </c>
      <c r="J332" s="50" t="str">
        <f t="shared" si="144"/>
        <v/>
      </c>
      <c r="K332" s="64" t="str">
        <f t="shared" si="145"/>
        <v/>
      </c>
      <c r="L332" s="64" t="str">
        <f t="shared" si="146"/>
        <v/>
      </c>
      <c r="M332" s="171"/>
      <c r="N332" s="178"/>
      <c r="O332" s="178"/>
      <c r="P332" s="138">
        <f t="shared" si="127"/>
        <v>0</v>
      </c>
      <c r="Q332" s="137">
        <f t="shared" si="128"/>
        <v>50</v>
      </c>
      <c r="R332" s="143"/>
      <c r="S332" s="143"/>
      <c r="T332" s="143"/>
      <c r="U332" s="144"/>
      <c r="V332" s="144"/>
      <c r="W332" s="144"/>
      <c r="X332" s="145"/>
      <c r="Y332" s="152" t="str">
        <f t="shared" si="129"/>
        <v xml:space="preserve">   50.00 </v>
      </c>
      <c r="Z332" s="136"/>
      <c r="AA332" s="50" t="str">
        <f t="shared" si="140"/>
        <v/>
      </c>
      <c r="AB332" s="129" t="str">
        <f t="shared" si="141"/>
        <v/>
      </c>
      <c r="AC332" s="58" t="str">
        <f t="shared" si="130"/>
        <v/>
      </c>
      <c r="AD332" s="58" t="str">
        <f t="shared" si="131"/>
        <v/>
      </c>
      <c r="AE332" s="60" t="str">
        <f>IF(AD332="","",COUNTIF($AD$2:AD332,AD332))</f>
        <v/>
      </c>
      <c r="AF332" s="62" t="str">
        <f>IF(AD332="","",SUMIF(AD$2:AD332,AD332,G$2:G332))</f>
        <v/>
      </c>
      <c r="AG332" s="62" t="str">
        <f>IF(AK332&lt;&gt;"",COUNTIF($AK$1:AK331,AK332)+AK332,IF(AL332&lt;&gt;"",COUNTIF($AL$1:AL331,AL332)+AL332,""))</f>
        <v/>
      </c>
      <c r="AH332" s="62" t="str">
        <f t="shared" si="132"/>
        <v/>
      </c>
      <c r="AI332" s="62" t="str">
        <f>IF(AND(J332="M", AH332&lt;&gt;"U/A",AE332=Prizewinners!$J$1),AF332,"")</f>
        <v/>
      </c>
      <c r="AJ332" s="58" t="str">
        <f>IF(AND(J332="F",  AH332&lt;&gt;"U/A",AE332=Prizewinners!$J$16),AF332,"")</f>
        <v/>
      </c>
      <c r="AK332" s="58" t="str">
        <f t="shared" si="133"/>
        <v/>
      </c>
      <c r="AL332" s="58" t="str">
        <f t="shared" si="134"/>
        <v/>
      </c>
      <c r="AM332" s="58" t="str">
        <f t="shared" si="135"/>
        <v/>
      </c>
      <c r="AN332" s="58" t="str">
        <f t="shared" si="136"/>
        <v/>
      </c>
      <c r="AO332" s="58" t="str">
        <f t="shared" si="137"/>
        <v/>
      </c>
      <c r="AP332" s="58" t="str">
        <f t="shared" si="138"/>
        <v/>
      </c>
      <c r="AQ332" s="58" t="str">
        <f t="shared" si="139"/>
        <v/>
      </c>
    </row>
    <row r="333" spans="1:43" x14ac:dyDescent="0.25">
      <c r="A333" s="12" t="str">
        <f t="shared" si="125"/>
        <v>,33</v>
      </c>
      <c r="B333" s="12" t="str">
        <f t="shared" si="126"/>
        <v>,27</v>
      </c>
      <c r="C333" s="11">
        <f t="shared" si="147"/>
        <v>332</v>
      </c>
      <c r="D333" s="171"/>
      <c r="E333" s="12">
        <f t="shared" si="124"/>
        <v>0</v>
      </c>
      <c r="F333" s="12">
        <f>COUNTIF(H$2:H333,H333)</f>
        <v>33</v>
      </c>
      <c r="G333" s="12">
        <f>COUNTIF(J$2:J333,J333)</f>
        <v>27</v>
      </c>
      <c r="H333" s="12" t="str">
        <f t="shared" si="142"/>
        <v/>
      </c>
      <c r="I333" s="50" t="str">
        <f t="shared" si="143"/>
        <v/>
      </c>
      <c r="J333" s="50" t="str">
        <f t="shared" si="144"/>
        <v/>
      </c>
      <c r="K333" s="64" t="str">
        <f t="shared" si="145"/>
        <v/>
      </c>
      <c r="L333" s="64" t="str">
        <f t="shared" si="146"/>
        <v/>
      </c>
      <c r="M333" s="171"/>
      <c r="N333" s="178"/>
      <c r="O333" s="178"/>
      <c r="P333" s="138">
        <f t="shared" si="127"/>
        <v>0</v>
      </c>
      <c r="Q333" s="137">
        <f t="shared" si="128"/>
        <v>50</v>
      </c>
      <c r="R333" s="143"/>
      <c r="S333" s="143"/>
      <c r="T333" s="143"/>
      <c r="U333" s="144"/>
      <c r="V333" s="144"/>
      <c r="W333" s="144"/>
      <c r="X333" s="145"/>
      <c r="Y333" s="152" t="str">
        <f t="shared" si="129"/>
        <v xml:space="preserve">   50.00 </v>
      </c>
      <c r="Z333" s="136"/>
      <c r="AA333" s="50" t="str">
        <f t="shared" si="140"/>
        <v/>
      </c>
      <c r="AB333" s="129" t="str">
        <f t="shared" si="141"/>
        <v/>
      </c>
      <c r="AC333" s="58" t="str">
        <f t="shared" si="130"/>
        <v/>
      </c>
      <c r="AD333" s="58" t="str">
        <f t="shared" si="131"/>
        <v/>
      </c>
      <c r="AE333" s="60" t="str">
        <f>IF(AD333="","",COUNTIF($AD$2:AD333,AD333))</f>
        <v/>
      </c>
      <c r="AF333" s="62" t="str">
        <f>IF(AD333="","",SUMIF(AD$2:AD333,AD333,G$2:G333))</f>
        <v/>
      </c>
      <c r="AG333" s="62" t="str">
        <f>IF(AK333&lt;&gt;"",COUNTIF($AK$1:AK332,AK333)+AK333,IF(AL333&lt;&gt;"",COUNTIF($AL$1:AL332,AL333)+AL333,""))</f>
        <v/>
      </c>
      <c r="AH333" s="62" t="str">
        <f t="shared" si="132"/>
        <v/>
      </c>
      <c r="AI333" s="62" t="str">
        <f>IF(AND(J333="M", AH333&lt;&gt;"U/A",AE333=Prizewinners!$J$1),AF333,"")</f>
        <v/>
      </c>
      <c r="AJ333" s="58" t="str">
        <f>IF(AND(J333="F",  AH333&lt;&gt;"U/A",AE333=Prizewinners!$J$16),AF333,"")</f>
        <v/>
      </c>
      <c r="AK333" s="58" t="str">
        <f t="shared" si="133"/>
        <v/>
      </c>
      <c r="AL333" s="58" t="str">
        <f t="shared" si="134"/>
        <v/>
      </c>
      <c r="AM333" s="58" t="str">
        <f t="shared" si="135"/>
        <v/>
      </c>
      <c r="AN333" s="58" t="str">
        <f t="shared" si="136"/>
        <v/>
      </c>
      <c r="AO333" s="58" t="str">
        <f t="shared" si="137"/>
        <v/>
      </c>
      <c r="AP333" s="58" t="str">
        <f t="shared" si="138"/>
        <v/>
      </c>
      <c r="AQ333" s="58" t="str">
        <f t="shared" si="139"/>
        <v/>
      </c>
    </row>
    <row r="334" spans="1:43" x14ac:dyDescent="0.25">
      <c r="A334" s="12" t="str">
        <f t="shared" si="125"/>
        <v>,34</v>
      </c>
      <c r="B334" s="12" t="str">
        <f t="shared" si="126"/>
        <v>,28</v>
      </c>
      <c r="C334" s="11">
        <f t="shared" si="147"/>
        <v>333</v>
      </c>
      <c r="D334" s="171"/>
      <c r="E334" s="12">
        <f t="shared" si="124"/>
        <v>0</v>
      </c>
      <c r="F334" s="12">
        <f>COUNTIF(H$2:H334,H334)</f>
        <v>34</v>
      </c>
      <c r="G334" s="12">
        <f>COUNTIF(J$2:J334,J334)</f>
        <v>28</v>
      </c>
      <c r="H334" s="12" t="str">
        <f t="shared" si="142"/>
        <v/>
      </c>
      <c r="I334" s="50" t="str">
        <f t="shared" si="143"/>
        <v/>
      </c>
      <c r="J334" s="50" t="str">
        <f t="shared" si="144"/>
        <v/>
      </c>
      <c r="K334" s="64" t="str">
        <f t="shared" si="145"/>
        <v/>
      </c>
      <c r="L334" s="64" t="str">
        <f t="shared" si="146"/>
        <v/>
      </c>
      <c r="M334" s="171"/>
      <c r="N334" s="178"/>
      <c r="O334" s="178"/>
      <c r="P334" s="138">
        <f t="shared" si="127"/>
        <v>0</v>
      </c>
      <c r="Q334" s="137">
        <f t="shared" si="128"/>
        <v>50</v>
      </c>
      <c r="R334" s="143"/>
      <c r="S334" s="143"/>
      <c r="T334" s="143"/>
      <c r="U334" s="144"/>
      <c r="V334" s="144"/>
      <c r="W334" s="144"/>
      <c r="X334" s="145"/>
      <c r="Y334" s="152" t="str">
        <f t="shared" si="129"/>
        <v xml:space="preserve">   50.00 </v>
      </c>
      <c r="Z334" s="136"/>
      <c r="AA334" s="50" t="str">
        <f t="shared" si="140"/>
        <v/>
      </c>
      <c r="AB334" s="129" t="str">
        <f t="shared" si="141"/>
        <v/>
      </c>
      <c r="AC334" s="58" t="str">
        <f t="shared" si="130"/>
        <v/>
      </c>
      <c r="AD334" s="58" t="str">
        <f t="shared" si="131"/>
        <v/>
      </c>
      <c r="AE334" s="60" t="str">
        <f>IF(AD334="","",COUNTIF($AD$2:AD334,AD334))</f>
        <v/>
      </c>
      <c r="AF334" s="62" t="str">
        <f>IF(AD334="","",SUMIF(AD$2:AD334,AD334,G$2:G334))</f>
        <v/>
      </c>
      <c r="AG334" s="62" t="str">
        <f>IF(AK334&lt;&gt;"",COUNTIF($AK$1:AK333,AK334)+AK334,IF(AL334&lt;&gt;"",COUNTIF($AL$1:AL333,AL334)+AL334,""))</f>
        <v/>
      </c>
      <c r="AH334" s="62" t="str">
        <f t="shared" si="132"/>
        <v/>
      </c>
      <c r="AI334" s="62" t="str">
        <f>IF(AND(J334="M", AH334&lt;&gt;"U/A",AE334=Prizewinners!$J$1),AF334,"")</f>
        <v/>
      </c>
      <c r="AJ334" s="58" t="str">
        <f>IF(AND(J334="F",  AH334&lt;&gt;"U/A",AE334=Prizewinners!$J$16),AF334,"")</f>
        <v/>
      </c>
      <c r="AK334" s="58" t="str">
        <f t="shared" si="133"/>
        <v/>
      </c>
      <c r="AL334" s="58" t="str">
        <f t="shared" si="134"/>
        <v/>
      </c>
      <c r="AM334" s="58" t="str">
        <f t="shared" si="135"/>
        <v/>
      </c>
      <c r="AN334" s="58" t="str">
        <f t="shared" si="136"/>
        <v/>
      </c>
      <c r="AO334" s="58" t="str">
        <f t="shared" si="137"/>
        <v/>
      </c>
      <c r="AP334" s="58" t="str">
        <f t="shared" si="138"/>
        <v/>
      </c>
      <c r="AQ334" s="58" t="str">
        <f t="shared" si="139"/>
        <v/>
      </c>
    </row>
    <row r="335" spans="1:43" x14ac:dyDescent="0.25">
      <c r="A335" s="12" t="str">
        <f t="shared" si="125"/>
        <v>,35</v>
      </c>
      <c r="B335" s="12" t="str">
        <f t="shared" si="126"/>
        <v>,29</v>
      </c>
      <c r="C335" s="11">
        <f t="shared" si="147"/>
        <v>334</v>
      </c>
      <c r="D335" s="171"/>
      <c r="E335" s="12">
        <f t="shared" si="124"/>
        <v>0</v>
      </c>
      <c r="F335" s="12">
        <f>COUNTIF(H$2:H335,H335)</f>
        <v>35</v>
      </c>
      <c r="G335" s="12">
        <f>COUNTIF(J$2:J335,J335)</f>
        <v>29</v>
      </c>
      <c r="H335" s="12" t="str">
        <f t="shared" si="142"/>
        <v/>
      </c>
      <c r="I335" s="50" t="str">
        <f t="shared" si="143"/>
        <v/>
      </c>
      <c r="J335" s="50" t="str">
        <f t="shared" si="144"/>
        <v/>
      </c>
      <c r="K335" s="64" t="str">
        <f t="shared" si="145"/>
        <v/>
      </c>
      <c r="L335" s="64" t="str">
        <f t="shared" si="146"/>
        <v/>
      </c>
      <c r="M335" s="171"/>
      <c r="N335" s="178"/>
      <c r="O335" s="178"/>
      <c r="P335" s="138">
        <f t="shared" si="127"/>
        <v>0</v>
      </c>
      <c r="Q335" s="137">
        <f t="shared" si="128"/>
        <v>50</v>
      </c>
      <c r="R335" s="143"/>
      <c r="S335" s="143"/>
      <c r="T335" s="143"/>
      <c r="U335" s="144"/>
      <c r="V335" s="144"/>
      <c r="W335" s="144"/>
      <c r="X335" s="145"/>
      <c r="Y335" s="152" t="str">
        <f t="shared" si="129"/>
        <v xml:space="preserve">   50.00 </v>
      </c>
      <c r="Z335" s="136"/>
      <c r="AA335" s="50" t="str">
        <f t="shared" si="140"/>
        <v/>
      </c>
      <c r="AB335" s="129" t="str">
        <f t="shared" si="141"/>
        <v/>
      </c>
      <c r="AC335" s="58" t="str">
        <f t="shared" si="130"/>
        <v/>
      </c>
      <c r="AD335" s="58" t="str">
        <f t="shared" si="131"/>
        <v/>
      </c>
      <c r="AE335" s="60" t="str">
        <f>IF(AD335="","",COUNTIF($AD$2:AD335,AD335))</f>
        <v/>
      </c>
      <c r="AF335" s="62" t="str">
        <f>IF(AD335="","",SUMIF(AD$2:AD335,AD335,G$2:G335))</f>
        <v/>
      </c>
      <c r="AG335" s="62" t="str">
        <f>IF(AK335&lt;&gt;"",COUNTIF($AK$1:AK334,AK335)+AK335,IF(AL335&lt;&gt;"",COUNTIF($AL$1:AL334,AL335)+AL335,""))</f>
        <v/>
      </c>
      <c r="AH335" s="62" t="str">
        <f t="shared" si="132"/>
        <v/>
      </c>
      <c r="AI335" s="62" t="str">
        <f>IF(AND(J335="M", AH335&lt;&gt;"U/A",AE335=Prizewinners!$J$1),AF335,"")</f>
        <v/>
      </c>
      <c r="AJ335" s="58" t="str">
        <f>IF(AND(J335="F",  AH335&lt;&gt;"U/A",AE335=Prizewinners!$J$16),AF335,"")</f>
        <v/>
      </c>
      <c r="AK335" s="58" t="str">
        <f t="shared" si="133"/>
        <v/>
      </c>
      <c r="AL335" s="58" t="str">
        <f t="shared" si="134"/>
        <v/>
      </c>
      <c r="AM335" s="58" t="str">
        <f t="shared" si="135"/>
        <v/>
      </c>
      <c r="AN335" s="58" t="str">
        <f t="shared" si="136"/>
        <v/>
      </c>
      <c r="AO335" s="58" t="str">
        <f t="shared" si="137"/>
        <v/>
      </c>
      <c r="AP335" s="58" t="str">
        <f t="shared" si="138"/>
        <v/>
      </c>
      <c r="AQ335" s="58" t="str">
        <f t="shared" si="139"/>
        <v/>
      </c>
    </row>
    <row r="336" spans="1:43" x14ac:dyDescent="0.25">
      <c r="A336" s="12" t="str">
        <f t="shared" si="125"/>
        <v>,36</v>
      </c>
      <c r="B336" s="12" t="str">
        <f t="shared" si="126"/>
        <v>,30</v>
      </c>
      <c r="C336" s="11">
        <f t="shared" si="147"/>
        <v>335</v>
      </c>
      <c r="D336" s="171"/>
      <c r="E336" s="12">
        <f t="shared" si="124"/>
        <v>0</v>
      </c>
      <c r="F336" s="12">
        <f>COUNTIF(H$2:H336,H336)</f>
        <v>36</v>
      </c>
      <c r="G336" s="12">
        <f>COUNTIF(J$2:J336,J336)</f>
        <v>30</v>
      </c>
      <c r="H336" s="12" t="str">
        <f t="shared" si="142"/>
        <v/>
      </c>
      <c r="I336" s="50" t="str">
        <f t="shared" si="143"/>
        <v/>
      </c>
      <c r="J336" s="50" t="str">
        <f t="shared" si="144"/>
        <v/>
      </c>
      <c r="K336" s="64" t="str">
        <f t="shared" si="145"/>
        <v/>
      </c>
      <c r="L336" s="64" t="str">
        <f t="shared" si="146"/>
        <v/>
      </c>
      <c r="M336" s="171"/>
      <c r="N336" s="178"/>
      <c r="O336" s="178"/>
      <c r="P336" s="138">
        <f t="shared" si="127"/>
        <v>0</v>
      </c>
      <c r="Q336" s="137">
        <f t="shared" si="128"/>
        <v>50</v>
      </c>
      <c r="R336" s="143"/>
      <c r="S336" s="143"/>
      <c r="T336" s="143"/>
      <c r="U336" s="144"/>
      <c r="V336" s="144"/>
      <c r="W336" s="144"/>
      <c r="X336" s="145"/>
      <c r="Y336" s="152" t="str">
        <f t="shared" si="129"/>
        <v xml:space="preserve">   50.00 </v>
      </c>
      <c r="Z336" s="136"/>
      <c r="AA336" s="50" t="str">
        <f t="shared" si="140"/>
        <v/>
      </c>
      <c r="AB336" s="129" t="str">
        <f t="shared" si="141"/>
        <v/>
      </c>
      <c r="AC336" s="58" t="str">
        <f t="shared" si="130"/>
        <v/>
      </c>
      <c r="AD336" s="58" t="str">
        <f t="shared" si="131"/>
        <v/>
      </c>
      <c r="AE336" s="60" t="str">
        <f>IF(AD336="","",COUNTIF($AD$2:AD336,AD336))</f>
        <v/>
      </c>
      <c r="AF336" s="62" t="str">
        <f>IF(AD336="","",SUMIF(AD$2:AD336,AD336,G$2:G336))</f>
        <v/>
      </c>
      <c r="AG336" s="62" t="str">
        <f>IF(AK336&lt;&gt;"",COUNTIF($AK$1:AK335,AK336)+AK336,IF(AL336&lt;&gt;"",COUNTIF($AL$1:AL335,AL336)+AL336,""))</f>
        <v/>
      </c>
      <c r="AH336" s="62" t="str">
        <f t="shared" si="132"/>
        <v/>
      </c>
      <c r="AI336" s="62" t="str">
        <f>IF(AND(J336="M", AH336&lt;&gt;"U/A",AE336=Prizewinners!$J$1),AF336,"")</f>
        <v/>
      </c>
      <c r="AJ336" s="58" t="str">
        <f>IF(AND(J336="F",  AH336&lt;&gt;"U/A",AE336=Prizewinners!$J$16),AF336,"")</f>
        <v/>
      </c>
      <c r="AK336" s="58" t="str">
        <f t="shared" si="133"/>
        <v/>
      </c>
      <c r="AL336" s="58" t="str">
        <f t="shared" si="134"/>
        <v/>
      </c>
      <c r="AM336" s="58" t="str">
        <f t="shared" si="135"/>
        <v/>
      </c>
      <c r="AN336" s="58" t="str">
        <f t="shared" si="136"/>
        <v/>
      </c>
      <c r="AO336" s="58" t="str">
        <f t="shared" si="137"/>
        <v/>
      </c>
      <c r="AP336" s="58" t="str">
        <f t="shared" si="138"/>
        <v/>
      </c>
      <c r="AQ336" s="58" t="str">
        <f t="shared" si="139"/>
        <v/>
      </c>
    </row>
    <row r="337" spans="1:43" x14ac:dyDescent="0.25">
      <c r="A337" s="12" t="str">
        <f t="shared" si="125"/>
        <v>,37</v>
      </c>
      <c r="B337" s="12" t="str">
        <f t="shared" si="126"/>
        <v>,31</v>
      </c>
      <c r="C337" s="11">
        <f t="shared" si="147"/>
        <v>336</v>
      </c>
      <c r="D337" s="171"/>
      <c r="E337" s="12">
        <f t="shared" si="124"/>
        <v>0</v>
      </c>
      <c r="F337" s="12">
        <f>COUNTIF(H$2:H337,H337)</f>
        <v>37</v>
      </c>
      <c r="G337" s="12">
        <f>COUNTIF(J$2:J337,J337)</f>
        <v>31</v>
      </c>
      <c r="H337" s="12" t="str">
        <f t="shared" si="142"/>
        <v/>
      </c>
      <c r="I337" s="50" t="str">
        <f t="shared" si="143"/>
        <v/>
      </c>
      <c r="J337" s="50" t="str">
        <f t="shared" si="144"/>
        <v/>
      </c>
      <c r="K337" s="64" t="str">
        <f t="shared" si="145"/>
        <v/>
      </c>
      <c r="L337" s="64" t="str">
        <f t="shared" si="146"/>
        <v/>
      </c>
      <c r="M337" s="171"/>
      <c r="N337" s="178"/>
      <c r="O337" s="178"/>
      <c r="P337" s="138">
        <f t="shared" si="127"/>
        <v>0</v>
      </c>
      <c r="Q337" s="137">
        <f t="shared" si="128"/>
        <v>50</v>
      </c>
      <c r="R337" s="143"/>
      <c r="S337" s="143"/>
      <c r="T337" s="143"/>
      <c r="U337" s="144"/>
      <c r="V337" s="144"/>
      <c r="W337" s="144"/>
      <c r="X337" s="145"/>
      <c r="Y337" s="152" t="str">
        <f t="shared" si="129"/>
        <v xml:space="preserve">   50.00 </v>
      </c>
      <c r="Z337" s="136"/>
      <c r="AA337" s="50" t="str">
        <f t="shared" si="140"/>
        <v/>
      </c>
      <c r="AB337" s="129" t="str">
        <f t="shared" si="141"/>
        <v/>
      </c>
      <c r="AC337" s="58" t="str">
        <f t="shared" si="130"/>
        <v/>
      </c>
      <c r="AD337" s="58" t="str">
        <f t="shared" si="131"/>
        <v/>
      </c>
      <c r="AE337" s="60" t="str">
        <f>IF(AD337="","",COUNTIF($AD$2:AD337,AD337))</f>
        <v/>
      </c>
      <c r="AF337" s="62" t="str">
        <f>IF(AD337="","",SUMIF(AD$2:AD337,AD337,G$2:G337))</f>
        <v/>
      </c>
      <c r="AG337" s="62" t="str">
        <f>IF(AK337&lt;&gt;"",COUNTIF($AK$1:AK336,AK337)+AK337,IF(AL337&lt;&gt;"",COUNTIF($AL$1:AL336,AL337)+AL337,""))</f>
        <v/>
      </c>
      <c r="AH337" s="62" t="str">
        <f t="shared" si="132"/>
        <v/>
      </c>
      <c r="AI337" s="62" t="str">
        <f>IF(AND(J337="M", AH337&lt;&gt;"U/A",AE337=Prizewinners!$J$1),AF337,"")</f>
        <v/>
      </c>
      <c r="AJ337" s="58" t="str">
        <f>IF(AND(J337="F",  AH337&lt;&gt;"U/A",AE337=Prizewinners!$J$16),AF337,"")</f>
        <v/>
      </c>
      <c r="AK337" s="58" t="str">
        <f t="shared" si="133"/>
        <v/>
      </c>
      <c r="AL337" s="58" t="str">
        <f t="shared" si="134"/>
        <v/>
      </c>
      <c r="AM337" s="58" t="str">
        <f t="shared" si="135"/>
        <v/>
      </c>
      <c r="AN337" s="58" t="str">
        <f t="shared" si="136"/>
        <v/>
      </c>
      <c r="AO337" s="58" t="str">
        <f t="shared" si="137"/>
        <v/>
      </c>
      <c r="AP337" s="58" t="str">
        <f t="shared" si="138"/>
        <v/>
      </c>
      <c r="AQ337" s="58" t="str">
        <f t="shared" si="139"/>
        <v/>
      </c>
    </row>
    <row r="338" spans="1:43" x14ac:dyDescent="0.25">
      <c r="A338" s="12" t="str">
        <f t="shared" si="125"/>
        <v>,38</v>
      </c>
      <c r="B338" s="12" t="str">
        <f t="shared" si="126"/>
        <v>,32</v>
      </c>
      <c r="C338" s="11">
        <f t="shared" si="147"/>
        <v>337</v>
      </c>
      <c r="D338" s="171"/>
      <c r="E338" s="12">
        <f t="shared" si="124"/>
        <v>0</v>
      </c>
      <c r="F338" s="12">
        <f>COUNTIF(H$2:H338,H338)</f>
        <v>38</v>
      </c>
      <c r="G338" s="12">
        <f>COUNTIF(J$2:J338,J338)</f>
        <v>32</v>
      </c>
      <c r="H338" s="12" t="str">
        <f t="shared" si="142"/>
        <v/>
      </c>
      <c r="I338" s="50" t="str">
        <f t="shared" si="143"/>
        <v/>
      </c>
      <c r="J338" s="50" t="str">
        <f t="shared" si="144"/>
        <v/>
      </c>
      <c r="K338" s="64" t="str">
        <f t="shared" si="145"/>
        <v/>
      </c>
      <c r="L338" s="64" t="str">
        <f t="shared" si="146"/>
        <v/>
      </c>
      <c r="M338" s="171"/>
      <c r="N338" s="178"/>
      <c r="O338" s="178"/>
      <c r="P338" s="138">
        <f t="shared" si="127"/>
        <v>0</v>
      </c>
      <c r="Q338" s="137">
        <f t="shared" si="128"/>
        <v>50</v>
      </c>
      <c r="R338" s="143"/>
      <c r="S338" s="143"/>
      <c r="T338" s="143"/>
      <c r="U338" s="144"/>
      <c r="V338" s="144"/>
      <c r="W338" s="144"/>
      <c r="X338" s="145"/>
      <c r="Y338" s="152" t="str">
        <f t="shared" si="129"/>
        <v xml:space="preserve">   50.00 </v>
      </c>
      <c r="Z338" s="136"/>
      <c r="AA338" s="50" t="str">
        <f t="shared" si="140"/>
        <v/>
      </c>
      <c r="AB338" s="129" t="str">
        <f t="shared" si="141"/>
        <v/>
      </c>
      <c r="AC338" s="58" t="str">
        <f t="shared" si="130"/>
        <v/>
      </c>
      <c r="AD338" s="58" t="str">
        <f t="shared" si="131"/>
        <v/>
      </c>
      <c r="AE338" s="60" t="str">
        <f>IF(AD338="","",COUNTIF($AD$2:AD338,AD338))</f>
        <v/>
      </c>
      <c r="AF338" s="62" t="str">
        <f>IF(AD338="","",SUMIF(AD$2:AD338,AD338,G$2:G338))</f>
        <v/>
      </c>
      <c r="AG338" s="62" t="str">
        <f>IF(AK338&lt;&gt;"",COUNTIF($AK$1:AK337,AK338)+AK338,IF(AL338&lt;&gt;"",COUNTIF($AL$1:AL337,AL338)+AL338,""))</f>
        <v/>
      </c>
      <c r="AH338" s="62" t="str">
        <f t="shared" si="132"/>
        <v/>
      </c>
      <c r="AI338" s="62" t="str">
        <f>IF(AND(J338="M", AH338&lt;&gt;"U/A",AE338=Prizewinners!$J$1),AF338,"")</f>
        <v/>
      </c>
      <c r="AJ338" s="58" t="str">
        <f>IF(AND(J338="F",  AH338&lt;&gt;"U/A",AE338=Prizewinners!$J$16),AF338,"")</f>
        <v/>
      </c>
      <c r="AK338" s="58" t="str">
        <f t="shared" si="133"/>
        <v/>
      </c>
      <c r="AL338" s="58" t="str">
        <f t="shared" si="134"/>
        <v/>
      </c>
      <c r="AM338" s="58" t="str">
        <f t="shared" si="135"/>
        <v/>
      </c>
      <c r="AN338" s="58" t="str">
        <f t="shared" si="136"/>
        <v/>
      </c>
      <c r="AO338" s="58" t="str">
        <f t="shared" si="137"/>
        <v/>
      </c>
      <c r="AP338" s="58" t="str">
        <f t="shared" si="138"/>
        <v/>
      </c>
      <c r="AQ338" s="58" t="str">
        <f t="shared" si="139"/>
        <v/>
      </c>
    </row>
    <row r="339" spans="1:43" x14ac:dyDescent="0.25">
      <c r="A339" s="12" t="str">
        <f t="shared" si="125"/>
        <v>,39</v>
      </c>
      <c r="B339" s="12" t="str">
        <f t="shared" si="126"/>
        <v>,33</v>
      </c>
      <c r="C339" s="11">
        <f t="shared" si="147"/>
        <v>338</v>
      </c>
      <c r="D339" s="171"/>
      <c r="E339" s="12">
        <f t="shared" si="124"/>
        <v>0</v>
      </c>
      <c r="F339" s="12">
        <f>COUNTIF(H$2:H339,H339)</f>
        <v>39</v>
      </c>
      <c r="G339" s="12">
        <f>COUNTIF(J$2:J339,J339)</f>
        <v>33</v>
      </c>
      <c r="H339" s="12" t="str">
        <f t="shared" si="142"/>
        <v/>
      </c>
      <c r="I339" s="50" t="str">
        <f t="shared" si="143"/>
        <v/>
      </c>
      <c r="J339" s="50" t="str">
        <f t="shared" si="144"/>
        <v/>
      </c>
      <c r="K339" s="64" t="str">
        <f t="shared" si="145"/>
        <v/>
      </c>
      <c r="L339" s="64" t="str">
        <f t="shared" si="146"/>
        <v/>
      </c>
      <c r="M339" s="171"/>
      <c r="N339" s="178"/>
      <c r="O339" s="178"/>
      <c r="P339" s="138">
        <f t="shared" si="127"/>
        <v>0</v>
      </c>
      <c r="Q339" s="137">
        <f t="shared" si="128"/>
        <v>50</v>
      </c>
      <c r="R339" s="143"/>
      <c r="S339" s="143"/>
      <c r="T339" s="143"/>
      <c r="U339" s="144"/>
      <c r="V339" s="144"/>
      <c r="W339" s="144"/>
      <c r="X339" s="145"/>
      <c r="Y339" s="152" t="str">
        <f t="shared" si="129"/>
        <v xml:space="preserve">   50.00 </v>
      </c>
      <c r="Z339" s="136"/>
      <c r="AA339" s="50" t="str">
        <f t="shared" si="140"/>
        <v/>
      </c>
      <c r="AB339" s="129" t="str">
        <f t="shared" si="141"/>
        <v/>
      </c>
      <c r="AC339" s="58" t="str">
        <f t="shared" si="130"/>
        <v/>
      </c>
      <c r="AD339" s="58" t="str">
        <f t="shared" si="131"/>
        <v/>
      </c>
      <c r="AE339" s="60" t="str">
        <f>IF(AD339="","",COUNTIF($AD$2:AD339,AD339))</f>
        <v/>
      </c>
      <c r="AF339" s="62" t="str">
        <f>IF(AD339="","",SUMIF(AD$2:AD339,AD339,G$2:G339))</f>
        <v/>
      </c>
      <c r="AG339" s="62" t="str">
        <f>IF(AK339&lt;&gt;"",COUNTIF($AK$1:AK338,AK339)+AK339,IF(AL339&lt;&gt;"",COUNTIF($AL$1:AL338,AL339)+AL339,""))</f>
        <v/>
      </c>
      <c r="AH339" s="62" t="str">
        <f t="shared" si="132"/>
        <v/>
      </c>
      <c r="AI339" s="62" t="str">
        <f>IF(AND(J339="M", AH339&lt;&gt;"U/A",AE339=Prizewinners!$J$1),AF339,"")</f>
        <v/>
      </c>
      <c r="AJ339" s="58" t="str">
        <f>IF(AND(J339="F",  AH339&lt;&gt;"U/A",AE339=Prizewinners!$J$16),AF339,"")</f>
        <v/>
      </c>
      <c r="AK339" s="58" t="str">
        <f t="shared" si="133"/>
        <v/>
      </c>
      <c r="AL339" s="58" t="str">
        <f t="shared" si="134"/>
        <v/>
      </c>
      <c r="AM339" s="58" t="str">
        <f t="shared" si="135"/>
        <v/>
      </c>
      <c r="AN339" s="58" t="str">
        <f t="shared" si="136"/>
        <v/>
      </c>
      <c r="AO339" s="58" t="str">
        <f t="shared" si="137"/>
        <v/>
      </c>
      <c r="AP339" s="58" t="str">
        <f t="shared" si="138"/>
        <v/>
      </c>
      <c r="AQ339" s="58" t="str">
        <f t="shared" si="139"/>
        <v/>
      </c>
    </row>
    <row r="340" spans="1:43" x14ac:dyDescent="0.25">
      <c r="A340" s="12" t="str">
        <f t="shared" si="125"/>
        <v>,40</v>
      </c>
      <c r="B340" s="12" t="str">
        <f t="shared" si="126"/>
        <v>,34</v>
      </c>
      <c r="C340" s="11">
        <f t="shared" si="147"/>
        <v>339</v>
      </c>
      <c r="D340" s="171"/>
      <c r="E340" s="12">
        <f t="shared" si="124"/>
        <v>0</v>
      </c>
      <c r="F340" s="12">
        <f>COUNTIF(H$2:H340,H340)</f>
        <v>40</v>
      </c>
      <c r="G340" s="12">
        <f>COUNTIF(J$2:J340,J340)</f>
        <v>34</v>
      </c>
      <c r="H340" s="12" t="str">
        <f t="shared" si="142"/>
        <v/>
      </c>
      <c r="I340" s="50" t="str">
        <f t="shared" si="143"/>
        <v/>
      </c>
      <c r="J340" s="50" t="str">
        <f t="shared" si="144"/>
        <v/>
      </c>
      <c r="K340" s="64" t="str">
        <f t="shared" si="145"/>
        <v/>
      </c>
      <c r="L340" s="64" t="str">
        <f t="shared" si="146"/>
        <v/>
      </c>
      <c r="M340" s="171"/>
      <c r="N340" s="178"/>
      <c r="O340" s="178"/>
      <c r="P340" s="138">
        <f t="shared" si="127"/>
        <v>0</v>
      </c>
      <c r="Q340" s="137">
        <f t="shared" si="128"/>
        <v>50</v>
      </c>
      <c r="R340" s="143"/>
      <c r="S340" s="143"/>
      <c r="T340" s="143"/>
      <c r="U340" s="144"/>
      <c r="V340" s="144"/>
      <c r="W340" s="144"/>
      <c r="X340" s="145"/>
      <c r="Y340" s="152" t="str">
        <f t="shared" si="129"/>
        <v xml:space="preserve">   50.00 </v>
      </c>
      <c r="Z340" s="136"/>
      <c r="AA340" s="50" t="str">
        <f t="shared" si="140"/>
        <v/>
      </c>
      <c r="AB340" s="129" t="str">
        <f t="shared" si="141"/>
        <v/>
      </c>
      <c r="AC340" s="58" t="str">
        <f t="shared" si="130"/>
        <v/>
      </c>
      <c r="AD340" s="58" t="str">
        <f t="shared" si="131"/>
        <v/>
      </c>
      <c r="AE340" s="60" t="str">
        <f>IF(AD340="","",COUNTIF($AD$2:AD340,AD340))</f>
        <v/>
      </c>
      <c r="AF340" s="62" t="str">
        <f>IF(AD340="","",SUMIF(AD$2:AD340,AD340,G$2:G340))</f>
        <v/>
      </c>
      <c r="AG340" s="62" t="str">
        <f>IF(AK340&lt;&gt;"",COUNTIF($AK$1:AK339,AK340)+AK340,IF(AL340&lt;&gt;"",COUNTIF($AL$1:AL339,AL340)+AL340,""))</f>
        <v/>
      </c>
      <c r="AH340" s="62" t="str">
        <f t="shared" si="132"/>
        <v/>
      </c>
      <c r="AI340" s="62" t="str">
        <f>IF(AND(J340="M", AH340&lt;&gt;"U/A",AE340=Prizewinners!$J$1),AF340,"")</f>
        <v/>
      </c>
      <c r="AJ340" s="58" t="str">
        <f>IF(AND(J340="F",  AH340&lt;&gt;"U/A",AE340=Prizewinners!$J$16),AF340,"")</f>
        <v/>
      </c>
      <c r="AK340" s="58" t="str">
        <f t="shared" si="133"/>
        <v/>
      </c>
      <c r="AL340" s="58" t="str">
        <f t="shared" si="134"/>
        <v/>
      </c>
      <c r="AM340" s="58" t="str">
        <f t="shared" si="135"/>
        <v/>
      </c>
      <c r="AN340" s="58" t="str">
        <f t="shared" si="136"/>
        <v/>
      </c>
      <c r="AO340" s="58" t="str">
        <f t="shared" si="137"/>
        <v/>
      </c>
      <c r="AP340" s="58" t="str">
        <f t="shared" si="138"/>
        <v/>
      </c>
      <c r="AQ340" s="58" t="str">
        <f t="shared" si="139"/>
        <v/>
      </c>
    </row>
    <row r="341" spans="1:43" x14ac:dyDescent="0.25">
      <c r="A341" s="12" t="str">
        <f t="shared" si="125"/>
        <v>,41</v>
      </c>
      <c r="B341" s="12" t="str">
        <f t="shared" si="126"/>
        <v>,35</v>
      </c>
      <c r="C341" s="11">
        <f t="shared" si="147"/>
        <v>340</v>
      </c>
      <c r="D341" s="171"/>
      <c r="E341" s="12">
        <f t="shared" si="124"/>
        <v>0</v>
      </c>
      <c r="F341" s="12">
        <f>COUNTIF(H$2:H341,H341)</f>
        <v>41</v>
      </c>
      <c r="G341" s="12">
        <f>COUNTIF(J$2:J341,J341)</f>
        <v>35</v>
      </c>
      <c r="H341" s="12" t="str">
        <f t="shared" si="142"/>
        <v/>
      </c>
      <c r="I341" s="50" t="str">
        <f t="shared" si="143"/>
        <v/>
      </c>
      <c r="J341" s="50" t="str">
        <f t="shared" si="144"/>
        <v/>
      </c>
      <c r="K341" s="64" t="str">
        <f t="shared" si="145"/>
        <v/>
      </c>
      <c r="L341" s="64" t="str">
        <f t="shared" si="146"/>
        <v/>
      </c>
      <c r="M341" s="171"/>
      <c r="N341" s="178"/>
      <c r="O341" s="178"/>
      <c r="P341" s="138">
        <f t="shared" si="127"/>
        <v>0</v>
      </c>
      <c r="Q341" s="137">
        <f t="shared" si="128"/>
        <v>50</v>
      </c>
      <c r="R341" s="143"/>
      <c r="S341" s="143"/>
      <c r="T341" s="143"/>
      <c r="U341" s="144"/>
      <c r="V341" s="144"/>
      <c r="W341" s="144"/>
      <c r="X341" s="145"/>
      <c r="Y341" s="152" t="str">
        <f t="shared" si="129"/>
        <v xml:space="preserve">   50.00 </v>
      </c>
      <c r="Z341" s="136"/>
      <c r="AA341" s="50" t="str">
        <f t="shared" si="140"/>
        <v/>
      </c>
      <c r="AB341" s="129" t="str">
        <f t="shared" si="141"/>
        <v/>
      </c>
      <c r="AC341" s="58" t="str">
        <f t="shared" si="130"/>
        <v/>
      </c>
      <c r="AD341" s="58" t="str">
        <f t="shared" si="131"/>
        <v/>
      </c>
      <c r="AE341" s="60" t="str">
        <f>IF(AD341="","",COUNTIF($AD$2:AD341,AD341))</f>
        <v/>
      </c>
      <c r="AF341" s="62" t="str">
        <f>IF(AD341="","",SUMIF(AD$2:AD341,AD341,G$2:G341))</f>
        <v/>
      </c>
      <c r="AG341" s="62" t="str">
        <f>IF(AK341&lt;&gt;"",COUNTIF($AK$1:AK340,AK341)+AK341,IF(AL341&lt;&gt;"",COUNTIF($AL$1:AL340,AL341)+AL341,""))</f>
        <v/>
      </c>
      <c r="AH341" s="62" t="str">
        <f t="shared" si="132"/>
        <v/>
      </c>
      <c r="AI341" s="62" t="str">
        <f>IF(AND(J341="M", AH341&lt;&gt;"U/A",AE341=Prizewinners!$J$1),AF341,"")</f>
        <v/>
      </c>
      <c r="AJ341" s="58" t="str">
        <f>IF(AND(J341="F",  AH341&lt;&gt;"U/A",AE341=Prizewinners!$J$16),AF341,"")</f>
        <v/>
      </c>
      <c r="AK341" s="58" t="str">
        <f t="shared" si="133"/>
        <v/>
      </c>
      <c r="AL341" s="58" t="str">
        <f t="shared" si="134"/>
        <v/>
      </c>
      <c r="AM341" s="58" t="str">
        <f t="shared" si="135"/>
        <v/>
      </c>
      <c r="AN341" s="58" t="str">
        <f t="shared" si="136"/>
        <v/>
      </c>
      <c r="AO341" s="58" t="str">
        <f t="shared" si="137"/>
        <v/>
      </c>
      <c r="AP341" s="58" t="str">
        <f t="shared" si="138"/>
        <v/>
      </c>
      <c r="AQ341" s="58" t="str">
        <f t="shared" si="139"/>
        <v/>
      </c>
    </row>
    <row r="342" spans="1:43" x14ac:dyDescent="0.25">
      <c r="A342" s="12" t="str">
        <f t="shared" si="125"/>
        <v>,42</v>
      </c>
      <c r="B342" s="12" t="str">
        <f t="shared" si="126"/>
        <v>,36</v>
      </c>
      <c r="C342" s="11">
        <f t="shared" si="147"/>
        <v>341</v>
      </c>
      <c r="D342" s="171"/>
      <c r="E342" s="12">
        <f t="shared" si="124"/>
        <v>0</v>
      </c>
      <c r="F342" s="12">
        <f>COUNTIF(H$2:H342,H342)</f>
        <v>42</v>
      </c>
      <c r="G342" s="12">
        <f>COUNTIF(J$2:J342,J342)</f>
        <v>36</v>
      </c>
      <c r="H342" s="12" t="str">
        <f t="shared" si="142"/>
        <v/>
      </c>
      <c r="I342" s="50" t="str">
        <f t="shared" si="143"/>
        <v/>
      </c>
      <c r="J342" s="50" t="str">
        <f t="shared" si="144"/>
        <v/>
      </c>
      <c r="K342" s="64" t="str">
        <f t="shared" si="145"/>
        <v/>
      </c>
      <c r="L342" s="64" t="str">
        <f t="shared" si="146"/>
        <v/>
      </c>
      <c r="M342" s="171"/>
      <c r="N342" s="178"/>
      <c r="O342" s="178"/>
      <c r="P342" s="138">
        <f t="shared" si="127"/>
        <v>0</v>
      </c>
      <c r="Q342" s="137">
        <f t="shared" si="128"/>
        <v>50</v>
      </c>
      <c r="R342" s="143"/>
      <c r="S342" s="143"/>
      <c r="T342" s="143"/>
      <c r="U342" s="144"/>
      <c r="V342" s="144"/>
      <c r="W342" s="144"/>
      <c r="X342" s="145"/>
      <c r="Y342" s="152" t="str">
        <f t="shared" si="129"/>
        <v xml:space="preserve">   50.00 </v>
      </c>
      <c r="Z342" s="136"/>
      <c r="AA342" s="50" t="str">
        <f t="shared" si="140"/>
        <v/>
      </c>
      <c r="AB342" s="129" t="str">
        <f t="shared" si="141"/>
        <v/>
      </c>
      <c r="AC342" s="58" t="str">
        <f t="shared" si="130"/>
        <v/>
      </c>
      <c r="AD342" s="58" t="str">
        <f t="shared" si="131"/>
        <v/>
      </c>
      <c r="AE342" s="60" t="str">
        <f>IF(AD342="","",COUNTIF($AD$2:AD342,AD342))</f>
        <v/>
      </c>
      <c r="AF342" s="62" t="str">
        <f>IF(AD342="","",SUMIF(AD$2:AD342,AD342,G$2:G342))</f>
        <v/>
      </c>
      <c r="AG342" s="62" t="str">
        <f>IF(AK342&lt;&gt;"",COUNTIF($AK$1:AK341,AK342)+AK342,IF(AL342&lt;&gt;"",COUNTIF($AL$1:AL341,AL342)+AL342,""))</f>
        <v/>
      </c>
      <c r="AH342" s="62" t="str">
        <f t="shared" si="132"/>
        <v/>
      </c>
      <c r="AI342" s="62" t="str">
        <f>IF(AND(J342="M", AH342&lt;&gt;"U/A",AE342=Prizewinners!$J$1),AF342,"")</f>
        <v/>
      </c>
      <c r="AJ342" s="58" t="str">
        <f>IF(AND(J342="F",  AH342&lt;&gt;"U/A",AE342=Prizewinners!$J$16),AF342,"")</f>
        <v/>
      </c>
      <c r="AK342" s="58" t="str">
        <f t="shared" si="133"/>
        <v/>
      </c>
      <c r="AL342" s="58" t="str">
        <f t="shared" si="134"/>
        <v/>
      </c>
      <c r="AM342" s="58" t="str">
        <f t="shared" si="135"/>
        <v/>
      </c>
      <c r="AN342" s="58" t="str">
        <f t="shared" si="136"/>
        <v/>
      </c>
      <c r="AO342" s="58" t="str">
        <f t="shared" si="137"/>
        <v/>
      </c>
      <c r="AP342" s="58" t="str">
        <f t="shared" si="138"/>
        <v/>
      </c>
      <c r="AQ342" s="58" t="str">
        <f t="shared" si="139"/>
        <v/>
      </c>
    </row>
    <row r="343" spans="1:43" x14ac:dyDescent="0.25">
      <c r="A343" s="12" t="str">
        <f t="shared" si="125"/>
        <v>,43</v>
      </c>
      <c r="B343" s="12" t="str">
        <f t="shared" si="126"/>
        <v>,37</v>
      </c>
      <c r="C343" s="11">
        <f t="shared" si="147"/>
        <v>342</v>
      </c>
      <c r="D343" s="171"/>
      <c r="E343" s="12">
        <f t="shared" si="124"/>
        <v>0</v>
      </c>
      <c r="F343" s="12">
        <f>COUNTIF(H$2:H343,H343)</f>
        <v>43</v>
      </c>
      <c r="G343" s="12">
        <f>COUNTIF(J$2:J343,J343)</f>
        <v>37</v>
      </c>
      <c r="H343" s="12" t="str">
        <f t="shared" si="142"/>
        <v/>
      </c>
      <c r="I343" s="50" t="str">
        <f t="shared" si="143"/>
        <v/>
      </c>
      <c r="J343" s="50" t="str">
        <f t="shared" si="144"/>
        <v/>
      </c>
      <c r="K343" s="64" t="str">
        <f t="shared" si="145"/>
        <v/>
      </c>
      <c r="L343" s="64" t="str">
        <f t="shared" si="146"/>
        <v/>
      </c>
      <c r="M343" s="171"/>
      <c r="N343" s="178"/>
      <c r="O343" s="178"/>
      <c r="P343" s="138">
        <f t="shared" si="127"/>
        <v>0</v>
      </c>
      <c r="Q343" s="137">
        <f t="shared" si="128"/>
        <v>50</v>
      </c>
      <c r="R343" s="143"/>
      <c r="S343" s="143"/>
      <c r="T343" s="143"/>
      <c r="U343" s="144"/>
      <c r="V343" s="144"/>
      <c r="W343" s="144"/>
      <c r="X343" s="145"/>
      <c r="Y343" s="152" t="str">
        <f t="shared" si="129"/>
        <v xml:space="preserve">   50.00 </v>
      </c>
      <c r="Z343" s="136"/>
      <c r="AA343" s="50" t="str">
        <f t="shared" si="140"/>
        <v/>
      </c>
      <c r="AB343" s="129" t="str">
        <f t="shared" si="141"/>
        <v/>
      </c>
      <c r="AC343" s="58" t="str">
        <f t="shared" si="130"/>
        <v/>
      </c>
      <c r="AD343" s="58" t="str">
        <f t="shared" si="131"/>
        <v/>
      </c>
      <c r="AE343" s="60" t="str">
        <f>IF(AD343="","",COUNTIF($AD$2:AD343,AD343))</f>
        <v/>
      </c>
      <c r="AF343" s="62" t="str">
        <f>IF(AD343="","",SUMIF(AD$2:AD343,AD343,G$2:G343))</f>
        <v/>
      </c>
      <c r="AG343" s="62" t="str">
        <f>IF(AK343&lt;&gt;"",COUNTIF($AK$1:AK342,AK343)+AK343,IF(AL343&lt;&gt;"",COUNTIF($AL$1:AL342,AL343)+AL343,""))</f>
        <v/>
      </c>
      <c r="AH343" s="62" t="str">
        <f t="shared" si="132"/>
        <v/>
      </c>
      <c r="AI343" s="62" t="str">
        <f>IF(AND(J343="M", AH343&lt;&gt;"U/A",AE343=Prizewinners!$J$1),AF343,"")</f>
        <v/>
      </c>
      <c r="AJ343" s="58" t="str">
        <f>IF(AND(J343="F",  AH343&lt;&gt;"U/A",AE343=Prizewinners!$J$16),AF343,"")</f>
        <v/>
      </c>
      <c r="AK343" s="58" t="str">
        <f t="shared" si="133"/>
        <v/>
      </c>
      <c r="AL343" s="58" t="str">
        <f t="shared" si="134"/>
        <v/>
      </c>
      <c r="AM343" s="58" t="str">
        <f t="shared" si="135"/>
        <v/>
      </c>
      <c r="AN343" s="58" t="str">
        <f t="shared" si="136"/>
        <v/>
      </c>
      <c r="AO343" s="58" t="str">
        <f t="shared" si="137"/>
        <v/>
      </c>
      <c r="AP343" s="58" t="str">
        <f t="shared" si="138"/>
        <v/>
      </c>
      <c r="AQ343" s="58" t="str">
        <f t="shared" si="139"/>
        <v/>
      </c>
    </row>
    <row r="344" spans="1:43" x14ac:dyDescent="0.25">
      <c r="A344" s="12" t="str">
        <f t="shared" si="125"/>
        <v>,44</v>
      </c>
      <c r="B344" s="12" t="str">
        <f t="shared" si="126"/>
        <v>,38</v>
      </c>
      <c r="C344" s="11">
        <f t="shared" si="147"/>
        <v>343</v>
      </c>
      <c r="D344" s="171"/>
      <c r="E344" s="12">
        <f t="shared" si="124"/>
        <v>0</v>
      </c>
      <c r="F344" s="12">
        <f>COUNTIF(H$2:H344,H344)</f>
        <v>44</v>
      </c>
      <c r="G344" s="12">
        <f>COUNTIF(J$2:J344,J344)</f>
        <v>38</v>
      </c>
      <c r="H344" s="12" t="str">
        <f t="shared" si="142"/>
        <v/>
      </c>
      <c r="I344" s="50" t="str">
        <f t="shared" si="143"/>
        <v/>
      </c>
      <c r="J344" s="50" t="str">
        <f t="shared" si="144"/>
        <v/>
      </c>
      <c r="K344" s="64" t="str">
        <f t="shared" si="145"/>
        <v/>
      </c>
      <c r="L344" s="64" t="str">
        <f t="shared" si="146"/>
        <v/>
      </c>
      <c r="M344" s="171"/>
      <c r="N344" s="178"/>
      <c r="O344" s="178"/>
      <c r="P344" s="138">
        <f t="shared" si="127"/>
        <v>0</v>
      </c>
      <c r="Q344" s="137">
        <f t="shared" si="128"/>
        <v>50</v>
      </c>
      <c r="R344" s="143"/>
      <c r="S344" s="143"/>
      <c r="T344" s="143"/>
      <c r="U344" s="144"/>
      <c r="V344" s="144"/>
      <c r="W344" s="144"/>
      <c r="X344" s="145"/>
      <c r="Y344" s="152" t="str">
        <f t="shared" si="129"/>
        <v xml:space="preserve">   50.00 </v>
      </c>
      <c r="Z344" s="136"/>
      <c r="AA344" s="50" t="str">
        <f t="shared" si="140"/>
        <v/>
      </c>
      <c r="AB344" s="129" t="str">
        <f t="shared" si="141"/>
        <v/>
      </c>
      <c r="AC344" s="58" t="str">
        <f t="shared" si="130"/>
        <v/>
      </c>
      <c r="AD344" s="58" t="str">
        <f t="shared" si="131"/>
        <v/>
      </c>
      <c r="AE344" s="60" t="str">
        <f>IF(AD344="","",COUNTIF($AD$2:AD344,AD344))</f>
        <v/>
      </c>
      <c r="AF344" s="62" t="str">
        <f>IF(AD344="","",SUMIF(AD$2:AD344,AD344,G$2:G344))</f>
        <v/>
      </c>
      <c r="AG344" s="62" t="str">
        <f>IF(AK344&lt;&gt;"",COUNTIF($AK$1:AK343,AK344)+AK344,IF(AL344&lt;&gt;"",COUNTIF($AL$1:AL343,AL344)+AL344,""))</f>
        <v/>
      </c>
      <c r="AH344" s="62" t="str">
        <f t="shared" si="132"/>
        <v/>
      </c>
      <c r="AI344" s="62" t="str">
        <f>IF(AND(J344="M", AH344&lt;&gt;"U/A",AE344=Prizewinners!$J$1),AF344,"")</f>
        <v/>
      </c>
      <c r="AJ344" s="58" t="str">
        <f>IF(AND(J344="F",  AH344&lt;&gt;"U/A",AE344=Prizewinners!$J$16),AF344,"")</f>
        <v/>
      </c>
      <c r="AK344" s="58" t="str">
        <f t="shared" si="133"/>
        <v/>
      </c>
      <c r="AL344" s="58" t="str">
        <f t="shared" si="134"/>
        <v/>
      </c>
      <c r="AM344" s="58" t="str">
        <f t="shared" si="135"/>
        <v/>
      </c>
      <c r="AN344" s="58" t="str">
        <f t="shared" si="136"/>
        <v/>
      </c>
      <c r="AO344" s="58" t="str">
        <f t="shared" si="137"/>
        <v/>
      </c>
      <c r="AP344" s="58" t="str">
        <f t="shared" si="138"/>
        <v/>
      </c>
      <c r="AQ344" s="58" t="str">
        <f t="shared" si="139"/>
        <v/>
      </c>
    </row>
    <row r="345" spans="1:43" x14ac:dyDescent="0.25">
      <c r="A345" s="12" t="str">
        <f t="shared" si="125"/>
        <v>,45</v>
      </c>
      <c r="B345" s="12" t="str">
        <f t="shared" si="126"/>
        <v>,39</v>
      </c>
      <c r="C345" s="11">
        <f t="shared" si="147"/>
        <v>344</v>
      </c>
      <c r="D345" s="171"/>
      <c r="E345" s="12">
        <f t="shared" si="124"/>
        <v>0</v>
      </c>
      <c r="F345" s="12">
        <f>COUNTIF(H$2:H345,H345)</f>
        <v>45</v>
      </c>
      <c r="G345" s="12">
        <f>COUNTIF(J$2:J345,J345)</f>
        <v>39</v>
      </c>
      <c r="H345" s="12" t="str">
        <f t="shared" si="142"/>
        <v/>
      </c>
      <c r="I345" s="50" t="str">
        <f t="shared" si="143"/>
        <v/>
      </c>
      <c r="J345" s="50" t="str">
        <f t="shared" si="144"/>
        <v/>
      </c>
      <c r="K345" s="64" t="str">
        <f t="shared" si="145"/>
        <v/>
      </c>
      <c r="L345" s="64" t="str">
        <f t="shared" si="146"/>
        <v/>
      </c>
      <c r="M345" s="171"/>
      <c r="N345" s="178"/>
      <c r="O345" s="178"/>
      <c r="P345" s="138">
        <f t="shared" si="127"/>
        <v>0</v>
      </c>
      <c r="Q345" s="137">
        <f t="shared" si="128"/>
        <v>50</v>
      </c>
      <c r="R345" s="143"/>
      <c r="S345" s="143"/>
      <c r="T345" s="143"/>
      <c r="U345" s="144"/>
      <c r="V345" s="144"/>
      <c r="W345" s="144"/>
      <c r="X345" s="145"/>
      <c r="Y345" s="152" t="str">
        <f t="shared" si="129"/>
        <v xml:space="preserve">   50.00 </v>
      </c>
      <c r="Z345" s="136"/>
      <c r="AA345" s="50" t="str">
        <f t="shared" si="140"/>
        <v/>
      </c>
      <c r="AB345" s="129" t="str">
        <f t="shared" si="141"/>
        <v/>
      </c>
      <c r="AC345" s="58" t="str">
        <f t="shared" si="130"/>
        <v/>
      </c>
      <c r="AD345" s="58" t="str">
        <f t="shared" si="131"/>
        <v/>
      </c>
      <c r="AE345" s="60" t="str">
        <f>IF(AD345="","",COUNTIF($AD$2:AD345,AD345))</f>
        <v/>
      </c>
      <c r="AF345" s="62" t="str">
        <f>IF(AD345="","",SUMIF(AD$2:AD345,AD345,G$2:G345))</f>
        <v/>
      </c>
      <c r="AG345" s="62" t="str">
        <f>IF(AK345&lt;&gt;"",COUNTIF($AK$1:AK344,AK345)+AK345,IF(AL345&lt;&gt;"",COUNTIF($AL$1:AL344,AL345)+AL345,""))</f>
        <v/>
      </c>
      <c r="AH345" s="62" t="str">
        <f t="shared" si="132"/>
        <v/>
      </c>
      <c r="AI345" s="62" t="str">
        <f>IF(AND(J345="M", AH345&lt;&gt;"U/A",AE345=Prizewinners!$J$1),AF345,"")</f>
        <v/>
      </c>
      <c r="AJ345" s="58" t="str">
        <f>IF(AND(J345="F",  AH345&lt;&gt;"U/A",AE345=Prizewinners!$J$16),AF345,"")</f>
        <v/>
      </c>
      <c r="AK345" s="58" t="str">
        <f t="shared" si="133"/>
        <v/>
      </c>
      <c r="AL345" s="58" t="str">
        <f t="shared" si="134"/>
        <v/>
      </c>
      <c r="AM345" s="58" t="str">
        <f t="shared" si="135"/>
        <v/>
      </c>
      <c r="AN345" s="58" t="str">
        <f t="shared" si="136"/>
        <v/>
      </c>
      <c r="AO345" s="58" t="str">
        <f t="shared" si="137"/>
        <v/>
      </c>
      <c r="AP345" s="58" t="str">
        <f t="shared" si="138"/>
        <v/>
      </c>
      <c r="AQ345" s="58" t="str">
        <f t="shared" si="139"/>
        <v/>
      </c>
    </row>
    <row r="346" spans="1:43" x14ac:dyDescent="0.25">
      <c r="A346" s="12" t="str">
        <f t="shared" si="125"/>
        <v>,46</v>
      </c>
      <c r="B346" s="12" t="str">
        <f t="shared" si="126"/>
        <v>,40</v>
      </c>
      <c r="C346" s="11">
        <f t="shared" si="147"/>
        <v>345</v>
      </c>
      <c r="D346" s="171"/>
      <c r="E346" s="12">
        <f t="shared" si="124"/>
        <v>0</v>
      </c>
      <c r="F346" s="12">
        <f>COUNTIF(H$2:H346,H346)</f>
        <v>46</v>
      </c>
      <c r="G346" s="12">
        <f>COUNTIF(J$2:J346,J346)</f>
        <v>40</v>
      </c>
      <c r="H346" s="12" t="str">
        <f t="shared" si="142"/>
        <v/>
      </c>
      <c r="I346" s="50" t="str">
        <f t="shared" si="143"/>
        <v/>
      </c>
      <c r="J346" s="50" t="str">
        <f t="shared" si="144"/>
        <v/>
      </c>
      <c r="K346" s="64" t="str">
        <f t="shared" si="145"/>
        <v/>
      </c>
      <c r="L346" s="64" t="str">
        <f t="shared" si="146"/>
        <v/>
      </c>
      <c r="M346" s="171"/>
      <c r="N346" s="178"/>
      <c r="O346" s="178"/>
      <c r="P346" s="138">
        <f t="shared" si="127"/>
        <v>0</v>
      </c>
      <c r="Q346" s="137">
        <f t="shared" si="128"/>
        <v>50</v>
      </c>
      <c r="R346" s="143"/>
      <c r="S346" s="143"/>
      <c r="T346" s="143"/>
      <c r="U346" s="144"/>
      <c r="V346" s="144"/>
      <c r="W346" s="144"/>
      <c r="X346" s="145"/>
      <c r="Y346" s="152" t="str">
        <f t="shared" si="129"/>
        <v xml:space="preserve">   50.00 </v>
      </c>
      <c r="Z346" s="136"/>
      <c r="AA346" s="50" t="str">
        <f t="shared" si="140"/>
        <v/>
      </c>
      <c r="AB346" s="129" t="str">
        <f t="shared" si="141"/>
        <v/>
      </c>
      <c r="AC346" s="58" t="str">
        <f t="shared" si="130"/>
        <v/>
      </c>
      <c r="AD346" s="58" t="str">
        <f t="shared" si="131"/>
        <v/>
      </c>
      <c r="AE346" s="60" t="str">
        <f>IF(AD346="","",COUNTIF($AD$2:AD346,AD346))</f>
        <v/>
      </c>
      <c r="AF346" s="62" t="str">
        <f>IF(AD346="","",SUMIF(AD$2:AD346,AD346,G$2:G346))</f>
        <v/>
      </c>
      <c r="AG346" s="62" t="str">
        <f>IF(AK346&lt;&gt;"",COUNTIF($AK$1:AK345,AK346)+AK346,IF(AL346&lt;&gt;"",COUNTIF($AL$1:AL345,AL346)+AL346,""))</f>
        <v/>
      </c>
      <c r="AH346" s="62" t="str">
        <f t="shared" si="132"/>
        <v/>
      </c>
      <c r="AI346" s="62" t="str">
        <f>IF(AND(J346="M", AH346&lt;&gt;"U/A",AE346=Prizewinners!$J$1),AF346,"")</f>
        <v/>
      </c>
      <c r="AJ346" s="58" t="str">
        <f>IF(AND(J346="F",  AH346&lt;&gt;"U/A",AE346=Prizewinners!$J$16),AF346,"")</f>
        <v/>
      </c>
      <c r="AK346" s="58" t="str">
        <f t="shared" si="133"/>
        <v/>
      </c>
      <c r="AL346" s="58" t="str">
        <f t="shared" si="134"/>
        <v/>
      </c>
      <c r="AM346" s="58" t="str">
        <f t="shared" si="135"/>
        <v/>
      </c>
      <c r="AN346" s="58" t="str">
        <f t="shared" si="136"/>
        <v/>
      </c>
      <c r="AO346" s="58" t="str">
        <f t="shared" si="137"/>
        <v/>
      </c>
      <c r="AP346" s="58" t="str">
        <f t="shared" si="138"/>
        <v/>
      </c>
      <c r="AQ346" s="58" t="str">
        <f t="shared" si="139"/>
        <v/>
      </c>
    </row>
    <row r="347" spans="1:43" x14ac:dyDescent="0.25">
      <c r="A347" s="12" t="str">
        <f t="shared" si="125"/>
        <v>,47</v>
      </c>
      <c r="B347" s="12" t="str">
        <f t="shared" si="126"/>
        <v>,41</v>
      </c>
      <c r="C347" s="11">
        <f t="shared" si="147"/>
        <v>346</v>
      </c>
      <c r="D347" s="171"/>
      <c r="E347" s="12">
        <f t="shared" si="124"/>
        <v>0</v>
      </c>
      <c r="F347" s="12">
        <f>COUNTIF(H$2:H347,H347)</f>
        <v>47</v>
      </c>
      <c r="G347" s="12">
        <f>COUNTIF(J$2:J347,J347)</f>
        <v>41</v>
      </c>
      <c r="H347" s="12" t="str">
        <f t="shared" si="142"/>
        <v/>
      </c>
      <c r="I347" s="50" t="str">
        <f t="shared" si="143"/>
        <v/>
      </c>
      <c r="J347" s="50" t="str">
        <f t="shared" si="144"/>
        <v/>
      </c>
      <c r="K347" s="64" t="str">
        <f t="shared" si="145"/>
        <v/>
      </c>
      <c r="L347" s="64" t="str">
        <f t="shared" si="146"/>
        <v/>
      </c>
      <c r="M347" s="171"/>
      <c r="N347" s="178"/>
      <c r="O347" s="178"/>
      <c r="P347" s="138">
        <f t="shared" si="127"/>
        <v>0</v>
      </c>
      <c r="Q347" s="137">
        <f t="shared" si="128"/>
        <v>50</v>
      </c>
      <c r="R347" s="143"/>
      <c r="S347" s="143"/>
      <c r="T347" s="143"/>
      <c r="U347" s="144"/>
      <c r="V347" s="144"/>
      <c r="W347" s="144"/>
      <c r="X347" s="145"/>
      <c r="Y347" s="152" t="str">
        <f t="shared" si="129"/>
        <v xml:space="preserve">   50.00 </v>
      </c>
      <c r="Z347" s="136"/>
      <c r="AA347" s="50" t="str">
        <f t="shared" si="140"/>
        <v/>
      </c>
      <c r="AB347" s="129" t="str">
        <f t="shared" si="141"/>
        <v/>
      </c>
      <c r="AC347" s="58" t="str">
        <f t="shared" si="130"/>
        <v/>
      </c>
      <c r="AD347" s="58" t="str">
        <f t="shared" si="131"/>
        <v/>
      </c>
      <c r="AE347" s="60" t="str">
        <f>IF(AD347="","",COUNTIF($AD$2:AD347,AD347))</f>
        <v/>
      </c>
      <c r="AF347" s="62" t="str">
        <f>IF(AD347="","",SUMIF(AD$2:AD347,AD347,G$2:G347))</f>
        <v/>
      </c>
      <c r="AG347" s="62" t="str">
        <f>IF(AK347&lt;&gt;"",COUNTIF($AK$1:AK346,AK347)+AK347,IF(AL347&lt;&gt;"",COUNTIF($AL$1:AL346,AL347)+AL347,""))</f>
        <v/>
      </c>
      <c r="AH347" s="62" t="str">
        <f t="shared" si="132"/>
        <v/>
      </c>
      <c r="AI347" s="62" t="str">
        <f>IF(AND(J347="M", AH347&lt;&gt;"U/A",AE347=Prizewinners!$J$1),AF347,"")</f>
        <v/>
      </c>
      <c r="AJ347" s="58" t="str">
        <f>IF(AND(J347="F",  AH347&lt;&gt;"U/A",AE347=Prizewinners!$J$16),AF347,"")</f>
        <v/>
      </c>
      <c r="AK347" s="58" t="str">
        <f t="shared" si="133"/>
        <v/>
      </c>
      <c r="AL347" s="58" t="str">
        <f t="shared" si="134"/>
        <v/>
      </c>
      <c r="AM347" s="58" t="str">
        <f t="shared" si="135"/>
        <v/>
      </c>
      <c r="AN347" s="58" t="str">
        <f t="shared" si="136"/>
        <v/>
      </c>
      <c r="AO347" s="58" t="str">
        <f t="shared" si="137"/>
        <v/>
      </c>
      <c r="AP347" s="58" t="str">
        <f t="shared" si="138"/>
        <v/>
      </c>
      <c r="AQ347" s="58" t="str">
        <f t="shared" si="139"/>
        <v/>
      </c>
    </row>
    <row r="348" spans="1:43" x14ac:dyDescent="0.25">
      <c r="A348" s="12" t="str">
        <f t="shared" si="125"/>
        <v>,48</v>
      </c>
      <c r="B348" s="12" t="str">
        <f t="shared" si="126"/>
        <v>,42</v>
      </c>
      <c r="C348" s="11">
        <f t="shared" si="147"/>
        <v>347</v>
      </c>
      <c r="D348" s="171"/>
      <c r="E348" s="12">
        <f t="shared" si="124"/>
        <v>0</v>
      </c>
      <c r="F348" s="12">
        <f>COUNTIF(H$2:H348,H348)</f>
        <v>48</v>
      </c>
      <c r="G348" s="12">
        <f>COUNTIF(J$2:J348,J348)</f>
        <v>42</v>
      </c>
      <c r="H348" s="12" t="str">
        <f t="shared" si="142"/>
        <v/>
      </c>
      <c r="I348" s="50" t="str">
        <f t="shared" si="143"/>
        <v/>
      </c>
      <c r="J348" s="50" t="str">
        <f t="shared" si="144"/>
        <v/>
      </c>
      <c r="K348" s="64" t="str">
        <f t="shared" si="145"/>
        <v/>
      </c>
      <c r="L348" s="64" t="str">
        <f t="shared" si="146"/>
        <v/>
      </c>
      <c r="M348" s="171"/>
      <c r="N348" s="178"/>
      <c r="O348" s="178"/>
      <c r="P348" s="138">
        <f t="shared" si="127"/>
        <v>0</v>
      </c>
      <c r="Q348" s="137">
        <f t="shared" si="128"/>
        <v>50</v>
      </c>
      <c r="R348" s="143"/>
      <c r="S348" s="143"/>
      <c r="T348" s="143"/>
      <c r="U348" s="144"/>
      <c r="V348" s="144"/>
      <c r="W348" s="144"/>
      <c r="X348" s="145"/>
      <c r="Y348" s="152" t="str">
        <f t="shared" si="129"/>
        <v xml:space="preserve">   50.00 </v>
      </c>
      <c r="Z348" s="136"/>
      <c r="AA348" s="50" t="str">
        <f t="shared" si="140"/>
        <v/>
      </c>
      <c r="AB348" s="129" t="str">
        <f t="shared" si="141"/>
        <v/>
      </c>
      <c r="AC348" s="58" t="str">
        <f t="shared" si="130"/>
        <v/>
      </c>
      <c r="AD348" s="58" t="str">
        <f t="shared" si="131"/>
        <v/>
      </c>
      <c r="AE348" s="60" t="str">
        <f>IF(AD348="","",COUNTIF($AD$2:AD348,AD348))</f>
        <v/>
      </c>
      <c r="AF348" s="62" t="str">
        <f>IF(AD348="","",SUMIF(AD$2:AD348,AD348,G$2:G348))</f>
        <v/>
      </c>
      <c r="AG348" s="62" t="str">
        <f>IF(AK348&lt;&gt;"",COUNTIF($AK$1:AK347,AK348)+AK348,IF(AL348&lt;&gt;"",COUNTIF($AL$1:AL347,AL348)+AL348,""))</f>
        <v/>
      </c>
      <c r="AH348" s="62" t="str">
        <f t="shared" si="132"/>
        <v/>
      </c>
      <c r="AI348" s="62" t="str">
        <f>IF(AND(J348="M", AH348&lt;&gt;"U/A",AE348=Prizewinners!$J$1),AF348,"")</f>
        <v/>
      </c>
      <c r="AJ348" s="58" t="str">
        <f>IF(AND(J348="F",  AH348&lt;&gt;"U/A",AE348=Prizewinners!$J$16),AF348,"")</f>
        <v/>
      </c>
      <c r="AK348" s="58" t="str">
        <f t="shared" si="133"/>
        <v/>
      </c>
      <c r="AL348" s="58" t="str">
        <f t="shared" si="134"/>
        <v/>
      </c>
      <c r="AM348" s="58" t="str">
        <f t="shared" si="135"/>
        <v/>
      </c>
      <c r="AN348" s="58" t="str">
        <f t="shared" si="136"/>
        <v/>
      </c>
      <c r="AO348" s="58" t="str">
        <f t="shared" si="137"/>
        <v/>
      </c>
      <c r="AP348" s="58" t="str">
        <f t="shared" si="138"/>
        <v/>
      </c>
      <c r="AQ348" s="58" t="str">
        <f t="shared" si="139"/>
        <v/>
      </c>
    </row>
    <row r="349" spans="1:43" x14ac:dyDescent="0.25">
      <c r="A349" s="12" t="str">
        <f t="shared" si="125"/>
        <v>,49</v>
      </c>
      <c r="B349" s="12" t="str">
        <f t="shared" si="126"/>
        <v>,43</v>
      </c>
      <c r="C349" s="11">
        <f t="shared" si="147"/>
        <v>348</v>
      </c>
      <c r="D349" s="171"/>
      <c r="E349" s="12">
        <f t="shared" si="124"/>
        <v>0</v>
      </c>
      <c r="F349" s="12">
        <f>COUNTIF(H$2:H349,H349)</f>
        <v>49</v>
      </c>
      <c r="G349" s="12">
        <f>COUNTIF(J$2:J349,J349)</f>
        <v>43</v>
      </c>
      <c r="H349" s="12" t="str">
        <f t="shared" si="142"/>
        <v/>
      </c>
      <c r="I349" s="50" t="str">
        <f t="shared" si="143"/>
        <v/>
      </c>
      <c r="J349" s="50" t="str">
        <f t="shared" si="144"/>
        <v/>
      </c>
      <c r="K349" s="64" t="str">
        <f t="shared" si="145"/>
        <v/>
      </c>
      <c r="L349" s="64" t="str">
        <f t="shared" si="146"/>
        <v/>
      </c>
      <c r="M349" s="171"/>
      <c r="N349" s="178"/>
      <c r="O349" s="178"/>
      <c r="P349" s="138">
        <f t="shared" si="127"/>
        <v>0</v>
      </c>
      <c r="Q349" s="137">
        <f t="shared" si="128"/>
        <v>50</v>
      </c>
      <c r="R349" s="143"/>
      <c r="S349" s="143"/>
      <c r="T349" s="143"/>
      <c r="U349" s="144"/>
      <c r="V349" s="144"/>
      <c r="W349" s="144"/>
      <c r="X349" s="145"/>
      <c r="Y349" s="152" t="str">
        <f t="shared" si="129"/>
        <v xml:space="preserve">   50.00 </v>
      </c>
      <c r="Z349" s="136"/>
      <c r="AA349" s="50" t="str">
        <f t="shared" si="140"/>
        <v/>
      </c>
      <c r="AB349" s="129" t="str">
        <f t="shared" si="141"/>
        <v/>
      </c>
      <c r="AC349" s="58" t="str">
        <f t="shared" si="130"/>
        <v/>
      </c>
      <c r="AD349" s="58" t="str">
        <f t="shared" si="131"/>
        <v/>
      </c>
      <c r="AE349" s="60" t="str">
        <f>IF(AD349="","",COUNTIF($AD$2:AD349,AD349))</f>
        <v/>
      </c>
      <c r="AF349" s="62" t="str">
        <f>IF(AD349="","",SUMIF(AD$2:AD349,AD349,G$2:G349))</f>
        <v/>
      </c>
      <c r="AG349" s="62" t="str">
        <f>IF(AK349&lt;&gt;"",COUNTIF($AK$1:AK348,AK349)+AK349,IF(AL349&lt;&gt;"",COUNTIF($AL$1:AL348,AL349)+AL349,""))</f>
        <v/>
      </c>
      <c r="AH349" s="62" t="str">
        <f t="shared" si="132"/>
        <v/>
      </c>
      <c r="AI349" s="62" t="str">
        <f>IF(AND(J349="M", AH349&lt;&gt;"U/A",AE349=Prizewinners!$J$1),AF349,"")</f>
        <v/>
      </c>
      <c r="AJ349" s="58" t="str">
        <f>IF(AND(J349="F",  AH349&lt;&gt;"U/A",AE349=Prizewinners!$J$16),AF349,"")</f>
        <v/>
      </c>
      <c r="AK349" s="58" t="str">
        <f t="shared" si="133"/>
        <v/>
      </c>
      <c r="AL349" s="58" t="str">
        <f t="shared" si="134"/>
        <v/>
      </c>
      <c r="AM349" s="58" t="str">
        <f t="shared" si="135"/>
        <v/>
      </c>
      <c r="AN349" s="58" t="str">
        <f t="shared" si="136"/>
        <v/>
      </c>
      <c r="AO349" s="58" t="str">
        <f t="shared" si="137"/>
        <v/>
      </c>
      <c r="AP349" s="58" t="str">
        <f t="shared" si="138"/>
        <v/>
      </c>
      <c r="AQ349" s="58" t="str">
        <f t="shared" si="139"/>
        <v/>
      </c>
    </row>
    <row r="350" spans="1:43" x14ac:dyDescent="0.25">
      <c r="A350" s="12" t="str">
        <f t="shared" si="125"/>
        <v>,50</v>
      </c>
      <c r="B350" s="12" t="str">
        <f t="shared" si="126"/>
        <v>,44</v>
      </c>
      <c r="C350" s="11">
        <f t="shared" si="147"/>
        <v>349</v>
      </c>
      <c r="D350" s="171"/>
      <c r="E350" s="12">
        <f t="shared" si="124"/>
        <v>0</v>
      </c>
      <c r="F350" s="12">
        <f>COUNTIF(H$2:H350,H350)</f>
        <v>50</v>
      </c>
      <c r="G350" s="12">
        <f>COUNTIF(J$2:J350,J350)</f>
        <v>44</v>
      </c>
      <c r="H350" s="12" t="str">
        <f t="shared" si="142"/>
        <v/>
      </c>
      <c r="I350" s="50" t="str">
        <f t="shared" si="143"/>
        <v/>
      </c>
      <c r="J350" s="50" t="str">
        <f t="shared" si="144"/>
        <v/>
      </c>
      <c r="K350" s="64" t="str">
        <f t="shared" si="145"/>
        <v/>
      </c>
      <c r="L350" s="64" t="str">
        <f t="shared" si="146"/>
        <v/>
      </c>
      <c r="M350" s="171"/>
      <c r="N350" s="178"/>
      <c r="O350" s="178"/>
      <c r="P350" s="138">
        <f t="shared" si="127"/>
        <v>0</v>
      </c>
      <c r="Q350" s="137">
        <f t="shared" si="128"/>
        <v>50</v>
      </c>
      <c r="R350" s="143"/>
      <c r="S350" s="143"/>
      <c r="T350" s="143"/>
      <c r="U350" s="144"/>
      <c r="V350" s="144"/>
      <c r="W350" s="144"/>
      <c r="X350" s="145"/>
      <c r="Y350" s="152" t="str">
        <f t="shared" si="129"/>
        <v xml:space="preserve">   50.00 </v>
      </c>
      <c r="Z350" s="136"/>
      <c r="AA350" s="50" t="str">
        <f t="shared" si="140"/>
        <v/>
      </c>
      <c r="AB350" s="129" t="str">
        <f t="shared" si="141"/>
        <v/>
      </c>
      <c r="AC350" s="58" t="str">
        <f t="shared" si="130"/>
        <v/>
      </c>
      <c r="AD350" s="58" t="str">
        <f t="shared" si="131"/>
        <v/>
      </c>
      <c r="AE350" s="60" t="str">
        <f>IF(AD350="","",COUNTIF($AD$2:AD350,AD350))</f>
        <v/>
      </c>
      <c r="AF350" s="62" t="str">
        <f>IF(AD350="","",SUMIF(AD$2:AD350,AD350,G$2:G350))</f>
        <v/>
      </c>
      <c r="AG350" s="62" t="str">
        <f>IF(AK350&lt;&gt;"",COUNTIF($AK$1:AK349,AK350)+AK350,IF(AL350&lt;&gt;"",COUNTIF($AL$1:AL349,AL350)+AL350,""))</f>
        <v/>
      </c>
      <c r="AH350" s="62" t="str">
        <f t="shared" si="132"/>
        <v/>
      </c>
      <c r="AI350" s="62" t="str">
        <f>IF(AND(J350="M", AH350&lt;&gt;"U/A",AE350=Prizewinners!$J$1),AF350,"")</f>
        <v/>
      </c>
      <c r="AJ350" s="58" t="str">
        <f>IF(AND(J350="F",  AH350&lt;&gt;"U/A",AE350=Prizewinners!$J$16),AF350,"")</f>
        <v/>
      </c>
      <c r="AK350" s="58" t="str">
        <f t="shared" si="133"/>
        <v/>
      </c>
      <c r="AL350" s="58" t="str">
        <f t="shared" si="134"/>
        <v/>
      </c>
      <c r="AM350" s="58" t="str">
        <f t="shared" si="135"/>
        <v/>
      </c>
      <c r="AN350" s="58" t="str">
        <f t="shared" si="136"/>
        <v/>
      </c>
      <c r="AO350" s="58" t="str">
        <f t="shared" si="137"/>
        <v/>
      </c>
      <c r="AP350" s="58" t="str">
        <f t="shared" si="138"/>
        <v/>
      </c>
      <c r="AQ350" s="58" t="str">
        <f t="shared" si="139"/>
        <v/>
      </c>
    </row>
    <row r="351" spans="1:43" x14ac:dyDescent="0.25">
      <c r="A351" s="12" t="str">
        <f t="shared" si="125"/>
        <v>,51</v>
      </c>
      <c r="B351" s="12" t="str">
        <f t="shared" si="126"/>
        <v>,45</v>
      </c>
      <c r="C351" s="11">
        <f t="shared" si="147"/>
        <v>350</v>
      </c>
      <c r="D351" s="171"/>
      <c r="E351" s="12">
        <f t="shared" si="124"/>
        <v>0</v>
      </c>
      <c r="F351" s="12">
        <f>COUNTIF(H$2:H351,H351)</f>
        <v>51</v>
      </c>
      <c r="G351" s="12">
        <f>COUNTIF(J$2:J351,J351)</f>
        <v>45</v>
      </c>
      <c r="H351" s="12" t="str">
        <f t="shared" si="142"/>
        <v/>
      </c>
      <c r="I351" s="50" t="str">
        <f t="shared" si="143"/>
        <v/>
      </c>
      <c r="J351" s="50" t="str">
        <f t="shared" si="144"/>
        <v/>
      </c>
      <c r="K351" s="64" t="str">
        <f t="shared" si="145"/>
        <v/>
      </c>
      <c r="L351" s="64" t="str">
        <f t="shared" si="146"/>
        <v/>
      </c>
      <c r="M351" s="171"/>
      <c r="N351" s="178"/>
      <c r="O351" s="178"/>
      <c r="P351" s="138">
        <f t="shared" si="127"/>
        <v>0</v>
      </c>
      <c r="Q351" s="137">
        <f t="shared" si="128"/>
        <v>50</v>
      </c>
      <c r="R351" s="143"/>
      <c r="S351" s="143"/>
      <c r="T351" s="143"/>
      <c r="U351" s="144"/>
      <c r="V351" s="144"/>
      <c r="W351" s="144"/>
      <c r="X351" s="145"/>
      <c r="Y351" s="152" t="str">
        <f t="shared" si="129"/>
        <v xml:space="preserve">   50.00 </v>
      </c>
      <c r="Z351" s="136"/>
      <c r="AA351" s="50" t="str">
        <f t="shared" si="140"/>
        <v/>
      </c>
      <c r="AB351" s="129" t="str">
        <f t="shared" si="141"/>
        <v/>
      </c>
      <c r="AC351" s="58" t="str">
        <f t="shared" si="130"/>
        <v/>
      </c>
      <c r="AD351" s="58" t="str">
        <f t="shared" si="131"/>
        <v/>
      </c>
      <c r="AE351" s="60" t="str">
        <f>IF(AD351="","",COUNTIF($AD$2:AD351,AD351))</f>
        <v/>
      </c>
      <c r="AF351" s="62" t="str">
        <f>IF(AD351="","",SUMIF(AD$2:AD351,AD351,G$2:G351))</f>
        <v/>
      </c>
      <c r="AG351" s="62" t="str">
        <f>IF(AK351&lt;&gt;"",COUNTIF($AK$1:AK350,AK351)+AK351,IF(AL351&lt;&gt;"",COUNTIF($AL$1:AL350,AL351)+AL351,""))</f>
        <v/>
      </c>
      <c r="AH351" s="62" t="str">
        <f t="shared" si="132"/>
        <v/>
      </c>
      <c r="AI351" s="62" t="str">
        <f>IF(AND(J351="M", AH351&lt;&gt;"U/A",AE351=Prizewinners!$J$1),AF351,"")</f>
        <v/>
      </c>
      <c r="AJ351" s="58" t="str">
        <f>IF(AND(J351="F",  AH351&lt;&gt;"U/A",AE351=Prizewinners!$J$16),AF351,"")</f>
        <v/>
      </c>
      <c r="AK351" s="58" t="str">
        <f t="shared" si="133"/>
        <v/>
      </c>
      <c r="AL351" s="58" t="str">
        <f t="shared" si="134"/>
        <v/>
      </c>
      <c r="AM351" s="58" t="str">
        <f t="shared" si="135"/>
        <v/>
      </c>
      <c r="AN351" s="58" t="str">
        <f t="shared" si="136"/>
        <v/>
      </c>
      <c r="AO351" s="58" t="str">
        <f t="shared" si="137"/>
        <v/>
      </c>
      <c r="AP351" s="58" t="str">
        <f t="shared" si="138"/>
        <v/>
      </c>
      <c r="AQ351" s="58" t="str">
        <f t="shared" si="139"/>
        <v/>
      </c>
    </row>
    <row r="352" spans="1:43" x14ac:dyDescent="0.25">
      <c r="A352" s="12" t="str">
        <f t="shared" si="125"/>
        <v>,52</v>
      </c>
      <c r="B352" s="12" t="str">
        <f t="shared" si="126"/>
        <v>,46</v>
      </c>
      <c r="C352" s="11">
        <f t="shared" si="147"/>
        <v>351</v>
      </c>
      <c r="D352" s="171"/>
      <c r="E352" s="12">
        <f t="shared" si="124"/>
        <v>0</v>
      </c>
      <c r="F352" s="12">
        <f>COUNTIF(H$2:H352,H352)</f>
        <v>52</v>
      </c>
      <c r="G352" s="12">
        <f>COUNTIF(J$2:J352,J352)</f>
        <v>46</v>
      </c>
      <c r="H352" s="12" t="str">
        <f t="shared" si="142"/>
        <v/>
      </c>
      <c r="I352" s="50" t="str">
        <f t="shared" si="143"/>
        <v/>
      </c>
      <c r="J352" s="50" t="str">
        <f t="shared" si="144"/>
        <v/>
      </c>
      <c r="K352" s="64" t="str">
        <f t="shared" si="145"/>
        <v/>
      </c>
      <c r="L352" s="64" t="str">
        <f t="shared" si="146"/>
        <v/>
      </c>
      <c r="M352" s="171"/>
      <c r="N352" s="178"/>
      <c r="O352" s="178"/>
      <c r="P352" s="138">
        <f t="shared" si="127"/>
        <v>0</v>
      </c>
      <c r="Q352" s="137">
        <f t="shared" si="128"/>
        <v>50</v>
      </c>
      <c r="R352" s="143"/>
      <c r="S352" s="143"/>
      <c r="T352" s="143"/>
      <c r="U352" s="144"/>
      <c r="V352" s="144"/>
      <c r="W352" s="144"/>
      <c r="X352" s="145"/>
      <c r="Y352" s="152" t="str">
        <f t="shared" si="129"/>
        <v xml:space="preserve">   50.00 </v>
      </c>
      <c r="Z352" s="136"/>
      <c r="AA352" s="50" t="str">
        <f t="shared" si="140"/>
        <v/>
      </c>
      <c r="AB352" s="129" t="str">
        <f t="shared" si="141"/>
        <v/>
      </c>
      <c r="AC352" s="58" t="str">
        <f t="shared" si="130"/>
        <v/>
      </c>
      <c r="AD352" s="58" t="str">
        <f t="shared" si="131"/>
        <v/>
      </c>
      <c r="AE352" s="60" t="str">
        <f>IF(AD352="","",COUNTIF($AD$2:AD352,AD352))</f>
        <v/>
      </c>
      <c r="AF352" s="62" t="str">
        <f>IF(AD352="","",SUMIF(AD$2:AD352,AD352,G$2:G352))</f>
        <v/>
      </c>
      <c r="AG352" s="62" t="str">
        <f>IF(AK352&lt;&gt;"",COUNTIF($AK$1:AK351,AK352)+AK352,IF(AL352&lt;&gt;"",COUNTIF($AL$1:AL351,AL352)+AL352,""))</f>
        <v/>
      </c>
      <c r="AH352" s="62" t="str">
        <f t="shared" si="132"/>
        <v/>
      </c>
      <c r="AI352" s="62" t="str">
        <f>IF(AND(J352="M", AH352&lt;&gt;"U/A",AE352=Prizewinners!$J$1),AF352,"")</f>
        <v/>
      </c>
      <c r="AJ352" s="58" t="str">
        <f>IF(AND(J352="F",  AH352&lt;&gt;"U/A",AE352=Prizewinners!$J$16),AF352,"")</f>
        <v/>
      </c>
      <c r="AK352" s="58" t="str">
        <f t="shared" si="133"/>
        <v/>
      </c>
      <c r="AL352" s="58" t="str">
        <f t="shared" si="134"/>
        <v/>
      </c>
      <c r="AM352" s="58" t="str">
        <f t="shared" si="135"/>
        <v/>
      </c>
      <c r="AN352" s="58" t="str">
        <f t="shared" si="136"/>
        <v/>
      </c>
      <c r="AO352" s="58" t="str">
        <f t="shared" si="137"/>
        <v/>
      </c>
      <c r="AP352" s="58" t="str">
        <f t="shared" si="138"/>
        <v/>
      </c>
      <c r="AQ352" s="58" t="str">
        <f t="shared" si="139"/>
        <v/>
      </c>
    </row>
    <row r="353" spans="1:43" x14ac:dyDescent="0.25">
      <c r="A353" s="12" t="str">
        <f t="shared" si="125"/>
        <v>,53</v>
      </c>
      <c r="B353" s="12" t="str">
        <f t="shared" si="126"/>
        <v>,47</v>
      </c>
      <c r="C353" s="11">
        <f t="shared" si="147"/>
        <v>352</v>
      </c>
      <c r="D353" s="171"/>
      <c r="E353" s="12">
        <f t="shared" si="124"/>
        <v>0</v>
      </c>
      <c r="F353" s="12">
        <f>COUNTIF(H$2:H353,H353)</f>
        <v>53</v>
      </c>
      <c r="G353" s="12">
        <f>COUNTIF(J$2:J353,J353)</f>
        <v>47</v>
      </c>
      <c r="H353" s="12" t="str">
        <f t="shared" si="142"/>
        <v/>
      </c>
      <c r="I353" s="50" t="str">
        <f t="shared" si="143"/>
        <v/>
      </c>
      <c r="J353" s="50" t="str">
        <f t="shared" si="144"/>
        <v/>
      </c>
      <c r="K353" s="64" t="str">
        <f t="shared" si="145"/>
        <v/>
      </c>
      <c r="L353" s="64" t="str">
        <f t="shared" si="146"/>
        <v/>
      </c>
      <c r="M353" s="171"/>
      <c r="N353" s="178"/>
      <c r="O353" s="178"/>
      <c r="P353" s="138">
        <f t="shared" si="127"/>
        <v>0</v>
      </c>
      <c r="Q353" s="137">
        <f t="shared" si="128"/>
        <v>50</v>
      </c>
      <c r="R353" s="143"/>
      <c r="S353" s="143"/>
      <c r="T353" s="143"/>
      <c r="U353" s="144"/>
      <c r="V353" s="144"/>
      <c r="W353" s="144"/>
      <c r="X353" s="145"/>
      <c r="Y353" s="152" t="str">
        <f t="shared" si="129"/>
        <v xml:space="preserve">   50.00 </v>
      </c>
      <c r="Z353" s="136"/>
      <c r="AA353" s="50" t="str">
        <f t="shared" si="140"/>
        <v/>
      </c>
      <c r="AB353" s="129" t="str">
        <f t="shared" si="141"/>
        <v/>
      </c>
      <c r="AC353" s="58" t="str">
        <f t="shared" si="130"/>
        <v/>
      </c>
      <c r="AD353" s="58" t="str">
        <f t="shared" si="131"/>
        <v/>
      </c>
      <c r="AE353" s="60" t="str">
        <f>IF(AD353="","",COUNTIF($AD$2:AD353,AD353))</f>
        <v/>
      </c>
      <c r="AF353" s="62" t="str">
        <f>IF(AD353="","",SUMIF(AD$2:AD353,AD353,G$2:G353))</f>
        <v/>
      </c>
      <c r="AG353" s="62" t="str">
        <f>IF(AK353&lt;&gt;"",COUNTIF($AK$1:AK352,AK353)+AK353,IF(AL353&lt;&gt;"",COUNTIF($AL$1:AL352,AL353)+AL353,""))</f>
        <v/>
      </c>
      <c r="AH353" s="62" t="str">
        <f t="shared" si="132"/>
        <v/>
      </c>
      <c r="AI353" s="62" t="str">
        <f>IF(AND(J353="M", AH353&lt;&gt;"U/A",AE353=Prizewinners!$J$1),AF353,"")</f>
        <v/>
      </c>
      <c r="AJ353" s="58" t="str">
        <f>IF(AND(J353="F",  AH353&lt;&gt;"U/A",AE353=Prizewinners!$J$16),AF353,"")</f>
        <v/>
      </c>
      <c r="AK353" s="58" t="str">
        <f t="shared" si="133"/>
        <v/>
      </c>
      <c r="AL353" s="58" t="str">
        <f t="shared" si="134"/>
        <v/>
      </c>
      <c r="AM353" s="58" t="str">
        <f t="shared" si="135"/>
        <v/>
      </c>
      <c r="AN353" s="58" t="str">
        <f t="shared" si="136"/>
        <v/>
      </c>
      <c r="AO353" s="58" t="str">
        <f t="shared" si="137"/>
        <v/>
      </c>
      <c r="AP353" s="58" t="str">
        <f t="shared" si="138"/>
        <v/>
      </c>
      <c r="AQ353" s="58" t="str">
        <f t="shared" si="139"/>
        <v/>
      </c>
    </row>
    <row r="354" spans="1:43" x14ac:dyDescent="0.25">
      <c r="A354" s="12" t="str">
        <f t="shared" si="125"/>
        <v>,54</v>
      </c>
      <c r="B354" s="12" t="str">
        <f t="shared" si="126"/>
        <v>,48</v>
      </c>
      <c r="C354" s="11">
        <f t="shared" si="147"/>
        <v>353</v>
      </c>
      <c r="D354" s="171"/>
      <c r="E354" s="12">
        <f t="shared" si="124"/>
        <v>0</v>
      </c>
      <c r="F354" s="12">
        <f>COUNTIF(H$2:H354,H354)</f>
        <v>54</v>
      </c>
      <c r="G354" s="12">
        <f>COUNTIF(J$2:J354,J354)</f>
        <v>48</v>
      </c>
      <c r="H354" s="12" t="str">
        <f t="shared" si="142"/>
        <v/>
      </c>
      <c r="I354" s="50" t="str">
        <f t="shared" si="143"/>
        <v/>
      </c>
      <c r="J354" s="50" t="str">
        <f t="shared" si="144"/>
        <v/>
      </c>
      <c r="K354" s="64" t="str">
        <f t="shared" si="145"/>
        <v/>
      </c>
      <c r="L354" s="64" t="str">
        <f t="shared" si="146"/>
        <v/>
      </c>
      <c r="M354" s="171"/>
      <c r="N354" s="178"/>
      <c r="O354" s="178"/>
      <c r="P354" s="138">
        <f t="shared" si="127"/>
        <v>0</v>
      </c>
      <c r="Q354" s="137">
        <f t="shared" si="128"/>
        <v>50</v>
      </c>
      <c r="R354" s="143"/>
      <c r="S354" s="143"/>
      <c r="T354" s="143"/>
      <c r="U354" s="144"/>
      <c r="V354" s="144"/>
      <c r="W354" s="144"/>
      <c r="X354" s="145"/>
      <c r="Y354" s="152" t="str">
        <f t="shared" si="129"/>
        <v xml:space="preserve">   50.00 </v>
      </c>
      <c r="Z354" s="136"/>
      <c r="AA354" s="50" t="str">
        <f t="shared" si="140"/>
        <v/>
      </c>
      <c r="AB354" s="129" t="str">
        <f t="shared" si="141"/>
        <v/>
      </c>
      <c r="AC354" s="58" t="str">
        <f t="shared" si="130"/>
        <v/>
      </c>
      <c r="AD354" s="58" t="str">
        <f t="shared" si="131"/>
        <v/>
      </c>
      <c r="AE354" s="60" t="str">
        <f>IF(AD354="","",COUNTIF($AD$2:AD354,AD354))</f>
        <v/>
      </c>
      <c r="AF354" s="62" t="str">
        <f>IF(AD354="","",SUMIF(AD$2:AD354,AD354,G$2:G354))</f>
        <v/>
      </c>
      <c r="AG354" s="62" t="str">
        <f>IF(AK354&lt;&gt;"",COUNTIF($AK$1:AK353,AK354)+AK354,IF(AL354&lt;&gt;"",COUNTIF($AL$1:AL353,AL354)+AL354,""))</f>
        <v/>
      </c>
      <c r="AH354" s="62" t="str">
        <f t="shared" si="132"/>
        <v/>
      </c>
      <c r="AI354" s="62" t="str">
        <f>IF(AND(J354="M", AH354&lt;&gt;"U/A",AE354=Prizewinners!$J$1),AF354,"")</f>
        <v/>
      </c>
      <c r="AJ354" s="58" t="str">
        <f>IF(AND(J354="F",  AH354&lt;&gt;"U/A",AE354=Prizewinners!$J$16),AF354,"")</f>
        <v/>
      </c>
      <c r="AK354" s="58" t="str">
        <f t="shared" si="133"/>
        <v/>
      </c>
      <c r="AL354" s="58" t="str">
        <f t="shared" si="134"/>
        <v/>
      </c>
      <c r="AM354" s="58" t="str">
        <f t="shared" si="135"/>
        <v/>
      </c>
      <c r="AN354" s="58" t="str">
        <f t="shared" si="136"/>
        <v/>
      </c>
      <c r="AO354" s="58" t="str">
        <f t="shared" si="137"/>
        <v/>
      </c>
      <c r="AP354" s="58" t="str">
        <f t="shared" si="138"/>
        <v/>
      </c>
      <c r="AQ354" s="58" t="str">
        <f t="shared" si="139"/>
        <v/>
      </c>
    </row>
    <row r="355" spans="1:43" x14ac:dyDescent="0.25">
      <c r="A355" s="12" t="str">
        <f t="shared" si="125"/>
        <v>,55</v>
      </c>
      <c r="B355" s="12" t="str">
        <f t="shared" si="126"/>
        <v>,49</v>
      </c>
      <c r="C355" s="11">
        <f t="shared" si="147"/>
        <v>354</v>
      </c>
      <c r="D355" s="171"/>
      <c r="E355" s="12">
        <f t="shared" si="124"/>
        <v>0</v>
      </c>
      <c r="F355" s="12">
        <f>COUNTIF(H$2:H355,H355)</f>
        <v>55</v>
      </c>
      <c r="G355" s="12">
        <f>COUNTIF(J$2:J355,J355)</f>
        <v>49</v>
      </c>
      <c r="H355" s="12" t="str">
        <f t="shared" si="142"/>
        <v/>
      </c>
      <c r="I355" s="50" t="str">
        <f t="shared" si="143"/>
        <v/>
      </c>
      <c r="J355" s="50" t="str">
        <f t="shared" si="144"/>
        <v/>
      </c>
      <c r="K355" s="64" t="str">
        <f t="shared" si="145"/>
        <v/>
      </c>
      <c r="L355" s="64" t="str">
        <f t="shared" si="146"/>
        <v/>
      </c>
      <c r="M355" s="171"/>
      <c r="N355" s="178"/>
      <c r="O355" s="178"/>
      <c r="P355" s="138">
        <f t="shared" si="127"/>
        <v>0</v>
      </c>
      <c r="Q355" s="137">
        <f t="shared" si="128"/>
        <v>50</v>
      </c>
      <c r="R355" s="143"/>
      <c r="S355" s="143"/>
      <c r="T355" s="143"/>
      <c r="U355" s="144"/>
      <c r="V355" s="144"/>
      <c r="W355" s="144"/>
      <c r="X355" s="145"/>
      <c r="Y355" s="152" t="str">
        <f t="shared" si="129"/>
        <v xml:space="preserve">   50.00 </v>
      </c>
      <c r="Z355" s="136"/>
      <c r="AA355" s="50" t="str">
        <f t="shared" si="140"/>
        <v/>
      </c>
      <c r="AB355" s="129" t="str">
        <f t="shared" si="141"/>
        <v/>
      </c>
      <c r="AC355" s="58" t="str">
        <f t="shared" si="130"/>
        <v/>
      </c>
      <c r="AD355" s="58" t="str">
        <f t="shared" si="131"/>
        <v/>
      </c>
      <c r="AE355" s="60" t="str">
        <f>IF(AD355="","",COUNTIF($AD$2:AD355,AD355))</f>
        <v/>
      </c>
      <c r="AF355" s="62" t="str">
        <f>IF(AD355="","",SUMIF(AD$2:AD355,AD355,G$2:G355))</f>
        <v/>
      </c>
      <c r="AG355" s="62" t="str">
        <f>IF(AK355&lt;&gt;"",COUNTIF($AK$1:AK354,AK355)+AK355,IF(AL355&lt;&gt;"",COUNTIF($AL$1:AL354,AL355)+AL355,""))</f>
        <v/>
      </c>
      <c r="AH355" s="62" t="str">
        <f t="shared" si="132"/>
        <v/>
      </c>
      <c r="AI355" s="62" t="str">
        <f>IF(AND(J355="M", AH355&lt;&gt;"U/A",AE355=Prizewinners!$J$1),AF355,"")</f>
        <v/>
      </c>
      <c r="AJ355" s="58" t="str">
        <f>IF(AND(J355="F",  AH355&lt;&gt;"U/A",AE355=Prizewinners!$J$16),AF355,"")</f>
        <v/>
      </c>
      <c r="AK355" s="58" t="str">
        <f t="shared" si="133"/>
        <v/>
      </c>
      <c r="AL355" s="58" t="str">
        <f t="shared" si="134"/>
        <v/>
      </c>
      <c r="AM355" s="58" t="str">
        <f t="shared" si="135"/>
        <v/>
      </c>
      <c r="AN355" s="58" t="str">
        <f t="shared" si="136"/>
        <v/>
      </c>
      <c r="AO355" s="58" t="str">
        <f t="shared" si="137"/>
        <v/>
      </c>
      <c r="AP355" s="58" t="str">
        <f t="shared" si="138"/>
        <v/>
      </c>
      <c r="AQ355" s="58" t="str">
        <f t="shared" si="139"/>
        <v/>
      </c>
    </row>
    <row r="356" spans="1:43" x14ac:dyDescent="0.25">
      <c r="A356" s="12" t="str">
        <f t="shared" si="125"/>
        <v>,56</v>
      </c>
      <c r="B356" s="12" t="str">
        <f t="shared" si="126"/>
        <v>,50</v>
      </c>
      <c r="C356" s="11">
        <f t="shared" si="147"/>
        <v>355</v>
      </c>
      <c r="D356" s="171"/>
      <c r="E356" s="12">
        <f t="shared" si="124"/>
        <v>0</v>
      </c>
      <c r="F356" s="12">
        <f>COUNTIF(H$2:H356,H356)</f>
        <v>56</v>
      </c>
      <c r="G356" s="12">
        <f>COUNTIF(J$2:J356,J356)</f>
        <v>50</v>
      </c>
      <c r="H356" s="12" t="str">
        <f t="shared" si="142"/>
        <v/>
      </c>
      <c r="I356" s="50" t="str">
        <f t="shared" si="143"/>
        <v/>
      </c>
      <c r="J356" s="50" t="str">
        <f t="shared" si="144"/>
        <v/>
      </c>
      <c r="K356" s="64" t="str">
        <f t="shared" si="145"/>
        <v/>
      </c>
      <c r="L356" s="64" t="str">
        <f t="shared" si="146"/>
        <v/>
      </c>
      <c r="M356" s="171"/>
      <c r="N356" s="178"/>
      <c r="O356" s="178"/>
      <c r="P356" s="138">
        <f t="shared" si="127"/>
        <v>0</v>
      </c>
      <c r="Q356" s="137">
        <f t="shared" si="128"/>
        <v>50</v>
      </c>
      <c r="R356" s="143"/>
      <c r="S356" s="143"/>
      <c r="T356" s="143"/>
      <c r="U356" s="144"/>
      <c r="V356" s="144"/>
      <c r="W356" s="144"/>
      <c r="X356" s="145"/>
      <c r="Y356" s="152" t="str">
        <f t="shared" si="129"/>
        <v xml:space="preserve">   50.00 </v>
      </c>
      <c r="Z356" s="136"/>
      <c r="AA356" s="50" t="str">
        <f t="shared" si="140"/>
        <v/>
      </c>
      <c r="AB356" s="129" t="str">
        <f t="shared" si="141"/>
        <v/>
      </c>
      <c r="AC356" s="58" t="str">
        <f t="shared" si="130"/>
        <v/>
      </c>
      <c r="AD356" s="58" t="str">
        <f t="shared" si="131"/>
        <v/>
      </c>
      <c r="AE356" s="60" t="str">
        <f>IF(AD356="","",COUNTIF($AD$2:AD356,AD356))</f>
        <v/>
      </c>
      <c r="AF356" s="62" t="str">
        <f>IF(AD356="","",SUMIF(AD$2:AD356,AD356,G$2:G356))</f>
        <v/>
      </c>
      <c r="AG356" s="62" t="str">
        <f>IF(AK356&lt;&gt;"",COUNTIF($AK$1:AK355,AK356)+AK356,IF(AL356&lt;&gt;"",COUNTIF($AL$1:AL355,AL356)+AL356,""))</f>
        <v/>
      </c>
      <c r="AH356" s="62" t="str">
        <f t="shared" si="132"/>
        <v/>
      </c>
      <c r="AI356" s="62" t="str">
        <f>IF(AND(J356="M", AH356&lt;&gt;"U/A",AE356=Prizewinners!$J$1),AF356,"")</f>
        <v/>
      </c>
      <c r="AJ356" s="58" t="str">
        <f>IF(AND(J356="F",  AH356&lt;&gt;"U/A",AE356=Prizewinners!$J$16),AF356,"")</f>
        <v/>
      </c>
      <c r="AK356" s="58" t="str">
        <f t="shared" si="133"/>
        <v/>
      </c>
      <c r="AL356" s="58" t="str">
        <f t="shared" si="134"/>
        <v/>
      </c>
      <c r="AM356" s="58" t="str">
        <f t="shared" si="135"/>
        <v/>
      </c>
      <c r="AN356" s="58" t="str">
        <f t="shared" si="136"/>
        <v/>
      </c>
      <c r="AO356" s="58" t="str">
        <f t="shared" si="137"/>
        <v/>
      </c>
      <c r="AP356" s="58" t="str">
        <f t="shared" si="138"/>
        <v/>
      </c>
      <c r="AQ356" s="58" t="str">
        <f t="shared" si="139"/>
        <v/>
      </c>
    </row>
    <row r="357" spans="1:43" x14ac:dyDescent="0.25">
      <c r="A357" s="12" t="str">
        <f t="shared" si="125"/>
        <v>,57</v>
      </c>
      <c r="B357" s="12" t="str">
        <f t="shared" si="126"/>
        <v>,51</v>
      </c>
      <c r="C357" s="11">
        <f t="shared" si="147"/>
        <v>356</v>
      </c>
      <c r="D357" s="171"/>
      <c r="E357" s="12">
        <f t="shared" si="124"/>
        <v>0</v>
      </c>
      <c r="F357" s="12">
        <f>COUNTIF(H$2:H357,H357)</f>
        <v>57</v>
      </c>
      <c r="G357" s="12">
        <f>COUNTIF(J$2:J357,J357)</f>
        <v>51</v>
      </c>
      <c r="H357" s="12" t="str">
        <f t="shared" si="142"/>
        <v/>
      </c>
      <c r="I357" s="50" t="str">
        <f t="shared" si="143"/>
        <v/>
      </c>
      <c r="J357" s="50" t="str">
        <f t="shared" si="144"/>
        <v/>
      </c>
      <c r="K357" s="64" t="str">
        <f t="shared" si="145"/>
        <v/>
      </c>
      <c r="L357" s="64" t="str">
        <f t="shared" si="146"/>
        <v/>
      </c>
      <c r="M357" s="171"/>
      <c r="N357" s="178"/>
      <c r="O357" s="178"/>
      <c r="P357" s="138">
        <f t="shared" si="127"/>
        <v>0</v>
      </c>
      <c r="Q357" s="137">
        <f t="shared" si="128"/>
        <v>50</v>
      </c>
      <c r="R357" s="143"/>
      <c r="S357" s="143"/>
      <c r="T357" s="143"/>
      <c r="U357" s="144"/>
      <c r="V357" s="144"/>
      <c r="W357" s="144"/>
      <c r="X357" s="145"/>
      <c r="Y357" s="152" t="str">
        <f t="shared" si="129"/>
        <v xml:space="preserve">   50.00 </v>
      </c>
      <c r="Z357" s="136"/>
      <c r="AA357" s="50" t="str">
        <f t="shared" si="140"/>
        <v/>
      </c>
      <c r="AB357" s="129" t="str">
        <f t="shared" si="141"/>
        <v/>
      </c>
      <c r="AC357" s="58" t="str">
        <f t="shared" si="130"/>
        <v/>
      </c>
      <c r="AD357" s="58" t="str">
        <f t="shared" si="131"/>
        <v/>
      </c>
      <c r="AE357" s="60" t="str">
        <f>IF(AD357="","",COUNTIF($AD$2:AD357,AD357))</f>
        <v/>
      </c>
      <c r="AF357" s="62" t="str">
        <f>IF(AD357="","",SUMIF(AD$2:AD357,AD357,G$2:G357))</f>
        <v/>
      </c>
      <c r="AG357" s="62" t="str">
        <f>IF(AK357&lt;&gt;"",COUNTIF($AK$1:AK356,AK357)+AK357,IF(AL357&lt;&gt;"",COUNTIF($AL$1:AL356,AL357)+AL357,""))</f>
        <v/>
      </c>
      <c r="AH357" s="62" t="str">
        <f t="shared" si="132"/>
        <v/>
      </c>
      <c r="AI357" s="62" t="str">
        <f>IF(AND(J357="M", AH357&lt;&gt;"U/A",AE357=Prizewinners!$J$1),AF357,"")</f>
        <v/>
      </c>
      <c r="AJ357" s="58" t="str">
        <f>IF(AND(J357="F",  AH357&lt;&gt;"U/A",AE357=Prizewinners!$J$16),AF357,"")</f>
        <v/>
      </c>
      <c r="AK357" s="58" t="str">
        <f t="shared" si="133"/>
        <v/>
      </c>
      <c r="AL357" s="58" t="str">
        <f t="shared" si="134"/>
        <v/>
      </c>
      <c r="AM357" s="58" t="str">
        <f t="shared" si="135"/>
        <v/>
      </c>
      <c r="AN357" s="58" t="str">
        <f t="shared" si="136"/>
        <v/>
      </c>
      <c r="AO357" s="58" t="str">
        <f t="shared" si="137"/>
        <v/>
      </c>
      <c r="AP357" s="58" t="str">
        <f t="shared" si="138"/>
        <v/>
      </c>
      <c r="AQ357" s="58" t="str">
        <f t="shared" si="139"/>
        <v/>
      </c>
    </row>
    <row r="358" spans="1:43" x14ac:dyDescent="0.25">
      <c r="A358" s="12" t="str">
        <f t="shared" si="125"/>
        <v>,58</v>
      </c>
      <c r="B358" s="12" t="str">
        <f t="shared" si="126"/>
        <v>,52</v>
      </c>
      <c r="C358" s="11">
        <f t="shared" si="147"/>
        <v>357</v>
      </c>
      <c r="D358" s="171"/>
      <c r="E358" s="12">
        <f t="shared" si="124"/>
        <v>0</v>
      </c>
      <c r="F358" s="12">
        <f>COUNTIF(H$2:H358,H358)</f>
        <v>58</v>
      </c>
      <c r="G358" s="12">
        <f>COUNTIF(J$2:J358,J358)</f>
        <v>52</v>
      </c>
      <c r="H358" s="12" t="str">
        <f t="shared" si="142"/>
        <v/>
      </c>
      <c r="I358" s="50" t="str">
        <f t="shared" si="143"/>
        <v/>
      </c>
      <c r="J358" s="50" t="str">
        <f t="shared" si="144"/>
        <v/>
      </c>
      <c r="K358" s="64" t="str">
        <f t="shared" si="145"/>
        <v/>
      </c>
      <c r="L358" s="64" t="str">
        <f t="shared" si="146"/>
        <v/>
      </c>
      <c r="M358" s="171"/>
      <c r="N358" s="178"/>
      <c r="O358" s="178"/>
      <c r="P358" s="138">
        <f t="shared" si="127"/>
        <v>0</v>
      </c>
      <c r="Q358" s="137">
        <f t="shared" si="128"/>
        <v>50</v>
      </c>
      <c r="R358" s="143"/>
      <c r="S358" s="143"/>
      <c r="T358" s="143"/>
      <c r="U358" s="144"/>
      <c r="V358" s="144"/>
      <c r="W358" s="144"/>
      <c r="X358" s="145"/>
      <c r="Y358" s="152" t="str">
        <f t="shared" si="129"/>
        <v xml:space="preserve">   50.00 </v>
      </c>
      <c r="Z358" s="136"/>
      <c r="AA358" s="50" t="str">
        <f t="shared" si="140"/>
        <v/>
      </c>
      <c r="AB358" s="129" t="str">
        <f t="shared" si="141"/>
        <v/>
      </c>
      <c r="AC358" s="58" t="str">
        <f t="shared" si="130"/>
        <v/>
      </c>
      <c r="AD358" s="58" t="str">
        <f t="shared" si="131"/>
        <v/>
      </c>
      <c r="AE358" s="60" t="str">
        <f>IF(AD358="","",COUNTIF($AD$2:AD358,AD358))</f>
        <v/>
      </c>
      <c r="AF358" s="62" t="str">
        <f>IF(AD358="","",SUMIF(AD$2:AD358,AD358,G$2:G358))</f>
        <v/>
      </c>
      <c r="AG358" s="62" t="str">
        <f>IF(AK358&lt;&gt;"",COUNTIF($AK$1:AK357,AK358)+AK358,IF(AL358&lt;&gt;"",COUNTIF($AL$1:AL357,AL358)+AL358,""))</f>
        <v/>
      </c>
      <c r="AH358" s="62" t="str">
        <f t="shared" si="132"/>
        <v/>
      </c>
      <c r="AI358" s="62" t="str">
        <f>IF(AND(J358="M", AH358&lt;&gt;"U/A",AE358=Prizewinners!$J$1),AF358,"")</f>
        <v/>
      </c>
      <c r="AJ358" s="58" t="str">
        <f>IF(AND(J358="F",  AH358&lt;&gt;"U/A",AE358=Prizewinners!$J$16),AF358,"")</f>
        <v/>
      </c>
      <c r="AK358" s="58" t="str">
        <f t="shared" si="133"/>
        <v/>
      </c>
      <c r="AL358" s="58" t="str">
        <f t="shared" si="134"/>
        <v/>
      </c>
      <c r="AM358" s="58" t="str">
        <f t="shared" si="135"/>
        <v/>
      </c>
      <c r="AN358" s="58" t="str">
        <f t="shared" si="136"/>
        <v/>
      </c>
      <c r="AO358" s="58" t="str">
        <f t="shared" si="137"/>
        <v/>
      </c>
      <c r="AP358" s="58" t="str">
        <f t="shared" si="138"/>
        <v/>
      </c>
      <c r="AQ358" s="58" t="str">
        <f t="shared" si="139"/>
        <v/>
      </c>
    </row>
    <row r="359" spans="1:43" x14ac:dyDescent="0.25">
      <c r="A359" s="12" t="str">
        <f t="shared" si="125"/>
        <v>,59</v>
      </c>
      <c r="B359" s="12" t="str">
        <f t="shared" si="126"/>
        <v>,53</v>
      </c>
      <c r="C359" s="11">
        <f t="shared" si="147"/>
        <v>358</v>
      </c>
      <c r="D359" s="171"/>
      <c r="E359" s="12">
        <f t="shared" si="124"/>
        <v>0</v>
      </c>
      <c r="F359" s="12">
        <f>COUNTIF(H$2:H359,H359)</f>
        <v>59</v>
      </c>
      <c r="G359" s="12">
        <f>COUNTIF(J$2:J359,J359)</f>
        <v>53</v>
      </c>
      <c r="H359" s="12" t="str">
        <f t="shared" si="142"/>
        <v/>
      </c>
      <c r="I359" s="50" t="str">
        <f t="shared" si="143"/>
        <v/>
      </c>
      <c r="J359" s="50" t="str">
        <f t="shared" si="144"/>
        <v/>
      </c>
      <c r="K359" s="64" t="str">
        <f t="shared" si="145"/>
        <v/>
      </c>
      <c r="L359" s="64" t="str">
        <f t="shared" si="146"/>
        <v/>
      </c>
      <c r="M359" s="171"/>
      <c r="N359" s="178"/>
      <c r="O359" s="178"/>
      <c r="P359" s="138">
        <f t="shared" si="127"/>
        <v>0</v>
      </c>
      <c r="Q359" s="137">
        <f t="shared" si="128"/>
        <v>50</v>
      </c>
      <c r="R359" s="143"/>
      <c r="S359" s="143"/>
      <c r="T359" s="143"/>
      <c r="U359" s="144"/>
      <c r="V359" s="144"/>
      <c r="W359" s="144"/>
      <c r="X359" s="145"/>
      <c r="Y359" s="152" t="str">
        <f t="shared" si="129"/>
        <v xml:space="preserve">   50.00 </v>
      </c>
      <c r="Z359" s="136"/>
      <c r="AA359" s="50" t="str">
        <f t="shared" si="140"/>
        <v/>
      </c>
      <c r="AB359" s="129" t="str">
        <f t="shared" si="141"/>
        <v/>
      </c>
      <c r="AC359" s="58" t="str">
        <f t="shared" si="130"/>
        <v/>
      </c>
      <c r="AD359" s="58" t="str">
        <f t="shared" si="131"/>
        <v/>
      </c>
      <c r="AE359" s="60" t="str">
        <f>IF(AD359="","",COUNTIF($AD$2:AD359,AD359))</f>
        <v/>
      </c>
      <c r="AF359" s="62" t="str">
        <f>IF(AD359="","",SUMIF(AD$2:AD359,AD359,G$2:G359))</f>
        <v/>
      </c>
      <c r="AG359" s="62" t="str">
        <f>IF(AK359&lt;&gt;"",COUNTIF($AK$1:AK358,AK359)+AK359,IF(AL359&lt;&gt;"",COUNTIF($AL$1:AL358,AL359)+AL359,""))</f>
        <v/>
      </c>
      <c r="AH359" s="62" t="str">
        <f t="shared" si="132"/>
        <v/>
      </c>
      <c r="AI359" s="62" t="str">
        <f>IF(AND(J359="M", AH359&lt;&gt;"U/A",AE359=Prizewinners!$J$1),AF359,"")</f>
        <v/>
      </c>
      <c r="AJ359" s="58" t="str">
        <f>IF(AND(J359="F",  AH359&lt;&gt;"U/A",AE359=Prizewinners!$J$16),AF359,"")</f>
        <v/>
      </c>
      <c r="AK359" s="58" t="str">
        <f t="shared" si="133"/>
        <v/>
      </c>
      <c r="AL359" s="58" t="str">
        <f t="shared" si="134"/>
        <v/>
      </c>
      <c r="AM359" s="58" t="str">
        <f t="shared" si="135"/>
        <v/>
      </c>
      <c r="AN359" s="58" t="str">
        <f t="shared" si="136"/>
        <v/>
      </c>
      <c r="AO359" s="58" t="str">
        <f t="shared" si="137"/>
        <v/>
      </c>
      <c r="AP359" s="58" t="str">
        <f t="shared" si="138"/>
        <v/>
      </c>
      <c r="AQ359" s="58" t="str">
        <f t="shared" si="139"/>
        <v/>
      </c>
    </row>
    <row r="360" spans="1:43" x14ac:dyDescent="0.25">
      <c r="A360" s="12" t="str">
        <f t="shared" si="125"/>
        <v>,60</v>
      </c>
      <c r="B360" s="12" t="str">
        <f t="shared" si="126"/>
        <v>,54</v>
      </c>
      <c r="C360" s="11">
        <f t="shared" si="147"/>
        <v>359</v>
      </c>
      <c r="D360" s="171"/>
      <c r="E360" s="12">
        <f t="shared" si="124"/>
        <v>0</v>
      </c>
      <c r="F360" s="12">
        <f>COUNTIF(H$2:H360,H360)</f>
        <v>60</v>
      </c>
      <c r="G360" s="12">
        <f>COUNTIF(J$2:J360,J360)</f>
        <v>54</v>
      </c>
      <c r="H360" s="12" t="str">
        <f t="shared" si="142"/>
        <v/>
      </c>
      <c r="I360" s="50" t="str">
        <f t="shared" si="143"/>
        <v/>
      </c>
      <c r="J360" s="50" t="str">
        <f t="shared" si="144"/>
        <v/>
      </c>
      <c r="K360" s="64" t="str">
        <f t="shared" si="145"/>
        <v/>
      </c>
      <c r="L360" s="64" t="str">
        <f t="shared" si="146"/>
        <v/>
      </c>
      <c r="M360" s="171"/>
      <c r="N360" s="178"/>
      <c r="O360" s="178"/>
      <c r="P360" s="138">
        <f t="shared" si="127"/>
        <v>0</v>
      </c>
      <c r="Q360" s="137">
        <f t="shared" si="128"/>
        <v>50</v>
      </c>
      <c r="R360" s="143"/>
      <c r="S360" s="143"/>
      <c r="T360" s="143"/>
      <c r="U360" s="144"/>
      <c r="V360" s="144"/>
      <c r="W360" s="144"/>
      <c r="X360" s="145"/>
      <c r="Y360" s="152" t="str">
        <f t="shared" si="129"/>
        <v xml:space="preserve">   50.00 </v>
      </c>
      <c r="Z360" s="136"/>
      <c r="AA360" s="50" t="str">
        <f t="shared" si="140"/>
        <v/>
      </c>
      <c r="AB360" s="129" t="str">
        <f t="shared" si="141"/>
        <v/>
      </c>
      <c r="AC360" s="58" t="str">
        <f t="shared" si="130"/>
        <v/>
      </c>
      <c r="AD360" s="58" t="str">
        <f t="shared" si="131"/>
        <v/>
      </c>
      <c r="AE360" s="60" t="str">
        <f>IF(AD360="","",COUNTIF($AD$2:AD360,AD360))</f>
        <v/>
      </c>
      <c r="AF360" s="62" t="str">
        <f>IF(AD360="","",SUMIF(AD$2:AD360,AD360,G$2:G360))</f>
        <v/>
      </c>
      <c r="AG360" s="62" t="str">
        <f>IF(AK360&lt;&gt;"",COUNTIF($AK$1:AK359,AK360)+AK360,IF(AL360&lt;&gt;"",COUNTIF($AL$1:AL359,AL360)+AL360,""))</f>
        <v/>
      </c>
      <c r="AH360" s="62" t="str">
        <f t="shared" si="132"/>
        <v/>
      </c>
      <c r="AI360" s="62" t="str">
        <f>IF(AND(J360="M", AH360&lt;&gt;"U/A",AE360=Prizewinners!$J$1),AF360,"")</f>
        <v/>
      </c>
      <c r="AJ360" s="58" t="str">
        <f>IF(AND(J360="F",  AH360&lt;&gt;"U/A",AE360=Prizewinners!$J$16),AF360,"")</f>
        <v/>
      </c>
      <c r="AK360" s="58" t="str">
        <f t="shared" si="133"/>
        <v/>
      </c>
      <c r="AL360" s="58" t="str">
        <f t="shared" si="134"/>
        <v/>
      </c>
      <c r="AM360" s="58" t="str">
        <f t="shared" si="135"/>
        <v/>
      </c>
      <c r="AN360" s="58" t="str">
        <f t="shared" si="136"/>
        <v/>
      </c>
      <c r="AO360" s="58" t="str">
        <f t="shared" si="137"/>
        <v/>
      </c>
      <c r="AP360" s="58" t="str">
        <f t="shared" si="138"/>
        <v/>
      </c>
      <c r="AQ360" s="58" t="str">
        <f t="shared" si="139"/>
        <v/>
      </c>
    </row>
    <row r="361" spans="1:43" x14ac:dyDescent="0.25">
      <c r="A361" s="12" t="str">
        <f t="shared" si="125"/>
        <v>,61</v>
      </c>
      <c r="B361" s="12" t="str">
        <f t="shared" si="126"/>
        <v>,55</v>
      </c>
      <c r="C361" s="11">
        <f t="shared" si="147"/>
        <v>360</v>
      </c>
      <c r="D361" s="171"/>
      <c r="E361" s="12">
        <f t="shared" si="124"/>
        <v>0</v>
      </c>
      <c r="F361" s="12">
        <f>COUNTIF(H$2:H361,H361)</f>
        <v>61</v>
      </c>
      <c r="G361" s="12">
        <f>COUNTIF(J$2:J361,J361)</f>
        <v>55</v>
      </c>
      <c r="H361" s="12" t="str">
        <f t="shared" si="142"/>
        <v/>
      </c>
      <c r="I361" s="50" t="str">
        <f t="shared" si="143"/>
        <v/>
      </c>
      <c r="J361" s="50" t="str">
        <f t="shared" si="144"/>
        <v/>
      </c>
      <c r="K361" s="64" t="str">
        <f t="shared" si="145"/>
        <v/>
      </c>
      <c r="L361" s="64" t="str">
        <f t="shared" si="146"/>
        <v/>
      </c>
      <c r="M361" s="171"/>
      <c r="N361" s="178"/>
      <c r="O361" s="178"/>
      <c r="P361" s="138">
        <f t="shared" si="127"/>
        <v>0</v>
      </c>
      <c r="Q361" s="137">
        <f t="shared" si="128"/>
        <v>50</v>
      </c>
      <c r="R361" s="143"/>
      <c r="S361" s="143"/>
      <c r="T361" s="143"/>
      <c r="U361" s="144"/>
      <c r="V361" s="144"/>
      <c r="W361" s="144"/>
      <c r="X361" s="145"/>
      <c r="Y361" s="152" t="str">
        <f t="shared" si="129"/>
        <v xml:space="preserve">   50.00 </v>
      </c>
      <c r="Z361" s="136"/>
      <c r="AA361" s="50" t="str">
        <f t="shared" si="140"/>
        <v/>
      </c>
      <c r="AB361" s="129" t="str">
        <f t="shared" si="141"/>
        <v/>
      </c>
      <c r="AC361" s="58" t="str">
        <f t="shared" si="130"/>
        <v/>
      </c>
      <c r="AD361" s="58" t="str">
        <f t="shared" si="131"/>
        <v/>
      </c>
      <c r="AE361" s="60" t="str">
        <f>IF(AD361="","",COUNTIF($AD$2:AD361,AD361))</f>
        <v/>
      </c>
      <c r="AF361" s="62" t="str">
        <f>IF(AD361="","",SUMIF(AD$2:AD361,AD361,G$2:G361))</f>
        <v/>
      </c>
      <c r="AG361" s="62" t="str">
        <f>IF(AK361&lt;&gt;"",COUNTIF($AK$1:AK360,AK361)+AK361,IF(AL361&lt;&gt;"",COUNTIF($AL$1:AL360,AL361)+AL361,""))</f>
        <v/>
      </c>
      <c r="AH361" s="62" t="str">
        <f t="shared" si="132"/>
        <v/>
      </c>
      <c r="AI361" s="62" t="str">
        <f>IF(AND(J361="M", AH361&lt;&gt;"U/A",AE361=Prizewinners!$J$1),AF361,"")</f>
        <v/>
      </c>
      <c r="AJ361" s="58" t="str">
        <f>IF(AND(J361="F",  AH361&lt;&gt;"U/A",AE361=Prizewinners!$J$16),AF361,"")</f>
        <v/>
      </c>
      <c r="AK361" s="58" t="str">
        <f t="shared" si="133"/>
        <v/>
      </c>
      <c r="AL361" s="58" t="str">
        <f t="shared" si="134"/>
        <v/>
      </c>
      <c r="AM361" s="58" t="str">
        <f t="shared" si="135"/>
        <v/>
      </c>
      <c r="AN361" s="58" t="str">
        <f t="shared" si="136"/>
        <v/>
      </c>
      <c r="AO361" s="58" t="str">
        <f t="shared" si="137"/>
        <v/>
      </c>
      <c r="AP361" s="58" t="str">
        <f t="shared" si="138"/>
        <v/>
      </c>
      <c r="AQ361" s="58" t="str">
        <f t="shared" si="139"/>
        <v/>
      </c>
    </row>
    <row r="362" spans="1:43" x14ac:dyDescent="0.25">
      <c r="A362" s="12" t="str">
        <f t="shared" si="125"/>
        <v>,62</v>
      </c>
      <c r="B362" s="12" t="str">
        <f t="shared" si="126"/>
        <v>,56</v>
      </c>
      <c r="C362" s="11">
        <f t="shared" si="147"/>
        <v>361</v>
      </c>
      <c r="D362" s="171"/>
      <c r="E362" s="12">
        <f t="shared" si="124"/>
        <v>0</v>
      </c>
      <c r="F362" s="12">
        <f>COUNTIF(H$2:H362,H362)</f>
        <v>62</v>
      </c>
      <c r="G362" s="12">
        <f>COUNTIF(J$2:J362,J362)</f>
        <v>56</v>
      </c>
      <c r="H362" s="12" t="str">
        <f t="shared" si="142"/>
        <v/>
      </c>
      <c r="I362" s="50" t="str">
        <f t="shared" si="143"/>
        <v/>
      </c>
      <c r="J362" s="50" t="str">
        <f t="shared" si="144"/>
        <v/>
      </c>
      <c r="K362" s="64" t="str">
        <f t="shared" si="145"/>
        <v/>
      </c>
      <c r="L362" s="64" t="str">
        <f t="shared" si="146"/>
        <v/>
      </c>
      <c r="M362" s="171"/>
      <c r="N362" s="178"/>
      <c r="O362" s="178"/>
      <c r="P362" s="138">
        <f t="shared" si="127"/>
        <v>0</v>
      </c>
      <c r="Q362" s="137">
        <f t="shared" si="128"/>
        <v>50</v>
      </c>
      <c r="R362" s="143"/>
      <c r="S362" s="143"/>
      <c r="T362" s="143"/>
      <c r="U362" s="144"/>
      <c r="V362" s="144"/>
      <c r="W362" s="144"/>
      <c r="X362" s="145"/>
      <c r="Y362" s="152" t="str">
        <f t="shared" si="129"/>
        <v xml:space="preserve">   50.00 </v>
      </c>
      <c r="Z362" s="136"/>
      <c r="AA362" s="50" t="str">
        <f t="shared" si="140"/>
        <v/>
      </c>
      <c r="AB362" s="129" t="str">
        <f t="shared" si="141"/>
        <v/>
      </c>
      <c r="AC362" s="58" t="str">
        <f t="shared" si="130"/>
        <v/>
      </c>
      <c r="AD362" s="58" t="str">
        <f t="shared" si="131"/>
        <v/>
      </c>
      <c r="AE362" s="60" t="str">
        <f>IF(AD362="","",COUNTIF($AD$2:AD362,AD362))</f>
        <v/>
      </c>
      <c r="AF362" s="62" t="str">
        <f>IF(AD362="","",SUMIF(AD$2:AD362,AD362,G$2:G362))</f>
        <v/>
      </c>
      <c r="AG362" s="62" t="str">
        <f>IF(AK362&lt;&gt;"",COUNTIF($AK$1:AK361,AK362)+AK362,IF(AL362&lt;&gt;"",COUNTIF($AL$1:AL361,AL362)+AL362,""))</f>
        <v/>
      </c>
      <c r="AH362" s="62" t="str">
        <f t="shared" si="132"/>
        <v/>
      </c>
      <c r="AI362" s="62" t="str">
        <f>IF(AND(J362="M", AH362&lt;&gt;"U/A",AE362=Prizewinners!$J$1),AF362,"")</f>
        <v/>
      </c>
      <c r="AJ362" s="58" t="str">
        <f>IF(AND(J362="F",  AH362&lt;&gt;"U/A",AE362=Prizewinners!$J$16),AF362,"")</f>
        <v/>
      </c>
      <c r="AK362" s="58" t="str">
        <f t="shared" si="133"/>
        <v/>
      </c>
      <c r="AL362" s="58" t="str">
        <f t="shared" si="134"/>
        <v/>
      </c>
      <c r="AM362" s="58" t="str">
        <f t="shared" si="135"/>
        <v/>
      </c>
      <c r="AN362" s="58" t="str">
        <f t="shared" si="136"/>
        <v/>
      </c>
      <c r="AO362" s="58" t="str">
        <f t="shared" si="137"/>
        <v/>
      </c>
      <c r="AP362" s="58" t="str">
        <f t="shared" si="138"/>
        <v/>
      </c>
      <c r="AQ362" s="58" t="str">
        <f t="shared" si="139"/>
        <v/>
      </c>
    </row>
    <row r="363" spans="1:43" x14ac:dyDescent="0.25">
      <c r="A363" s="12" t="str">
        <f t="shared" si="125"/>
        <v>,63</v>
      </c>
      <c r="B363" s="12" t="str">
        <f t="shared" si="126"/>
        <v>,57</v>
      </c>
      <c r="C363" s="11">
        <f t="shared" si="147"/>
        <v>362</v>
      </c>
      <c r="D363" s="171"/>
      <c r="E363" s="12">
        <f t="shared" si="124"/>
        <v>0</v>
      </c>
      <c r="F363" s="12">
        <f>COUNTIF(H$2:H363,H363)</f>
        <v>63</v>
      </c>
      <c r="G363" s="12">
        <f>COUNTIF(J$2:J363,J363)</f>
        <v>57</v>
      </c>
      <c r="H363" s="12" t="str">
        <f t="shared" si="142"/>
        <v/>
      </c>
      <c r="I363" s="50" t="str">
        <f t="shared" si="143"/>
        <v/>
      </c>
      <c r="J363" s="50" t="str">
        <f t="shared" si="144"/>
        <v/>
      </c>
      <c r="K363" s="64" t="str">
        <f t="shared" si="145"/>
        <v/>
      </c>
      <c r="L363" s="64" t="str">
        <f t="shared" si="146"/>
        <v/>
      </c>
      <c r="M363" s="171"/>
      <c r="N363" s="178"/>
      <c r="O363" s="178"/>
      <c r="P363" s="138">
        <f t="shared" si="127"/>
        <v>0</v>
      </c>
      <c r="Q363" s="137">
        <f t="shared" si="128"/>
        <v>50</v>
      </c>
      <c r="R363" s="143"/>
      <c r="S363" s="143"/>
      <c r="T363" s="143"/>
      <c r="U363" s="144"/>
      <c r="V363" s="144"/>
      <c r="W363" s="144"/>
      <c r="X363" s="145"/>
      <c r="Y363" s="152" t="str">
        <f t="shared" si="129"/>
        <v xml:space="preserve">   50.00 </v>
      </c>
      <c r="Z363" s="136"/>
      <c r="AA363" s="50" t="str">
        <f t="shared" si="140"/>
        <v/>
      </c>
      <c r="AB363" s="129" t="str">
        <f t="shared" si="141"/>
        <v/>
      </c>
      <c r="AC363" s="58" t="str">
        <f t="shared" si="130"/>
        <v/>
      </c>
      <c r="AD363" s="58" t="str">
        <f t="shared" si="131"/>
        <v/>
      </c>
      <c r="AE363" s="60" t="str">
        <f>IF(AD363="","",COUNTIF($AD$2:AD363,AD363))</f>
        <v/>
      </c>
      <c r="AF363" s="62" t="str">
        <f>IF(AD363="","",SUMIF(AD$2:AD363,AD363,G$2:G363))</f>
        <v/>
      </c>
      <c r="AG363" s="62" t="str">
        <f>IF(AK363&lt;&gt;"",COUNTIF($AK$1:AK362,AK363)+AK363,IF(AL363&lt;&gt;"",COUNTIF($AL$1:AL362,AL363)+AL363,""))</f>
        <v/>
      </c>
      <c r="AH363" s="62" t="str">
        <f t="shared" si="132"/>
        <v/>
      </c>
      <c r="AI363" s="62" t="str">
        <f>IF(AND(J363="M", AH363&lt;&gt;"U/A",AE363=Prizewinners!$J$1),AF363,"")</f>
        <v/>
      </c>
      <c r="AJ363" s="58" t="str">
        <f>IF(AND(J363="F",  AH363&lt;&gt;"U/A",AE363=Prizewinners!$J$16),AF363,"")</f>
        <v/>
      </c>
      <c r="AK363" s="58" t="str">
        <f t="shared" si="133"/>
        <v/>
      </c>
      <c r="AL363" s="58" t="str">
        <f t="shared" si="134"/>
        <v/>
      </c>
      <c r="AM363" s="58" t="str">
        <f t="shared" si="135"/>
        <v/>
      </c>
      <c r="AN363" s="58" t="str">
        <f t="shared" si="136"/>
        <v/>
      </c>
      <c r="AO363" s="58" t="str">
        <f t="shared" si="137"/>
        <v/>
      </c>
      <c r="AP363" s="58" t="str">
        <f t="shared" si="138"/>
        <v/>
      </c>
      <c r="AQ363" s="58" t="str">
        <f t="shared" si="139"/>
        <v/>
      </c>
    </row>
    <row r="364" spans="1:43" x14ac:dyDescent="0.25">
      <c r="A364" s="12" t="str">
        <f t="shared" si="125"/>
        <v>,64</v>
      </c>
      <c r="B364" s="12" t="str">
        <f t="shared" si="126"/>
        <v>,58</v>
      </c>
      <c r="C364" s="11">
        <f t="shared" si="147"/>
        <v>363</v>
      </c>
      <c r="D364" s="171"/>
      <c r="E364" s="12">
        <f t="shared" si="124"/>
        <v>0</v>
      </c>
      <c r="F364" s="12">
        <f>COUNTIF(H$2:H364,H364)</f>
        <v>64</v>
      </c>
      <c r="G364" s="12">
        <f>COUNTIF(J$2:J364,J364)</f>
        <v>58</v>
      </c>
      <c r="H364" s="12" t="str">
        <f t="shared" si="142"/>
        <v/>
      </c>
      <c r="I364" s="50" t="str">
        <f t="shared" si="143"/>
        <v/>
      </c>
      <c r="J364" s="50" t="str">
        <f t="shared" si="144"/>
        <v/>
      </c>
      <c r="K364" s="64" t="str">
        <f t="shared" si="145"/>
        <v/>
      </c>
      <c r="L364" s="64" t="str">
        <f t="shared" si="146"/>
        <v/>
      </c>
      <c r="M364" s="171"/>
      <c r="N364" s="178"/>
      <c r="O364" s="178"/>
      <c r="P364" s="138">
        <f t="shared" si="127"/>
        <v>0</v>
      </c>
      <c r="Q364" s="137">
        <f t="shared" si="128"/>
        <v>50</v>
      </c>
      <c r="R364" s="143"/>
      <c r="S364" s="143"/>
      <c r="T364" s="143"/>
      <c r="U364" s="144"/>
      <c r="V364" s="144"/>
      <c r="W364" s="144"/>
      <c r="X364" s="145"/>
      <c r="Y364" s="152" t="str">
        <f t="shared" si="129"/>
        <v xml:space="preserve">   50.00 </v>
      </c>
      <c r="Z364" s="136"/>
      <c r="AA364" s="50" t="str">
        <f t="shared" si="140"/>
        <v/>
      </c>
      <c r="AB364" s="129" t="str">
        <f t="shared" si="141"/>
        <v/>
      </c>
      <c r="AC364" s="58" t="str">
        <f t="shared" si="130"/>
        <v/>
      </c>
      <c r="AD364" s="58" t="str">
        <f t="shared" si="131"/>
        <v/>
      </c>
      <c r="AE364" s="60" t="str">
        <f>IF(AD364="","",COUNTIF($AD$2:AD364,AD364))</f>
        <v/>
      </c>
      <c r="AF364" s="62" t="str">
        <f>IF(AD364="","",SUMIF(AD$2:AD364,AD364,G$2:G364))</f>
        <v/>
      </c>
      <c r="AG364" s="62" t="str">
        <f>IF(AK364&lt;&gt;"",COUNTIF($AK$1:AK363,AK364)+AK364,IF(AL364&lt;&gt;"",COUNTIF($AL$1:AL363,AL364)+AL364,""))</f>
        <v/>
      </c>
      <c r="AH364" s="62" t="str">
        <f t="shared" si="132"/>
        <v/>
      </c>
      <c r="AI364" s="62" t="str">
        <f>IF(AND(J364="M", AH364&lt;&gt;"U/A",AE364=Prizewinners!$J$1),AF364,"")</f>
        <v/>
      </c>
      <c r="AJ364" s="58" t="str">
        <f>IF(AND(J364="F",  AH364&lt;&gt;"U/A",AE364=Prizewinners!$J$16),AF364,"")</f>
        <v/>
      </c>
      <c r="AK364" s="58" t="str">
        <f t="shared" si="133"/>
        <v/>
      </c>
      <c r="AL364" s="58" t="str">
        <f t="shared" si="134"/>
        <v/>
      </c>
      <c r="AM364" s="58" t="str">
        <f t="shared" si="135"/>
        <v/>
      </c>
      <c r="AN364" s="58" t="str">
        <f t="shared" si="136"/>
        <v/>
      </c>
      <c r="AO364" s="58" t="str">
        <f t="shared" si="137"/>
        <v/>
      </c>
      <c r="AP364" s="58" t="str">
        <f t="shared" si="138"/>
        <v/>
      </c>
      <c r="AQ364" s="58" t="str">
        <f t="shared" si="139"/>
        <v/>
      </c>
    </row>
    <row r="365" spans="1:43" x14ac:dyDescent="0.25">
      <c r="A365" s="12" t="str">
        <f t="shared" si="125"/>
        <v>,65</v>
      </c>
      <c r="B365" s="12" t="str">
        <f t="shared" si="126"/>
        <v>,59</v>
      </c>
      <c r="C365" s="11">
        <f t="shared" si="147"/>
        <v>364</v>
      </c>
      <c r="D365" s="171"/>
      <c r="E365" s="12">
        <f t="shared" si="124"/>
        <v>0</v>
      </c>
      <c r="F365" s="12">
        <f>COUNTIF(H$2:H365,H365)</f>
        <v>65</v>
      </c>
      <c r="G365" s="12">
        <f>COUNTIF(J$2:J365,J365)</f>
        <v>59</v>
      </c>
      <c r="H365" s="12" t="str">
        <f t="shared" si="142"/>
        <v/>
      </c>
      <c r="I365" s="50" t="str">
        <f t="shared" si="143"/>
        <v/>
      </c>
      <c r="J365" s="50" t="str">
        <f t="shared" si="144"/>
        <v/>
      </c>
      <c r="K365" s="64" t="str">
        <f t="shared" si="145"/>
        <v/>
      </c>
      <c r="L365" s="64" t="str">
        <f t="shared" si="146"/>
        <v/>
      </c>
      <c r="M365" s="171"/>
      <c r="N365" s="178"/>
      <c r="O365" s="178"/>
      <c r="P365" s="138">
        <f t="shared" si="127"/>
        <v>0</v>
      </c>
      <c r="Q365" s="137">
        <f t="shared" si="128"/>
        <v>50</v>
      </c>
      <c r="R365" s="143"/>
      <c r="S365" s="143"/>
      <c r="T365" s="143"/>
      <c r="U365" s="144"/>
      <c r="V365" s="144"/>
      <c r="W365" s="144"/>
      <c r="X365" s="145"/>
      <c r="Y365" s="152" t="str">
        <f t="shared" si="129"/>
        <v xml:space="preserve">   50.00 </v>
      </c>
      <c r="Z365" s="136"/>
      <c r="AA365" s="50" t="str">
        <f t="shared" si="140"/>
        <v/>
      </c>
      <c r="AB365" s="129" t="str">
        <f t="shared" si="141"/>
        <v/>
      </c>
      <c r="AC365" s="58" t="str">
        <f t="shared" si="130"/>
        <v/>
      </c>
      <c r="AD365" s="58" t="str">
        <f t="shared" si="131"/>
        <v/>
      </c>
      <c r="AE365" s="60" t="str">
        <f>IF(AD365="","",COUNTIF($AD$2:AD365,AD365))</f>
        <v/>
      </c>
      <c r="AF365" s="62" t="str">
        <f>IF(AD365="","",SUMIF(AD$2:AD365,AD365,G$2:G365))</f>
        <v/>
      </c>
      <c r="AG365" s="62" t="str">
        <f>IF(AK365&lt;&gt;"",COUNTIF($AK$1:AK364,AK365)+AK365,IF(AL365&lt;&gt;"",COUNTIF($AL$1:AL364,AL365)+AL365,""))</f>
        <v/>
      </c>
      <c r="AH365" s="62" t="str">
        <f t="shared" si="132"/>
        <v/>
      </c>
      <c r="AI365" s="62" t="str">
        <f>IF(AND(J365="M", AH365&lt;&gt;"U/A",AE365=Prizewinners!$J$1),AF365,"")</f>
        <v/>
      </c>
      <c r="AJ365" s="58" t="str">
        <f>IF(AND(J365="F",  AH365&lt;&gt;"U/A",AE365=Prizewinners!$J$16),AF365,"")</f>
        <v/>
      </c>
      <c r="AK365" s="58" t="str">
        <f t="shared" si="133"/>
        <v/>
      </c>
      <c r="AL365" s="58" t="str">
        <f t="shared" si="134"/>
        <v/>
      </c>
      <c r="AM365" s="58" t="str">
        <f t="shared" si="135"/>
        <v/>
      </c>
      <c r="AN365" s="58" t="str">
        <f t="shared" si="136"/>
        <v/>
      </c>
      <c r="AO365" s="58" t="str">
        <f t="shared" si="137"/>
        <v/>
      </c>
      <c r="AP365" s="58" t="str">
        <f t="shared" si="138"/>
        <v/>
      </c>
      <c r="AQ365" s="58" t="str">
        <f t="shared" si="139"/>
        <v/>
      </c>
    </row>
    <row r="366" spans="1:43" x14ac:dyDescent="0.25">
      <c r="A366" s="12" t="str">
        <f t="shared" si="125"/>
        <v>,66</v>
      </c>
      <c r="B366" s="12" t="str">
        <f t="shared" si="126"/>
        <v>,60</v>
      </c>
      <c r="C366" s="11">
        <f t="shared" si="147"/>
        <v>365</v>
      </c>
      <c r="D366" s="171"/>
      <c r="E366" s="12">
        <f t="shared" si="124"/>
        <v>0</v>
      </c>
      <c r="F366" s="12">
        <f>COUNTIF(H$2:H366,H366)</f>
        <v>66</v>
      </c>
      <c r="G366" s="12">
        <f>COUNTIF(J$2:J366,J366)</f>
        <v>60</v>
      </c>
      <c r="H366" s="12" t="str">
        <f t="shared" si="142"/>
        <v/>
      </c>
      <c r="I366" s="50" t="str">
        <f t="shared" si="143"/>
        <v/>
      </c>
      <c r="J366" s="50" t="str">
        <f t="shared" si="144"/>
        <v/>
      </c>
      <c r="K366" s="64" t="str">
        <f t="shared" si="145"/>
        <v/>
      </c>
      <c r="L366" s="64" t="str">
        <f t="shared" si="146"/>
        <v/>
      </c>
      <c r="M366" s="171"/>
      <c r="N366" s="178"/>
      <c r="O366" s="178"/>
      <c r="P366" s="138">
        <f t="shared" si="127"/>
        <v>0</v>
      </c>
      <c r="Q366" s="137">
        <f t="shared" si="128"/>
        <v>50</v>
      </c>
      <c r="R366" s="143"/>
      <c r="S366" s="143"/>
      <c r="T366" s="143"/>
      <c r="U366" s="144"/>
      <c r="V366" s="144"/>
      <c r="W366" s="144"/>
      <c r="X366" s="145"/>
      <c r="Y366" s="152" t="str">
        <f t="shared" si="129"/>
        <v xml:space="preserve">   50.00 </v>
      </c>
      <c r="Z366" s="136"/>
      <c r="AA366" s="50" t="str">
        <f t="shared" si="140"/>
        <v/>
      </c>
      <c r="AB366" s="129" t="str">
        <f t="shared" si="141"/>
        <v/>
      </c>
      <c r="AC366" s="58" t="str">
        <f t="shared" si="130"/>
        <v/>
      </c>
      <c r="AD366" s="58" t="str">
        <f t="shared" si="131"/>
        <v/>
      </c>
      <c r="AE366" s="60" t="str">
        <f>IF(AD366="","",COUNTIF($AD$2:AD366,AD366))</f>
        <v/>
      </c>
      <c r="AF366" s="62" t="str">
        <f>IF(AD366="","",SUMIF(AD$2:AD366,AD366,G$2:G366))</f>
        <v/>
      </c>
      <c r="AG366" s="62" t="str">
        <f>IF(AK366&lt;&gt;"",COUNTIF($AK$1:AK365,AK366)+AK366,IF(AL366&lt;&gt;"",COUNTIF($AL$1:AL365,AL366)+AL366,""))</f>
        <v/>
      </c>
      <c r="AH366" s="62" t="str">
        <f t="shared" si="132"/>
        <v/>
      </c>
      <c r="AI366" s="62" t="str">
        <f>IF(AND(J366="M", AH366&lt;&gt;"U/A",AE366=Prizewinners!$J$1),AF366,"")</f>
        <v/>
      </c>
      <c r="AJ366" s="58" t="str">
        <f>IF(AND(J366="F",  AH366&lt;&gt;"U/A",AE366=Prizewinners!$J$16),AF366,"")</f>
        <v/>
      </c>
      <c r="AK366" s="58" t="str">
        <f t="shared" si="133"/>
        <v/>
      </c>
      <c r="AL366" s="58" t="str">
        <f t="shared" si="134"/>
        <v/>
      </c>
      <c r="AM366" s="58" t="str">
        <f t="shared" si="135"/>
        <v/>
      </c>
      <c r="AN366" s="58" t="str">
        <f t="shared" si="136"/>
        <v/>
      </c>
      <c r="AO366" s="58" t="str">
        <f t="shared" si="137"/>
        <v/>
      </c>
      <c r="AP366" s="58" t="str">
        <f t="shared" si="138"/>
        <v/>
      </c>
      <c r="AQ366" s="58" t="str">
        <f t="shared" si="139"/>
        <v/>
      </c>
    </row>
    <row r="367" spans="1:43" x14ac:dyDescent="0.25">
      <c r="A367" s="12" t="str">
        <f t="shared" si="125"/>
        <v>,67</v>
      </c>
      <c r="B367" s="12" t="str">
        <f t="shared" si="126"/>
        <v>,61</v>
      </c>
      <c r="C367" s="11">
        <f t="shared" si="147"/>
        <v>366</v>
      </c>
      <c r="D367" s="171"/>
      <c r="E367" s="12">
        <f t="shared" si="124"/>
        <v>0</v>
      </c>
      <c r="F367" s="12">
        <f>COUNTIF(H$2:H367,H367)</f>
        <v>67</v>
      </c>
      <c r="G367" s="12">
        <f>COUNTIF(J$2:J367,J367)</f>
        <v>61</v>
      </c>
      <c r="H367" s="12" t="str">
        <f t="shared" si="142"/>
        <v/>
      </c>
      <c r="I367" s="50" t="str">
        <f t="shared" si="143"/>
        <v/>
      </c>
      <c r="J367" s="50" t="str">
        <f t="shared" si="144"/>
        <v/>
      </c>
      <c r="K367" s="64" t="str">
        <f t="shared" si="145"/>
        <v/>
      </c>
      <c r="L367" s="64" t="str">
        <f t="shared" si="146"/>
        <v/>
      </c>
      <c r="M367" s="171"/>
      <c r="N367" s="178"/>
      <c r="O367" s="178"/>
      <c r="P367" s="138">
        <f t="shared" si="127"/>
        <v>0</v>
      </c>
      <c r="Q367" s="137">
        <f t="shared" si="128"/>
        <v>50</v>
      </c>
      <c r="R367" s="143"/>
      <c r="S367" s="143"/>
      <c r="T367" s="143"/>
      <c r="U367" s="144"/>
      <c r="V367" s="144"/>
      <c r="W367" s="144"/>
      <c r="X367" s="145"/>
      <c r="Y367" s="152" t="str">
        <f t="shared" si="129"/>
        <v xml:space="preserve">   50.00 </v>
      </c>
      <c r="Z367" s="136"/>
      <c r="AA367" s="50" t="str">
        <f t="shared" si="140"/>
        <v/>
      </c>
      <c r="AB367" s="129" t="str">
        <f t="shared" si="141"/>
        <v/>
      </c>
      <c r="AC367" s="58" t="str">
        <f t="shared" si="130"/>
        <v/>
      </c>
      <c r="AD367" s="58" t="str">
        <f t="shared" si="131"/>
        <v/>
      </c>
      <c r="AE367" s="60" t="str">
        <f>IF(AD367="","",COUNTIF($AD$2:AD367,AD367))</f>
        <v/>
      </c>
      <c r="AF367" s="62" t="str">
        <f>IF(AD367="","",SUMIF(AD$2:AD367,AD367,G$2:G367))</f>
        <v/>
      </c>
      <c r="AG367" s="62" t="str">
        <f>IF(AK367&lt;&gt;"",COUNTIF($AK$1:AK366,AK367)+AK367,IF(AL367&lt;&gt;"",COUNTIF($AL$1:AL366,AL367)+AL367,""))</f>
        <v/>
      </c>
      <c r="AH367" s="62" t="str">
        <f t="shared" si="132"/>
        <v/>
      </c>
      <c r="AI367" s="62" t="str">
        <f>IF(AND(J367="M", AH367&lt;&gt;"U/A",AE367=Prizewinners!$J$1),AF367,"")</f>
        <v/>
      </c>
      <c r="AJ367" s="58" t="str">
        <f>IF(AND(J367="F",  AH367&lt;&gt;"U/A",AE367=Prizewinners!$J$16),AF367,"")</f>
        <v/>
      </c>
      <c r="AK367" s="58" t="str">
        <f t="shared" si="133"/>
        <v/>
      </c>
      <c r="AL367" s="58" t="str">
        <f t="shared" si="134"/>
        <v/>
      </c>
      <c r="AM367" s="58" t="str">
        <f t="shared" si="135"/>
        <v/>
      </c>
      <c r="AN367" s="58" t="str">
        <f t="shared" si="136"/>
        <v/>
      </c>
      <c r="AO367" s="58" t="str">
        <f t="shared" si="137"/>
        <v/>
      </c>
      <c r="AP367" s="58" t="str">
        <f t="shared" si="138"/>
        <v/>
      </c>
      <c r="AQ367" s="58" t="str">
        <f t="shared" si="139"/>
        <v/>
      </c>
    </row>
    <row r="368" spans="1:43" x14ac:dyDescent="0.25">
      <c r="A368" s="12" t="str">
        <f t="shared" si="125"/>
        <v>,68</v>
      </c>
      <c r="B368" s="12" t="str">
        <f t="shared" si="126"/>
        <v>,62</v>
      </c>
      <c r="C368" s="11">
        <f t="shared" si="147"/>
        <v>367</v>
      </c>
      <c r="D368" s="171"/>
      <c r="E368" s="12">
        <f t="shared" si="124"/>
        <v>0</v>
      </c>
      <c r="F368" s="12">
        <f>COUNTIF(H$2:H368,H368)</f>
        <v>68</v>
      </c>
      <c r="G368" s="12">
        <f>COUNTIF(J$2:J368,J368)</f>
        <v>62</v>
      </c>
      <c r="H368" s="12" t="str">
        <f t="shared" si="142"/>
        <v/>
      </c>
      <c r="I368" s="50" t="str">
        <f t="shared" si="143"/>
        <v/>
      </c>
      <c r="J368" s="50" t="str">
        <f t="shared" si="144"/>
        <v/>
      </c>
      <c r="K368" s="64" t="str">
        <f t="shared" si="145"/>
        <v/>
      </c>
      <c r="L368" s="64" t="str">
        <f t="shared" si="146"/>
        <v/>
      </c>
      <c r="M368" s="171"/>
      <c r="N368" s="178"/>
      <c r="O368" s="178"/>
      <c r="P368" s="138">
        <f t="shared" si="127"/>
        <v>0</v>
      </c>
      <c r="Q368" s="137">
        <f t="shared" si="128"/>
        <v>50</v>
      </c>
      <c r="R368" s="143"/>
      <c r="S368" s="143"/>
      <c r="T368" s="143"/>
      <c r="U368" s="144"/>
      <c r="V368" s="144"/>
      <c r="W368" s="144"/>
      <c r="X368" s="145"/>
      <c r="Y368" s="152" t="str">
        <f t="shared" si="129"/>
        <v xml:space="preserve">   50.00 </v>
      </c>
      <c r="Z368" s="136"/>
      <c r="AA368" s="50" t="str">
        <f t="shared" si="140"/>
        <v/>
      </c>
      <c r="AB368" s="129" t="str">
        <f t="shared" si="141"/>
        <v/>
      </c>
      <c r="AC368" s="58" t="str">
        <f t="shared" si="130"/>
        <v/>
      </c>
      <c r="AD368" s="58" t="str">
        <f t="shared" si="131"/>
        <v/>
      </c>
      <c r="AE368" s="60" t="str">
        <f>IF(AD368="","",COUNTIF($AD$2:AD368,AD368))</f>
        <v/>
      </c>
      <c r="AF368" s="62" t="str">
        <f>IF(AD368="","",SUMIF(AD$2:AD368,AD368,G$2:G368))</f>
        <v/>
      </c>
      <c r="AG368" s="62" t="str">
        <f>IF(AK368&lt;&gt;"",COUNTIF($AK$1:AK367,AK368)+AK368,IF(AL368&lt;&gt;"",COUNTIF($AL$1:AL367,AL368)+AL368,""))</f>
        <v/>
      </c>
      <c r="AH368" s="62" t="str">
        <f t="shared" si="132"/>
        <v/>
      </c>
      <c r="AI368" s="62" t="str">
        <f>IF(AND(J368="M", AH368&lt;&gt;"U/A",AE368=Prizewinners!$J$1),AF368,"")</f>
        <v/>
      </c>
      <c r="AJ368" s="58" t="str">
        <f>IF(AND(J368="F",  AH368&lt;&gt;"U/A",AE368=Prizewinners!$J$16),AF368,"")</f>
        <v/>
      </c>
      <c r="AK368" s="58" t="str">
        <f t="shared" si="133"/>
        <v/>
      </c>
      <c r="AL368" s="58" t="str">
        <f t="shared" si="134"/>
        <v/>
      </c>
      <c r="AM368" s="58" t="str">
        <f t="shared" si="135"/>
        <v/>
      </c>
      <c r="AN368" s="58" t="str">
        <f t="shared" si="136"/>
        <v/>
      </c>
      <c r="AO368" s="58" t="str">
        <f t="shared" si="137"/>
        <v/>
      </c>
      <c r="AP368" s="58" t="str">
        <f t="shared" si="138"/>
        <v/>
      </c>
      <c r="AQ368" s="58" t="str">
        <f t="shared" si="139"/>
        <v/>
      </c>
    </row>
    <row r="369" spans="1:43" x14ac:dyDescent="0.25">
      <c r="A369" s="12" t="str">
        <f t="shared" si="125"/>
        <v>,69</v>
      </c>
      <c r="B369" s="12" t="str">
        <f t="shared" si="126"/>
        <v>,63</v>
      </c>
      <c r="C369" s="11">
        <f t="shared" si="147"/>
        <v>368</v>
      </c>
      <c r="D369" s="171"/>
      <c r="E369" s="12">
        <f t="shared" si="124"/>
        <v>0</v>
      </c>
      <c r="F369" s="12">
        <f>COUNTIF(H$2:H369,H369)</f>
        <v>69</v>
      </c>
      <c r="G369" s="12">
        <f>COUNTIF(J$2:J369,J369)</f>
        <v>63</v>
      </c>
      <c r="H369" s="12" t="str">
        <f t="shared" si="142"/>
        <v/>
      </c>
      <c r="I369" s="50" t="str">
        <f t="shared" si="143"/>
        <v/>
      </c>
      <c r="J369" s="50" t="str">
        <f t="shared" si="144"/>
        <v/>
      </c>
      <c r="K369" s="64" t="str">
        <f t="shared" si="145"/>
        <v/>
      </c>
      <c r="L369" s="64" t="str">
        <f t="shared" si="146"/>
        <v/>
      </c>
      <c r="M369" s="171"/>
      <c r="N369" s="178"/>
      <c r="O369" s="178"/>
      <c r="P369" s="138">
        <f t="shared" si="127"/>
        <v>0</v>
      </c>
      <c r="Q369" s="137">
        <f t="shared" si="128"/>
        <v>50</v>
      </c>
      <c r="R369" s="143"/>
      <c r="S369" s="143"/>
      <c r="T369" s="143"/>
      <c r="U369" s="144"/>
      <c r="V369" s="144"/>
      <c r="W369" s="144"/>
      <c r="X369" s="145"/>
      <c r="Y369" s="152" t="str">
        <f t="shared" si="129"/>
        <v xml:space="preserve">   50.00 </v>
      </c>
      <c r="Z369" s="136"/>
      <c r="AA369" s="50" t="str">
        <f t="shared" si="140"/>
        <v/>
      </c>
      <c r="AB369" s="129" t="str">
        <f t="shared" si="141"/>
        <v/>
      </c>
      <c r="AC369" s="58" t="str">
        <f t="shared" si="130"/>
        <v/>
      </c>
      <c r="AD369" s="58" t="str">
        <f t="shared" si="131"/>
        <v/>
      </c>
      <c r="AE369" s="60" t="str">
        <f>IF(AD369="","",COUNTIF($AD$2:AD369,AD369))</f>
        <v/>
      </c>
      <c r="AF369" s="62" t="str">
        <f>IF(AD369="","",SUMIF(AD$2:AD369,AD369,G$2:G369))</f>
        <v/>
      </c>
      <c r="AG369" s="62" t="str">
        <f>IF(AK369&lt;&gt;"",COUNTIF($AK$1:AK368,AK369)+AK369,IF(AL369&lt;&gt;"",COUNTIF($AL$1:AL368,AL369)+AL369,""))</f>
        <v/>
      </c>
      <c r="AH369" s="62" t="str">
        <f t="shared" si="132"/>
        <v/>
      </c>
      <c r="AI369" s="62" t="str">
        <f>IF(AND(J369="M", AH369&lt;&gt;"U/A",AE369=Prizewinners!$J$1),AF369,"")</f>
        <v/>
      </c>
      <c r="AJ369" s="58" t="str">
        <f>IF(AND(J369="F",  AH369&lt;&gt;"U/A",AE369=Prizewinners!$J$16),AF369,"")</f>
        <v/>
      </c>
      <c r="AK369" s="58" t="str">
        <f t="shared" si="133"/>
        <v/>
      </c>
      <c r="AL369" s="58" t="str">
        <f t="shared" si="134"/>
        <v/>
      </c>
      <c r="AM369" s="58" t="str">
        <f t="shared" si="135"/>
        <v/>
      </c>
      <c r="AN369" s="58" t="str">
        <f t="shared" si="136"/>
        <v/>
      </c>
      <c r="AO369" s="58" t="str">
        <f t="shared" si="137"/>
        <v/>
      </c>
      <c r="AP369" s="58" t="str">
        <f t="shared" si="138"/>
        <v/>
      </c>
      <c r="AQ369" s="58" t="str">
        <f t="shared" si="139"/>
        <v/>
      </c>
    </row>
    <row r="370" spans="1:43" x14ac:dyDescent="0.25">
      <c r="A370" s="12" t="str">
        <f t="shared" si="125"/>
        <v>,70</v>
      </c>
      <c r="B370" s="12" t="str">
        <f t="shared" si="126"/>
        <v>,64</v>
      </c>
      <c r="C370" s="11">
        <f t="shared" si="147"/>
        <v>369</v>
      </c>
      <c r="D370" s="171"/>
      <c r="E370" s="12">
        <f t="shared" si="124"/>
        <v>0</v>
      </c>
      <c r="F370" s="12">
        <f>COUNTIF(H$2:H370,H370)</f>
        <v>70</v>
      </c>
      <c r="G370" s="12">
        <f>COUNTIF(J$2:J370,J370)</f>
        <v>64</v>
      </c>
      <c r="H370" s="12" t="str">
        <f t="shared" si="142"/>
        <v/>
      </c>
      <c r="I370" s="50" t="str">
        <f t="shared" si="143"/>
        <v/>
      </c>
      <c r="J370" s="50" t="str">
        <f t="shared" si="144"/>
        <v/>
      </c>
      <c r="K370" s="64" t="str">
        <f t="shared" si="145"/>
        <v/>
      </c>
      <c r="L370" s="64" t="str">
        <f t="shared" si="146"/>
        <v/>
      </c>
      <c r="M370" s="171"/>
      <c r="N370" s="178"/>
      <c r="O370" s="178"/>
      <c r="P370" s="138">
        <f t="shared" si="127"/>
        <v>0</v>
      </c>
      <c r="Q370" s="137">
        <f t="shared" si="128"/>
        <v>50</v>
      </c>
      <c r="R370" s="143"/>
      <c r="S370" s="143"/>
      <c r="T370" s="143"/>
      <c r="U370" s="144"/>
      <c r="V370" s="144"/>
      <c r="W370" s="144"/>
      <c r="X370" s="145"/>
      <c r="Y370" s="152" t="str">
        <f t="shared" si="129"/>
        <v xml:space="preserve">   50.00 </v>
      </c>
      <c r="Z370" s="136"/>
      <c r="AA370" s="50" t="str">
        <f t="shared" si="140"/>
        <v/>
      </c>
      <c r="AB370" s="129" t="str">
        <f t="shared" si="141"/>
        <v/>
      </c>
      <c r="AC370" s="58" t="str">
        <f t="shared" si="130"/>
        <v/>
      </c>
      <c r="AD370" s="58" t="str">
        <f t="shared" si="131"/>
        <v/>
      </c>
      <c r="AE370" s="60" t="str">
        <f>IF(AD370="","",COUNTIF($AD$2:AD370,AD370))</f>
        <v/>
      </c>
      <c r="AF370" s="62" t="str">
        <f>IF(AD370="","",SUMIF(AD$2:AD370,AD370,G$2:G370))</f>
        <v/>
      </c>
      <c r="AG370" s="62" t="str">
        <f>IF(AK370&lt;&gt;"",COUNTIF($AK$1:AK369,AK370)+AK370,IF(AL370&lt;&gt;"",COUNTIF($AL$1:AL369,AL370)+AL370,""))</f>
        <v/>
      </c>
      <c r="AH370" s="62" t="str">
        <f t="shared" si="132"/>
        <v/>
      </c>
      <c r="AI370" s="62" t="str">
        <f>IF(AND(J370="M", AH370&lt;&gt;"U/A",AE370=Prizewinners!$J$1),AF370,"")</f>
        <v/>
      </c>
      <c r="AJ370" s="58" t="str">
        <f>IF(AND(J370="F",  AH370&lt;&gt;"U/A",AE370=Prizewinners!$J$16),AF370,"")</f>
        <v/>
      </c>
      <c r="AK370" s="58" t="str">
        <f t="shared" si="133"/>
        <v/>
      </c>
      <c r="AL370" s="58" t="str">
        <f t="shared" si="134"/>
        <v/>
      </c>
      <c r="AM370" s="58" t="str">
        <f t="shared" si="135"/>
        <v/>
      </c>
      <c r="AN370" s="58" t="str">
        <f t="shared" si="136"/>
        <v/>
      </c>
      <c r="AO370" s="58" t="str">
        <f t="shared" si="137"/>
        <v/>
      </c>
      <c r="AP370" s="58" t="str">
        <f t="shared" si="138"/>
        <v/>
      </c>
      <c r="AQ370" s="58" t="str">
        <f t="shared" si="139"/>
        <v/>
      </c>
    </row>
    <row r="371" spans="1:43" x14ac:dyDescent="0.25">
      <c r="A371" s="12" t="str">
        <f t="shared" si="125"/>
        <v>,71</v>
      </c>
      <c r="B371" s="12" t="str">
        <f t="shared" si="126"/>
        <v>,65</v>
      </c>
      <c r="C371" s="11">
        <f t="shared" si="147"/>
        <v>370</v>
      </c>
      <c r="D371" s="171"/>
      <c r="E371" s="12">
        <f t="shared" si="124"/>
        <v>0</v>
      </c>
      <c r="F371" s="12">
        <f>COUNTIF(H$2:H371,H371)</f>
        <v>71</v>
      </c>
      <c r="G371" s="12">
        <f>COUNTIF(J$2:J371,J371)</f>
        <v>65</v>
      </c>
      <c r="H371" s="12" t="str">
        <f t="shared" si="142"/>
        <v/>
      </c>
      <c r="I371" s="50" t="str">
        <f t="shared" si="143"/>
        <v/>
      </c>
      <c r="J371" s="50" t="str">
        <f t="shared" si="144"/>
        <v/>
      </c>
      <c r="K371" s="64" t="str">
        <f t="shared" si="145"/>
        <v/>
      </c>
      <c r="L371" s="64" t="str">
        <f t="shared" si="146"/>
        <v/>
      </c>
      <c r="M371" s="171"/>
      <c r="N371" s="178"/>
      <c r="O371" s="178"/>
      <c r="P371" s="138">
        <f t="shared" si="127"/>
        <v>0</v>
      </c>
      <c r="Q371" s="137">
        <f t="shared" si="128"/>
        <v>50</v>
      </c>
      <c r="R371" s="143"/>
      <c r="S371" s="143"/>
      <c r="T371" s="143"/>
      <c r="U371" s="144"/>
      <c r="V371" s="144"/>
      <c r="W371" s="144"/>
      <c r="X371" s="145"/>
      <c r="Y371" s="152" t="str">
        <f t="shared" si="129"/>
        <v xml:space="preserve">   50.00 </v>
      </c>
      <c r="Z371" s="136"/>
      <c r="AA371" s="50" t="str">
        <f t="shared" si="140"/>
        <v/>
      </c>
      <c r="AB371" s="129" t="str">
        <f t="shared" si="141"/>
        <v/>
      </c>
      <c r="AC371" s="58" t="str">
        <f t="shared" si="130"/>
        <v/>
      </c>
      <c r="AD371" s="58" t="str">
        <f t="shared" si="131"/>
        <v/>
      </c>
      <c r="AE371" s="60" t="str">
        <f>IF(AD371="","",COUNTIF($AD$2:AD371,AD371))</f>
        <v/>
      </c>
      <c r="AF371" s="62" t="str">
        <f>IF(AD371="","",SUMIF(AD$2:AD371,AD371,G$2:G371))</f>
        <v/>
      </c>
      <c r="AG371" s="62" t="str">
        <f>IF(AK371&lt;&gt;"",COUNTIF($AK$1:AK370,AK371)+AK371,IF(AL371&lt;&gt;"",COUNTIF($AL$1:AL370,AL371)+AL371,""))</f>
        <v/>
      </c>
      <c r="AH371" s="62" t="str">
        <f t="shared" si="132"/>
        <v/>
      </c>
      <c r="AI371" s="62" t="str">
        <f>IF(AND(J371="M", AH371&lt;&gt;"U/A",AE371=Prizewinners!$J$1),AF371,"")</f>
        <v/>
      </c>
      <c r="AJ371" s="58" t="str">
        <f>IF(AND(J371="F",  AH371&lt;&gt;"U/A",AE371=Prizewinners!$J$16),AF371,"")</f>
        <v/>
      </c>
      <c r="AK371" s="58" t="str">
        <f t="shared" si="133"/>
        <v/>
      </c>
      <c r="AL371" s="58" t="str">
        <f t="shared" si="134"/>
        <v/>
      </c>
      <c r="AM371" s="58" t="str">
        <f t="shared" si="135"/>
        <v/>
      </c>
      <c r="AN371" s="58" t="str">
        <f t="shared" si="136"/>
        <v/>
      </c>
      <c r="AO371" s="58" t="str">
        <f t="shared" si="137"/>
        <v/>
      </c>
      <c r="AP371" s="58" t="str">
        <f t="shared" si="138"/>
        <v/>
      </c>
      <c r="AQ371" s="58" t="str">
        <f t="shared" si="139"/>
        <v/>
      </c>
    </row>
    <row r="372" spans="1:43" x14ac:dyDescent="0.25">
      <c r="A372" s="12" t="str">
        <f t="shared" si="125"/>
        <v>,72</v>
      </c>
      <c r="B372" s="12" t="str">
        <f t="shared" si="126"/>
        <v>,66</v>
      </c>
      <c r="C372" s="11">
        <f t="shared" si="147"/>
        <v>371</v>
      </c>
      <c r="D372" s="171"/>
      <c r="E372" s="12">
        <f t="shared" si="124"/>
        <v>0</v>
      </c>
      <c r="F372" s="12">
        <f>COUNTIF(H$2:H372,H372)</f>
        <v>72</v>
      </c>
      <c r="G372" s="12">
        <f>COUNTIF(J$2:J372,J372)</f>
        <v>66</v>
      </c>
      <c r="H372" s="12" t="str">
        <f t="shared" si="142"/>
        <v/>
      </c>
      <c r="I372" s="50" t="str">
        <f t="shared" si="143"/>
        <v/>
      </c>
      <c r="J372" s="50" t="str">
        <f t="shared" si="144"/>
        <v/>
      </c>
      <c r="K372" s="64" t="str">
        <f t="shared" si="145"/>
        <v/>
      </c>
      <c r="L372" s="64" t="str">
        <f t="shared" si="146"/>
        <v/>
      </c>
      <c r="M372" s="171"/>
      <c r="N372" s="178"/>
      <c r="O372" s="178"/>
      <c r="P372" s="138">
        <f t="shared" si="127"/>
        <v>0</v>
      </c>
      <c r="Q372" s="137">
        <f t="shared" si="128"/>
        <v>50</v>
      </c>
      <c r="R372" s="143"/>
      <c r="S372" s="143"/>
      <c r="T372" s="143"/>
      <c r="U372" s="144"/>
      <c r="V372" s="144"/>
      <c r="W372" s="144"/>
      <c r="X372" s="145"/>
      <c r="Y372" s="152" t="str">
        <f t="shared" si="129"/>
        <v xml:space="preserve">   50.00 </v>
      </c>
      <c r="Z372" s="136"/>
      <c r="AA372" s="50" t="str">
        <f t="shared" si="140"/>
        <v/>
      </c>
      <c r="AB372" s="129" t="str">
        <f t="shared" si="141"/>
        <v/>
      </c>
      <c r="AC372" s="58" t="str">
        <f t="shared" si="130"/>
        <v/>
      </c>
      <c r="AD372" s="58" t="str">
        <f t="shared" si="131"/>
        <v/>
      </c>
      <c r="AE372" s="60" t="str">
        <f>IF(AD372="","",COUNTIF($AD$2:AD372,AD372))</f>
        <v/>
      </c>
      <c r="AF372" s="62" t="str">
        <f>IF(AD372="","",SUMIF(AD$2:AD372,AD372,G$2:G372))</f>
        <v/>
      </c>
      <c r="AG372" s="62" t="str">
        <f>IF(AK372&lt;&gt;"",COUNTIF($AK$1:AK371,AK372)+AK372,IF(AL372&lt;&gt;"",COUNTIF($AL$1:AL371,AL372)+AL372,""))</f>
        <v/>
      </c>
      <c r="AH372" s="62" t="str">
        <f t="shared" si="132"/>
        <v/>
      </c>
      <c r="AI372" s="62" t="str">
        <f>IF(AND(J372="M", AH372&lt;&gt;"U/A",AE372=Prizewinners!$J$1),AF372,"")</f>
        <v/>
      </c>
      <c r="AJ372" s="58" t="str">
        <f>IF(AND(J372="F",  AH372&lt;&gt;"U/A",AE372=Prizewinners!$J$16),AF372,"")</f>
        <v/>
      </c>
      <c r="AK372" s="58" t="str">
        <f t="shared" si="133"/>
        <v/>
      </c>
      <c r="AL372" s="58" t="str">
        <f t="shared" si="134"/>
        <v/>
      </c>
      <c r="AM372" s="58" t="str">
        <f t="shared" si="135"/>
        <v/>
      </c>
      <c r="AN372" s="58" t="str">
        <f t="shared" si="136"/>
        <v/>
      </c>
      <c r="AO372" s="58" t="str">
        <f t="shared" si="137"/>
        <v/>
      </c>
      <c r="AP372" s="58" t="str">
        <f t="shared" si="138"/>
        <v/>
      </c>
      <c r="AQ372" s="58" t="str">
        <f t="shared" si="139"/>
        <v/>
      </c>
    </row>
    <row r="373" spans="1:43" x14ac:dyDescent="0.25">
      <c r="A373" s="12" t="str">
        <f t="shared" si="125"/>
        <v>,73</v>
      </c>
      <c r="B373" s="12" t="str">
        <f t="shared" si="126"/>
        <v>,67</v>
      </c>
      <c r="C373" s="11">
        <f t="shared" si="147"/>
        <v>372</v>
      </c>
      <c r="D373" s="171"/>
      <c r="E373" s="12">
        <f t="shared" si="124"/>
        <v>0</v>
      </c>
      <c r="F373" s="12">
        <f>COUNTIF(H$2:H373,H373)</f>
        <v>73</v>
      </c>
      <c r="G373" s="12">
        <f>COUNTIF(J$2:J373,J373)</f>
        <v>67</v>
      </c>
      <c r="H373" s="12" t="str">
        <f t="shared" si="142"/>
        <v/>
      </c>
      <c r="I373" s="50" t="str">
        <f t="shared" si="143"/>
        <v/>
      </c>
      <c r="J373" s="50" t="str">
        <f t="shared" si="144"/>
        <v/>
      </c>
      <c r="K373" s="64" t="str">
        <f t="shared" si="145"/>
        <v/>
      </c>
      <c r="L373" s="64" t="str">
        <f t="shared" si="146"/>
        <v/>
      </c>
      <c r="M373" s="171"/>
      <c r="N373" s="178"/>
      <c r="O373" s="178"/>
      <c r="P373" s="138">
        <f t="shared" si="127"/>
        <v>0</v>
      </c>
      <c r="Q373" s="137">
        <f t="shared" si="128"/>
        <v>50</v>
      </c>
      <c r="R373" s="143"/>
      <c r="S373" s="143"/>
      <c r="T373" s="143"/>
      <c r="U373" s="144"/>
      <c r="V373" s="144"/>
      <c r="W373" s="144"/>
      <c r="X373" s="145"/>
      <c r="Y373" s="152" t="str">
        <f t="shared" si="129"/>
        <v xml:space="preserve">   50.00 </v>
      </c>
      <c r="Z373" s="136"/>
      <c r="AA373" s="50" t="str">
        <f t="shared" si="140"/>
        <v/>
      </c>
      <c r="AB373" s="129" t="str">
        <f t="shared" si="141"/>
        <v/>
      </c>
      <c r="AC373" s="58" t="str">
        <f t="shared" si="130"/>
        <v/>
      </c>
      <c r="AD373" s="58" t="str">
        <f t="shared" si="131"/>
        <v/>
      </c>
      <c r="AE373" s="60" t="str">
        <f>IF(AD373="","",COUNTIF($AD$2:AD373,AD373))</f>
        <v/>
      </c>
      <c r="AF373" s="62" t="str">
        <f>IF(AD373="","",SUMIF(AD$2:AD373,AD373,G$2:G373))</f>
        <v/>
      </c>
      <c r="AG373" s="62" t="str">
        <f>IF(AK373&lt;&gt;"",COUNTIF($AK$1:AK372,AK373)+AK373,IF(AL373&lt;&gt;"",COUNTIF($AL$1:AL372,AL373)+AL373,""))</f>
        <v/>
      </c>
      <c r="AH373" s="62" t="str">
        <f t="shared" si="132"/>
        <v/>
      </c>
      <c r="AI373" s="62" t="str">
        <f>IF(AND(J373="M", AH373&lt;&gt;"U/A",AE373=Prizewinners!$J$1),AF373,"")</f>
        <v/>
      </c>
      <c r="AJ373" s="58" t="str">
        <f>IF(AND(J373="F",  AH373&lt;&gt;"U/A",AE373=Prizewinners!$J$16),AF373,"")</f>
        <v/>
      </c>
      <c r="AK373" s="58" t="str">
        <f t="shared" si="133"/>
        <v/>
      </c>
      <c r="AL373" s="58" t="str">
        <f t="shared" si="134"/>
        <v/>
      </c>
      <c r="AM373" s="58" t="str">
        <f t="shared" si="135"/>
        <v/>
      </c>
      <c r="AN373" s="58" t="str">
        <f t="shared" si="136"/>
        <v/>
      </c>
      <c r="AO373" s="58" t="str">
        <f t="shared" si="137"/>
        <v/>
      </c>
      <c r="AP373" s="58" t="str">
        <f t="shared" si="138"/>
        <v/>
      </c>
      <c r="AQ373" s="58" t="str">
        <f t="shared" si="139"/>
        <v/>
      </c>
    </row>
    <row r="374" spans="1:43" x14ac:dyDescent="0.25">
      <c r="A374" s="12" t="str">
        <f t="shared" si="125"/>
        <v>,74</v>
      </c>
      <c r="B374" s="12" t="str">
        <f t="shared" si="126"/>
        <v>,68</v>
      </c>
      <c r="C374" s="11">
        <f t="shared" si="147"/>
        <v>373</v>
      </c>
      <c r="D374" s="171"/>
      <c r="E374" s="12">
        <f t="shared" si="124"/>
        <v>0</v>
      </c>
      <c r="F374" s="12">
        <f>COUNTIF(H$2:H374,H374)</f>
        <v>74</v>
      </c>
      <c r="G374" s="12">
        <f>COUNTIF(J$2:J374,J374)</f>
        <v>68</v>
      </c>
      <c r="H374" s="12" t="str">
        <f t="shared" si="142"/>
        <v/>
      </c>
      <c r="I374" s="50" t="str">
        <f t="shared" si="143"/>
        <v/>
      </c>
      <c r="J374" s="50" t="str">
        <f t="shared" si="144"/>
        <v/>
      </c>
      <c r="K374" s="64" t="str">
        <f t="shared" si="145"/>
        <v/>
      </c>
      <c r="L374" s="64" t="str">
        <f t="shared" si="146"/>
        <v/>
      </c>
      <c r="M374" s="171"/>
      <c r="N374" s="178"/>
      <c r="O374" s="178"/>
      <c r="P374" s="138">
        <f t="shared" si="127"/>
        <v>0</v>
      </c>
      <c r="Q374" s="137">
        <f t="shared" si="128"/>
        <v>50</v>
      </c>
      <c r="R374" s="143"/>
      <c r="S374" s="143"/>
      <c r="T374" s="143"/>
      <c r="U374" s="144"/>
      <c r="V374" s="144"/>
      <c r="W374" s="144"/>
      <c r="X374" s="145"/>
      <c r="Y374" s="152" t="str">
        <f t="shared" si="129"/>
        <v xml:space="preserve">   50.00 </v>
      </c>
      <c r="Z374" s="136"/>
      <c r="AA374" s="50" t="str">
        <f t="shared" si="140"/>
        <v/>
      </c>
      <c r="AB374" s="129" t="str">
        <f t="shared" si="141"/>
        <v/>
      </c>
      <c r="AC374" s="58" t="str">
        <f t="shared" si="130"/>
        <v/>
      </c>
      <c r="AD374" s="58" t="str">
        <f t="shared" si="131"/>
        <v/>
      </c>
      <c r="AE374" s="60" t="str">
        <f>IF(AD374="","",COUNTIF($AD$2:AD374,AD374))</f>
        <v/>
      </c>
      <c r="AF374" s="62" t="str">
        <f>IF(AD374="","",SUMIF(AD$2:AD374,AD374,G$2:G374))</f>
        <v/>
      </c>
      <c r="AG374" s="62" t="str">
        <f>IF(AK374&lt;&gt;"",COUNTIF($AK$1:AK373,AK374)+AK374,IF(AL374&lt;&gt;"",COUNTIF($AL$1:AL373,AL374)+AL374,""))</f>
        <v/>
      </c>
      <c r="AH374" s="62" t="str">
        <f t="shared" si="132"/>
        <v/>
      </c>
      <c r="AI374" s="62" t="str">
        <f>IF(AND(J374="M", AH374&lt;&gt;"U/A",AE374=Prizewinners!$J$1),AF374,"")</f>
        <v/>
      </c>
      <c r="AJ374" s="58" t="str">
        <f>IF(AND(J374="F",  AH374&lt;&gt;"U/A",AE374=Prizewinners!$J$16),AF374,"")</f>
        <v/>
      </c>
      <c r="AK374" s="58" t="str">
        <f t="shared" si="133"/>
        <v/>
      </c>
      <c r="AL374" s="58" t="str">
        <f t="shared" si="134"/>
        <v/>
      </c>
      <c r="AM374" s="58" t="str">
        <f t="shared" si="135"/>
        <v/>
      </c>
      <c r="AN374" s="58" t="str">
        <f t="shared" si="136"/>
        <v/>
      </c>
      <c r="AO374" s="58" t="str">
        <f t="shared" si="137"/>
        <v/>
      </c>
      <c r="AP374" s="58" t="str">
        <f t="shared" si="138"/>
        <v/>
      </c>
      <c r="AQ374" s="58" t="str">
        <f t="shared" si="139"/>
        <v/>
      </c>
    </row>
    <row r="375" spans="1:43" x14ac:dyDescent="0.25">
      <c r="A375" s="12" t="str">
        <f t="shared" si="125"/>
        <v>,75</v>
      </c>
      <c r="B375" s="12" t="str">
        <f t="shared" si="126"/>
        <v>,69</v>
      </c>
      <c r="C375" s="11">
        <f t="shared" si="147"/>
        <v>374</v>
      </c>
      <c r="D375" s="171"/>
      <c r="E375" s="12">
        <f t="shared" si="124"/>
        <v>0</v>
      </c>
      <c r="F375" s="12">
        <f>COUNTIF(H$2:H375,H375)</f>
        <v>75</v>
      </c>
      <c r="G375" s="12">
        <f>COUNTIF(J$2:J375,J375)</f>
        <v>69</v>
      </c>
      <c r="H375" s="12" t="str">
        <f t="shared" si="142"/>
        <v/>
      </c>
      <c r="I375" s="50" t="str">
        <f t="shared" si="143"/>
        <v/>
      </c>
      <c r="J375" s="50" t="str">
        <f t="shared" si="144"/>
        <v/>
      </c>
      <c r="K375" s="64" t="str">
        <f t="shared" si="145"/>
        <v/>
      </c>
      <c r="L375" s="64" t="str">
        <f t="shared" si="146"/>
        <v/>
      </c>
      <c r="M375" s="171"/>
      <c r="N375" s="178"/>
      <c r="O375" s="178"/>
      <c r="P375" s="138">
        <f t="shared" si="127"/>
        <v>0</v>
      </c>
      <c r="Q375" s="137">
        <f t="shared" si="128"/>
        <v>50</v>
      </c>
      <c r="R375" s="143"/>
      <c r="S375" s="143"/>
      <c r="T375" s="143"/>
      <c r="U375" s="144"/>
      <c r="V375" s="144"/>
      <c r="W375" s="144"/>
      <c r="X375" s="145"/>
      <c r="Y375" s="152" t="str">
        <f t="shared" si="129"/>
        <v xml:space="preserve">   50.00 </v>
      </c>
      <c r="Z375" s="136"/>
      <c r="AA375" s="50" t="str">
        <f t="shared" si="140"/>
        <v/>
      </c>
      <c r="AB375" s="129" t="str">
        <f t="shared" si="141"/>
        <v/>
      </c>
      <c r="AC375" s="58" t="str">
        <f t="shared" si="130"/>
        <v/>
      </c>
      <c r="AD375" s="58" t="str">
        <f t="shared" si="131"/>
        <v/>
      </c>
      <c r="AE375" s="60" t="str">
        <f>IF(AD375="","",COUNTIF($AD$2:AD375,AD375))</f>
        <v/>
      </c>
      <c r="AF375" s="62" t="str">
        <f>IF(AD375="","",SUMIF(AD$2:AD375,AD375,G$2:G375))</f>
        <v/>
      </c>
      <c r="AG375" s="62" t="str">
        <f>IF(AK375&lt;&gt;"",COUNTIF($AK$1:AK374,AK375)+AK375,IF(AL375&lt;&gt;"",COUNTIF($AL$1:AL374,AL375)+AL375,""))</f>
        <v/>
      </c>
      <c r="AH375" s="62" t="str">
        <f t="shared" si="132"/>
        <v/>
      </c>
      <c r="AI375" s="62" t="str">
        <f>IF(AND(J375="M", AH375&lt;&gt;"U/A",AE375=Prizewinners!$J$1),AF375,"")</f>
        <v/>
      </c>
      <c r="AJ375" s="58" t="str">
        <f>IF(AND(J375="F",  AH375&lt;&gt;"U/A",AE375=Prizewinners!$J$16),AF375,"")</f>
        <v/>
      </c>
      <c r="AK375" s="58" t="str">
        <f t="shared" si="133"/>
        <v/>
      </c>
      <c r="AL375" s="58" t="str">
        <f t="shared" si="134"/>
        <v/>
      </c>
      <c r="AM375" s="58" t="str">
        <f t="shared" si="135"/>
        <v/>
      </c>
      <c r="AN375" s="58" t="str">
        <f t="shared" si="136"/>
        <v/>
      </c>
      <c r="AO375" s="58" t="str">
        <f t="shared" si="137"/>
        <v/>
      </c>
      <c r="AP375" s="58" t="str">
        <f t="shared" si="138"/>
        <v/>
      </c>
      <c r="AQ375" s="58" t="str">
        <f t="shared" si="139"/>
        <v/>
      </c>
    </row>
    <row r="376" spans="1:43" x14ac:dyDescent="0.25">
      <c r="A376" s="12" t="str">
        <f t="shared" si="125"/>
        <v>,76</v>
      </c>
      <c r="B376" s="12" t="str">
        <f t="shared" si="126"/>
        <v>,70</v>
      </c>
      <c r="C376" s="11">
        <f t="shared" si="147"/>
        <v>375</v>
      </c>
      <c r="D376" s="171"/>
      <c r="E376" s="12">
        <f t="shared" si="124"/>
        <v>0</v>
      </c>
      <c r="F376" s="12">
        <f>COUNTIF(H$2:H376,H376)</f>
        <v>76</v>
      </c>
      <c r="G376" s="12">
        <f>COUNTIF(J$2:J376,J376)</f>
        <v>70</v>
      </c>
      <c r="H376" s="12" t="str">
        <f t="shared" si="142"/>
        <v/>
      </c>
      <c r="I376" s="50" t="str">
        <f t="shared" si="143"/>
        <v/>
      </c>
      <c r="J376" s="50" t="str">
        <f t="shared" si="144"/>
        <v/>
      </c>
      <c r="K376" s="64" t="str">
        <f t="shared" si="145"/>
        <v/>
      </c>
      <c r="L376" s="64" t="str">
        <f t="shared" si="146"/>
        <v/>
      </c>
      <c r="M376" s="171"/>
      <c r="N376" s="178"/>
      <c r="O376" s="178"/>
      <c r="P376" s="138">
        <f t="shared" si="127"/>
        <v>0</v>
      </c>
      <c r="Q376" s="137">
        <f t="shared" si="128"/>
        <v>50</v>
      </c>
      <c r="R376" s="143"/>
      <c r="S376" s="143"/>
      <c r="T376" s="143"/>
      <c r="U376" s="144"/>
      <c r="V376" s="144"/>
      <c r="W376" s="144"/>
      <c r="X376" s="145"/>
      <c r="Y376" s="152" t="str">
        <f t="shared" si="129"/>
        <v xml:space="preserve">   50.00 </v>
      </c>
      <c r="Z376" s="136"/>
      <c r="AA376" s="50" t="str">
        <f t="shared" si="140"/>
        <v/>
      </c>
      <c r="AB376" s="129" t="str">
        <f t="shared" si="141"/>
        <v/>
      </c>
      <c r="AC376" s="58" t="str">
        <f t="shared" si="130"/>
        <v/>
      </c>
      <c r="AD376" s="58" t="str">
        <f t="shared" si="131"/>
        <v/>
      </c>
      <c r="AE376" s="60" t="str">
        <f>IF(AD376="","",COUNTIF($AD$2:AD376,AD376))</f>
        <v/>
      </c>
      <c r="AF376" s="62" t="str">
        <f>IF(AD376="","",SUMIF(AD$2:AD376,AD376,G$2:G376))</f>
        <v/>
      </c>
      <c r="AG376" s="62" t="str">
        <f>IF(AK376&lt;&gt;"",COUNTIF($AK$1:AK375,AK376)+AK376,IF(AL376&lt;&gt;"",COUNTIF($AL$1:AL375,AL376)+AL376,""))</f>
        <v/>
      </c>
      <c r="AH376" s="62" t="str">
        <f t="shared" si="132"/>
        <v/>
      </c>
      <c r="AI376" s="62" t="str">
        <f>IF(AND(J376="M", AH376&lt;&gt;"U/A",AE376=Prizewinners!$J$1),AF376,"")</f>
        <v/>
      </c>
      <c r="AJ376" s="58" t="str">
        <f>IF(AND(J376="F",  AH376&lt;&gt;"U/A",AE376=Prizewinners!$J$16),AF376,"")</f>
        <v/>
      </c>
      <c r="AK376" s="58" t="str">
        <f t="shared" si="133"/>
        <v/>
      </c>
      <c r="AL376" s="58" t="str">
        <f t="shared" si="134"/>
        <v/>
      </c>
      <c r="AM376" s="58" t="str">
        <f t="shared" si="135"/>
        <v/>
      </c>
      <c r="AN376" s="58" t="str">
        <f t="shared" si="136"/>
        <v/>
      </c>
      <c r="AO376" s="58" t="str">
        <f t="shared" si="137"/>
        <v/>
      </c>
      <c r="AP376" s="58" t="str">
        <f t="shared" si="138"/>
        <v/>
      </c>
      <c r="AQ376" s="58" t="str">
        <f t="shared" si="139"/>
        <v/>
      </c>
    </row>
    <row r="377" spans="1:43" x14ac:dyDescent="0.25">
      <c r="A377" s="12" t="str">
        <f t="shared" si="125"/>
        <v>,77</v>
      </c>
      <c r="B377" s="12" t="str">
        <f t="shared" si="126"/>
        <v>,71</v>
      </c>
      <c r="C377" s="11">
        <f t="shared" si="147"/>
        <v>376</v>
      </c>
      <c r="D377" s="171"/>
      <c r="E377" s="12">
        <f t="shared" si="124"/>
        <v>0</v>
      </c>
      <c r="F377" s="12">
        <f>COUNTIF(H$2:H377,H377)</f>
        <v>77</v>
      </c>
      <c r="G377" s="12">
        <f>COUNTIF(J$2:J377,J377)</f>
        <v>71</v>
      </c>
      <c r="H377" s="12" t="str">
        <f t="shared" si="142"/>
        <v/>
      </c>
      <c r="I377" s="50" t="str">
        <f t="shared" si="143"/>
        <v/>
      </c>
      <c r="J377" s="50" t="str">
        <f t="shared" si="144"/>
        <v/>
      </c>
      <c r="K377" s="64" t="str">
        <f t="shared" si="145"/>
        <v/>
      </c>
      <c r="L377" s="64" t="str">
        <f t="shared" si="146"/>
        <v/>
      </c>
      <c r="M377" s="171"/>
      <c r="N377" s="178"/>
      <c r="O377" s="178"/>
      <c r="P377" s="138">
        <f t="shared" si="127"/>
        <v>0</v>
      </c>
      <c r="Q377" s="137">
        <f t="shared" si="128"/>
        <v>50</v>
      </c>
      <c r="R377" s="143"/>
      <c r="S377" s="143"/>
      <c r="T377" s="143"/>
      <c r="U377" s="144"/>
      <c r="V377" s="144"/>
      <c r="W377" s="144"/>
      <c r="X377" s="145"/>
      <c r="Y377" s="152" t="str">
        <f t="shared" si="129"/>
        <v xml:space="preserve">   50.00 </v>
      </c>
      <c r="Z377" s="136"/>
      <c r="AA377" s="50" t="str">
        <f t="shared" si="140"/>
        <v/>
      </c>
      <c r="AB377" s="129" t="str">
        <f t="shared" si="141"/>
        <v/>
      </c>
      <c r="AC377" s="58" t="str">
        <f t="shared" si="130"/>
        <v/>
      </c>
      <c r="AD377" s="58" t="str">
        <f t="shared" si="131"/>
        <v/>
      </c>
      <c r="AE377" s="60" t="str">
        <f>IF(AD377="","",COUNTIF($AD$2:AD377,AD377))</f>
        <v/>
      </c>
      <c r="AF377" s="62" t="str">
        <f>IF(AD377="","",SUMIF(AD$2:AD377,AD377,G$2:G377))</f>
        <v/>
      </c>
      <c r="AG377" s="62" t="str">
        <f>IF(AK377&lt;&gt;"",COUNTIF($AK$1:AK376,AK377)+AK377,IF(AL377&lt;&gt;"",COUNTIF($AL$1:AL376,AL377)+AL377,""))</f>
        <v/>
      </c>
      <c r="AH377" s="62" t="str">
        <f t="shared" si="132"/>
        <v/>
      </c>
      <c r="AI377" s="62" t="str">
        <f>IF(AND(J377="M", AH377&lt;&gt;"U/A",AE377=Prizewinners!$J$1),AF377,"")</f>
        <v/>
      </c>
      <c r="AJ377" s="58" t="str">
        <f>IF(AND(J377="F",  AH377&lt;&gt;"U/A",AE377=Prizewinners!$J$16),AF377,"")</f>
        <v/>
      </c>
      <c r="AK377" s="58" t="str">
        <f t="shared" si="133"/>
        <v/>
      </c>
      <c r="AL377" s="58" t="str">
        <f t="shared" si="134"/>
        <v/>
      </c>
      <c r="AM377" s="58" t="str">
        <f t="shared" si="135"/>
        <v/>
      </c>
      <c r="AN377" s="58" t="str">
        <f t="shared" si="136"/>
        <v/>
      </c>
      <c r="AO377" s="58" t="str">
        <f t="shared" si="137"/>
        <v/>
      </c>
      <c r="AP377" s="58" t="str">
        <f t="shared" si="138"/>
        <v/>
      </c>
      <c r="AQ377" s="58" t="str">
        <f t="shared" si="139"/>
        <v/>
      </c>
    </row>
    <row r="378" spans="1:43" x14ac:dyDescent="0.25">
      <c r="A378" s="12" t="str">
        <f t="shared" si="125"/>
        <v>,78</v>
      </c>
      <c r="B378" s="12" t="str">
        <f t="shared" si="126"/>
        <v>,72</v>
      </c>
      <c r="C378" s="11">
        <f t="shared" si="147"/>
        <v>377</v>
      </c>
      <c r="D378" s="171"/>
      <c r="E378" s="12">
        <f t="shared" si="124"/>
        <v>0</v>
      </c>
      <c r="F378" s="12">
        <f>COUNTIF(H$2:H378,H378)</f>
        <v>78</v>
      </c>
      <c r="G378" s="12">
        <f>COUNTIF(J$2:J378,J378)</f>
        <v>72</v>
      </c>
      <c r="H378" s="12" t="str">
        <f t="shared" si="142"/>
        <v/>
      </c>
      <c r="I378" s="50" t="str">
        <f t="shared" si="143"/>
        <v/>
      </c>
      <c r="J378" s="50" t="str">
        <f t="shared" si="144"/>
        <v/>
      </c>
      <c r="K378" s="64" t="str">
        <f t="shared" si="145"/>
        <v/>
      </c>
      <c r="L378" s="64" t="str">
        <f t="shared" si="146"/>
        <v/>
      </c>
      <c r="M378" s="171"/>
      <c r="N378" s="178"/>
      <c r="O378" s="178"/>
      <c r="P378" s="138">
        <f t="shared" si="127"/>
        <v>0</v>
      </c>
      <c r="Q378" s="137">
        <f t="shared" si="128"/>
        <v>50</v>
      </c>
      <c r="R378" s="143"/>
      <c r="S378" s="143"/>
      <c r="T378" s="143"/>
      <c r="U378" s="144"/>
      <c r="V378" s="144"/>
      <c r="W378" s="144"/>
      <c r="X378" s="145"/>
      <c r="Y378" s="152" t="str">
        <f t="shared" si="129"/>
        <v xml:space="preserve">   50.00 </v>
      </c>
      <c r="Z378" s="136"/>
      <c r="AA378" s="50" t="str">
        <f t="shared" si="140"/>
        <v/>
      </c>
      <c r="AB378" s="129" t="str">
        <f t="shared" si="141"/>
        <v/>
      </c>
      <c r="AC378" s="58" t="str">
        <f t="shared" si="130"/>
        <v/>
      </c>
      <c r="AD378" s="58" t="str">
        <f t="shared" si="131"/>
        <v/>
      </c>
      <c r="AE378" s="60" t="str">
        <f>IF(AD378="","",COUNTIF($AD$2:AD378,AD378))</f>
        <v/>
      </c>
      <c r="AF378" s="62" t="str">
        <f>IF(AD378="","",SUMIF(AD$2:AD378,AD378,G$2:G378))</f>
        <v/>
      </c>
      <c r="AG378" s="62" t="str">
        <f>IF(AK378&lt;&gt;"",COUNTIF($AK$1:AK377,AK378)+AK378,IF(AL378&lt;&gt;"",COUNTIF($AL$1:AL377,AL378)+AL378,""))</f>
        <v/>
      </c>
      <c r="AH378" s="62" t="str">
        <f t="shared" si="132"/>
        <v/>
      </c>
      <c r="AI378" s="62" t="str">
        <f>IF(AND(J378="M", AH378&lt;&gt;"U/A",AE378=Prizewinners!$J$1),AF378,"")</f>
        <v/>
      </c>
      <c r="AJ378" s="58" t="str">
        <f>IF(AND(J378="F",  AH378&lt;&gt;"U/A",AE378=Prizewinners!$J$16),AF378,"")</f>
        <v/>
      </c>
      <c r="AK378" s="58" t="str">
        <f t="shared" si="133"/>
        <v/>
      </c>
      <c r="AL378" s="58" t="str">
        <f t="shared" si="134"/>
        <v/>
      </c>
      <c r="AM378" s="58" t="str">
        <f t="shared" si="135"/>
        <v/>
      </c>
      <c r="AN378" s="58" t="str">
        <f t="shared" si="136"/>
        <v/>
      </c>
      <c r="AO378" s="58" t="str">
        <f t="shared" si="137"/>
        <v/>
      </c>
      <c r="AP378" s="58" t="str">
        <f t="shared" si="138"/>
        <v/>
      </c>
      <c r="AQ378" s="58" t="str">
        <f t="shared" si="139"/>
        <v/>
      </c>
    </row>
    <row r="379" spans="1:43" x14ac:dyDescent="0.25">
      <c r="A379" s="12" t="str">
        <f t="shared" si="125"/>
        <v>,79</v>
      </c>
      <c r="B379" s="12" t="str">
        <f t="shared" si="126"/>
        <v>,73</v>
      </c>
      <c r="C379" s="11">
        <f t="shared" si="147"/>
        <v>378</v>
      </c>
      <c r="D379" s="171"/>
      <c r="E379" s="12">
        <f t="shared" si="124"/>
        <v>0</v>
      </c>
      <c r="F379" s="12">
        <f>COUNTIF(H$2:H379,H379)</f>
        <v>79</v>
      </c>
      <c r="G379" s="12">
        <f>COUNTIF(J$2:J379,J379)</f>
        <v>73</v>
      </c>
      <c r="H379" s="12" t="str">
        <f t="shared" si="142"/>
        <v/>
      </c>
      <c r="I379" s="50" t="str">
        <f t="shared" si="143"/>
        <v/>
      </c>
      <c r="J379" s="50" t="str">
        <f t="shared" si="144"/>
        <v/>
      </c>
      <c r="K379" s="64" t="str">
        <f t="shared" si="145"/>
        <v/>
      </c>
      <c r="L379" s="64" t="str">
        <f t="shared" si="146"/>
        <v/>
      </c>
      <c r="M379" s="171"/>
      <c r="N379" s="178"/>
      <c r="O379" s="178"/>
      <c r="P379" s="138">
        <f t="shared" si="127"/>
        <v>0</v>
      </c>
      <c r="Q379" s="137">
        <f t="shared" si="128"/>
        <v>50</v>
      </c>
      <c r="R379" s="143"/>
      <c r="S379" s="143"/>
      <c r="T379" s="143"/>
      <c r="U379" s="144"/>
      <c r="V379" s="144"/>
      <c r="W379" s="144"/>
      <c r="X379" s="145"/>
      <c r="Y379" s="152" t="str">
        <f t="shared" si="129"/>
        <v xml:space="preserve">   50.00 </v>
      </c>
      <c r="Z379" s="136"/>
      <c r="AA379" s="50" t="str">
        <f t="shared" si="140"/>
        <v/>
      </c>
      <c r="AB379" s="129" t="str">
        <f t="shared" si="141"/>
        <v/>
      </c>
      <c r="AC379" s="58" t="str">
        <f t="shared" si="130"/>
        <v/>
      </c>
      <c r="AD379" s="58" t="str">
        <f t="shared" si="131"/>
        <v/>
      </c>
      <c r="AE379" s="60" t="str">
        <f>IF(AD379="","",COUNTIF($AD$2:AD379,AD379))</f>
        <v/>
      </c>
      <c r="AF379" s="62" t="str">
        <f>IF(AD379="","",SUMIF(AD$2:AD379,AD379,G$2:G379))</f>
        <v/>
      </c>
      <c r="AG379" s="62" t="str">
        <f>IF(AK379&lt;&gt;"",COUNTIF($AK$1:AK378,AK379)+AK379,IF(AL379&lt;&gt;"",COUNTIF($AL$1:AL378,AL379)+AL379,""))</f>
        <v/>
      </c>
      <c r="AH379" s="62" t="str">
        <f t="shared" si="132"/>
        <v/>
      </c>
      <c r="AI379" s="62" t="str">
        <f>IF(AND(J379="M", AH379&lt;&gt;"U/A",AE379=Prizewinners!$J$1),AF379,"")</f>
        <v/>
      </c>
      <c r="AJ379" s="58" t="str">
        <f>IF(AND(J379="F",  AH379&lt;&gt;"U/A",AE379=Prizewinners!$J$16),AF379,"")</f>
        <v/>
      </c>
      <c r="AK379" s="58" t="str">
        <f t="shared" si="133"/>
        <v/>
      </c>
      <c r="AL379" s="58" t="str">
        <f t="shared" si="134"/>
        <v/>
      </c>
      <c r="AM379" s="58" t="str">
        <f t="shared" si="135"/>
        <v/>
      </c>
      <c r="AN379" s="58" t="str">
        <f t="shared" si="136"/>
        <v/>
      </c>
      <c r="AO379" s="58" t="str">
        <f t="shared" si="137"/>
        <v/>
      </c>
      <c r="AP379" s="58" t="str">
        <f t="shared" si="138"/>
        <v/>
      </c>
      <c r="AQ379" s="58" t="str">
        <f t="shared" si="139"/>
        <v/>
      </c>
    </row>
    <row r="380" spans="1:43" x14ac:dyDescent="0.25">
      <c r="A380" s="12" t="str">
        <f t="shared" si="125"/>
        <v>,80</v>
      </c>
      <c r="B380" s="12" t="str">
        <f t="shared" si="126"/>
        <v>,74</v>
      </c>
      <c r="C380" s="11">
        <f t="shared" si="147"/>
        <v>379</v>
      </c>
      <c r="D380" s="171"/>
      <c r="E380" s="12">
        <f t="shared" si="124"/>
        <v>0</v>
      </c>
      <c r="F380" s="12">
        <f>COUNTIF(H$2:H380,H380)</f>
        <v>80</v>
      </c>
      <c r="G380" s="12">
        <f>COUNTIF(J$2:J380,J380)</f>
        <v>74</v>
      </c>
      <c r="H380" s="12" t="str">
        <f t="shared" si="142"/>
        <v/>
      </c>
      <c r="I380" s="50" t="str">
        <f t="shared" si="143"/>
        <v/>
      </c>
      <c r="J380" s="50" t="str">
        <f t="shared" si="144"/>
        <v/>
      </c>
      <c r="K380" s="64" t="str">
        <f t="shared" si="145"/>
        <v/>
      </c>
      <c r="L380" s="64" t="str">
        <f t="shared" si="146"/>
        <v/>
      </c>
      <c r="M380" s="171"/>
      <c r="N380" s="178"/>
      <c r="O380" s="178"/>
      <c r="P380" s="138">
        <f t="shared" si="127"/>
        <v>0</v>
      </c>
      <c r="Q380" s="137">
        <f t="shared" si="128"/>
        <v>50</v>
      </c>
      <c r="R380" s="143"/>
      <c r="S380" s="143"/>
      <c r="T380" s="143"/>
      <c r="U380" s="144"/>
      <c r="V380" s="144"/>
      <c r="W380" s="144"/>
      <c r="X380" s="145"/>
      <c r="Y380" s="152" t="str">
        <f t="shared" si="129"/>
        <v xml:space="preserve">   50.00 </v>
      </c>
      <c r="Z380" s="136"/>
      <c r="AA380" s="50" t="str">
        <f t="shared" si="140"/>
        <v/>
      </c>
      <c r="AB380" s="129" t="str">
        <f t="shared" si="141"/>
        <v/>
      </c>
      <c r="AC380" s="58" t="str">
        <f t="shared" si="130"/>
        <v/>
      </c>
      <c r="AD380" s="58" t="str">
        <f t="shared" si="131"/>
        <v/>
      </c>
      <c r="AE380" s="60" t="str">
        <f>IF(AD380="","",COUNTIF($AD$2:AD380,AD380))</f>
        <v/>
      </c>
      <c r="AF380" s="62" t="str">
        <f>IF(AD380="","",SUMIF(AD$2:AD380,AD380,G$2:G380))</f>
        <v/>
      </c>
      <c r="AG380" s="62" t="str">
        <f>IF(AK380&lt;&gt;"",COUNTIF($AK$1:AK379,AK380)+AK380,IF(AL380&lt;&gt;"",COUNTIF($AL$1:AL379,AL380)+AL380,""))</f>
        <v/>
      </c>
      <c r="AH380" s="62" t="str">
        <f t="shared" si="132"/>
        <v/>
      </c>
      <c r="AI380" s="62" t="str">
        <f>IF(AND(J380="M", AH380&lt;&gt;"U/A",AE380=Prizewinners!$J$1),AF380,"")</f>
        <v/>
      </c>
      <c r="AJ380" s="58" t="str">
        <f>IF(AND(J380="F",  AH380&lt;&gt;"U/A",AE380=Prizewinners!$J$16),AF380,"")</f>
        <v/>
      </c>
      <c r="AK380" s="58" t="str">
        <f t="shared" si="133"/>
        <v/>
      </c>
      <c r="AL380" s="58" t="str">
        <f t="shared" si="134"/>
        <v/>
      </c>
      <c r="AM380" s="58" t="str">
        <f t="shared" si="135"/>
        <v/>
      </c>
      <c r="AN380" s="58" t="str">
        <f t="shared" si="136"/>
        <v/>
      </c>
      <c r="AO380" s="58" t="str">
        <f t="shared" si="137"/>
        <v/>
      </c>
      <c r="AP380" s="58" t="str">
        <f t="shared" si="138"/>
        <v/>
      </c>
      <c r="AQ380" s="58" t="str">
        <f t="shared" si="139"/>
        <v/>
      </c>
    </row>
    <row r="381" spans="1:43" x14ac:dyDescent="0.25">
      <c r="A381" s="12" t="str">
        <f t="shared" si="125"/>
        <v>,81</v>
      </c>
      <c r="B381" s="12" t="str">
        <f t="shared" si="126"/>
        <v>,75</v>
      </c>
      <c r="C381" s="11">
        <f t="shared" si="147"/>
        <v>380</v>
      </c>
      <c r="D381" s="171"/>
      <c r="E381" s="12">
        <f t="shared" si="124"/>
        <v>0</v>
      </c>
      <c r="F381" s="12">
        <f>COUNTIF(H$2:H381,H381)</f>
        <v>81</v>
      </c>
      <c r="G381" s="12">
        <f>COUNTIF(J$2:J381,J381)</f>
        <v>75</v>
      </c>
      <c r="H381" s="12" t="str">
        <f t="shared" si="142"/>
        <v/>
      </c>
      <c r="I381" s="50" t="str">
        <f t="shared" si="143"/>
        <v/>
      </c>
      <c r="J381" s="50" t="str">
        <f t="shared" si="144"/>
        <v/>
      </c>
      <c r="K381" s="64" t="str">
        <f t="shared" si="145"/>
        <v/>
      </c>
      <c r="L381" s="64" t="str">
        <f t="shared" si="146"/>
        <v/>
      </c>
      <c r="M381" s="171"/>
      <c r="N381" s="178"/>
      <c r="O381" s="178"/>
      <c r="P381" s="138">
        <f t="shared" si="127"/>
        <v>0</v>
      </c>
      <c r="Q381" s="137">
        <f t="shared" si="128"/>
        <v>50</v>
      </c>
      <c r="R381" s="143"/>
      <c r="S381" s="143"/>
      <c r="T381" s="143"/>
      <c r="U381" s="144"/>
      <c r="V381" s="144"/>
      <c r="W381" s="144"/>
      <c r="X381" s="145"/>
      <c r="Y381" s="152" t="str">
        <f t="shared" si="129"/>
        <v xml:space="preserve">   50.00 </v>
      </c>
      <c r="Z381" s="136"/>
      <c r="AA381" s="50" t="str">
        <f t="shared" si="140"/>
        <v/>
      </c>
      <c r="AB381" s="129" t="str">
        <f t="shared" si="141"/>
        <v/>
      </c>
      <c r="AC381" s="58" t="str">
        <f t="shared" si="130"/>
        <v/>
      </c>
      <c r="AD381" s="58" t="str">
        <f t="shared" si="131"/>
        <v/>
      </c>
      <c r="AE381" s="60" t="str">
        <f>IF(AD381="","",COUNTIF($AD$2:AD381,AD381))</f>
        <v/>
      </c>
      <c r="AF381" s="62" t="str">
        <f>IF(AD381="","",SUMIF(AD$2:AD381,AD381,G$2:G381))</f>
        <v/>
      </c>
      <c r="AG381" s="62" t="str">
        <f>IF(AK381&lt;&gt;"",COUNTIF($AK$1:AK380,AK381)+AK381,IF(AL381&lt;&gt;"",COUNTIF($AL$1:AL380,AL381)+AL381,""))</f>
        <v/>
      </c>
      <c r="AH381" s="62" t="str">
        <f t="shared" si="132"/>
        <v/>
      </c>
      <c r="AI381" s="62" t="str">
        <f>IF(AND(J381="M", AH381&lt;&gt;"U/A",AE381=Prizewinners!$J$1),AF381,"")</f>
        <v/>
      </c>
      <c r="AJ381" s="58" t="str">
        <f>IF(AND(J381="F",  AH381&lt;&gt;"U/A",AE381=Prizewinners!$J$16),AF381,"")</f>
        <v/>
      </c>
      <c r="AK381" s="58" t="str">
        <f t="shared" si="133"/>
        <v/>
      </c>
      <c r="AL381" s="58" t="str">
        <f t="shared" si="134"/>
        <v/>
      </c>
      <c r="AM381" s="58" t="str">
        <f t="shared" si="135"/>
        <v/>
      </c>
      <c r="AN381" s="58" t="str">
        <f t="shared" si="136"/>
        <v/>
      </c>
      <c r="AO381" s="58" t="str">
        <f t="shared" si="137"/>
        <v/>
      </c>
      <c r="AP381" s="58" t="str">
        <f t="shared" si="138"/>
        <v/>
      </c>
      <c r="AQ381" s="58" t="str">
        <f t="shared" si="139"/>
        <v/>
      </c>
    </row>
    <row r="382" spans="1:43" x14ac:dyDescent="0.25">
      <c r="A382" s="12" t="str">
        <f t="shared" si="125"/>
        <v>,82</v>
      </c>
      <c r="B382" s="12" t="str">
        <f t="shared" si="126"/>
        <v>,76</v>
      </c>
      <c r="C382" s="11">
        <f t="shared" si="147"/>
        <v>381</v>
      </c>
      <c r="D382" s="171"/>
      <c r="E382" s="12">
        <f t="shared" si="124"/>
        <v>0</v>
      </c>
      <c r="F382" s="12">
        <f>COUNTIF(H$2:H382,H382)</f>
        <v>82</v>
      </c>
      <c r="G382" s="12">
        <f>COUNTIF(J$2:J382,J382)</f>
        <v>76</v>
      </c>
      <c r="H382" s="12" t="str">
        <f t="shared" si="142"/>
        <v/>
      </c>
      <c r="I382" s="50" t="str">
        <f t="shared" si="143"/>
        <v/>
      </c>
      <c r="J382" s="50" t="str">
        <f t="shared" si="144"/>
        <v/>
      </c>
      <c r="K382" s="64" t="str">
        <f t="shared" si="145"/>
        <v/>
      </c>
      <c r="L382" s="64" t="str">
        <f t="shared" si="146"/>
        <v/>
      </c>
      <c r="M382" s="171"/>
      <c r="N382" s="178"/>
      <c r="O382" s="178"/>
      <c r="P382" s="138">
        <f t="shared" si="127"/>
        <v>0</v>
      </c>
      <c r="Q382" s="137">
        <f t="shared" si="128"/>
        <v>50</v>
      </c>
      <c r="R382" s="143"/>
      <c r="S382" s="143"/>
      <c r="T382" s="143"/>
      <c r="U382" s="144"/>
      <c r="V382" s="144"/>
      <c r="W382" s="144"/>
      <c r="X382" s="145"/>
      <c r="Y382" s="152" t="str">
        <f t="shared" si="129"/>
        <v xml:space="preserve">   50.00 </v>
      </c>
      <c r="Z382" s="136"/>
      <c r="AA382" s="50" t="str">
        <f t="shared" si="140"/>
        <v/>
      </c>
      <c r="AB382" s="129" t="str">
        <f t="shared" si="141"/>
        <v/>
      </c>
      <c r="AC382" s="58" t="str">
        <f t="shared" si="130"/>
        <v/>
      </c>
      <c r="AD382" s="58" t="str">
        <f t="shared" si="131"/>
        <v/>
      </c>
      <c r="AE382" s="60" t="str">
        <f>IF(AD382="","",COUNTIF($AD$2:AD382,AD382))</f>
        <v/>
      </c>
      <c r="AF382" s="62" t="str">
        <f>IF(AD382="","",SUMIF(AD$2:AD382,AD382,G$2:G382))</f>
        <v/>
      </c>
      <c r="AG382" s="62" t="str">
        <f>IF(AK382&lt;&gt;"",COUNTIF($AK$1:AK381,AK382)+AK382,IF(AL382&lt;&gt;"",COUNTIF($AL$1:AL381,AL382)+AL382,""))</f>
        <v/>
      </c>
      <c r="AH382" s="62" t="str">
        <f t="shared" si="132"/>
        <v/>
      </c>
      <c r="AI382" s="62" t="str">
        <f>IF(AND(J382="M", AH382&lt;&gt;"U/A",AE382=Prizewinners!$J$1),AF382,"")</f>
        <v/>
      </c>
      <c r="AJ382" s="58" t="str">
        <f>IF(AND(J382="F",  AH382&lt;&gt;"U/A",AE382=Prizewinners!$J$16),AF382,"")</f>
        <v/>
      </c>
      <c r="AK382" s="58" t="str">
        <f t="shared" si="133"/>
        <v/>
      </c>
      <c r="AL382" s="58" t="str">
        <f t="shared" si="134"/>
        <v/>
      </c>
      <c r="AM382" s="58" t="str">
        <f t="shared" si="135"/>
        <v/>
      </c>
      <c r="AN382" s="58" t="str">
        <f t="shared" si="136"/>
        <v/>
      </c>
      <c r="AO382" s="58" t="str">
        <f t="shared" si="137"/>
        <v/>
      </c>
      <c r="AP382" s="58" t="str">
        <f t="shared" si="138"/>
        <v/>
      </c>
      <c r="AQ382" s="58" t="str">
        <f t="shared" si="139"/>
        <v/>
      </c>
    </row>
    <row r="383" spans="1:43" x14ac:dyDescent="0.25">
      <c r="A383" s="12" t="str">
        <f t="shared" si="125"/>
        <v>,83</v>
      </c>
      <c r="B383" s="12" t="str">
        <f t="shared" si="126"/>
        <v>,77</v>
      </c>
      <c r="C383" s="11">
        <f t="shared" si="147"/>
        <v>382</v>
      </c>
      <c r="D383" s="171"/>
      <c r="E383" s="12">
        <f t="shared" si="124"/>
        <v>0</v>
      </c>
      <c r="F383" s="12">
        <f>COUNTIF(H$2:H383,H383)</f>
        <v>83</v>
      </c>
      <c r="G383" s="12">
        <f>COUNTIF(J$2:J383,J383)</f>
        <v>77</v>
      </c>
      <c r="H383" s="12" t="str">
        <f t="shared" si="142"/>
        <v/>
      </c>
      <c r="I383" s="50" t="str">
        <f t="shared" si="143"/>
        <v/>
      </c>
      <c r="J383" s="50" t="str">
        <f t="shared" si="144"/>
        <v/>
      </c>
      <c r="K383" s="64" t="str">
        <f t="shared" si="145"/>
        <v/>
      </c>
      <c r="L383" s="64" t="str">
        <f t="shared" si="146"/>
        <v/>
      </c>
      <c r="M383" s="171"/>
      <c r="N383" s="178"/>
      <c r="O383" s="178"/>
      <c r="P383" s="138">
        <f t="shared" si="127"/>
        <v>0</v>
      </c>
      <c r="Q383" s="137">
        <f t="shared" si="128"/>
        <v>50</v>
      </c>
      <c r="R383" s="143"/>
      <c r="S383" s="143"/>
      <c r="T383" s="143"/>
      <c r="U383" s="144"/>
      <c r="V383" s="144"/>
      <c r="W383" s="144"/>
      <c r="X383" s="145"/>
      <c r="Y383" s="152" t="str">
        <f t="shared" si="129"/>
        <v xml:space="preserve">   50.00 </v>
      </c>
      <c r="Z383" s="136"/>
      <c r="AA383" s="50" t="str">
        <f t="shared" si="140"/>
        <v/>
      </c>
      <c r="AB383" s="129" t="str">
        <f t="shared" si="141"/>
        <v/>
      </c>
      <c r="AC383" s="58" t="str">
        <f t="shared" si="130"/>
        <v/>
      </c>
      <c r="AD383" s="58" t="str">
        <f t="shared" si="131"/>
        <v/>
      </c>
      <c r="AE383" s="60" t="str">
        <f>IF(AD383="","",COUNTIF($AD$2:AD383,AD383))</f>
        <v/>
      </c>
      <c r="AF383" s="62" t="str">
        <f>IF(AD383="","",SUMIF(AD$2:AD383,AD383,G$2:G383))</f>
        <v/>
      </c>
      <c r="AG383" s="62" t="str">
        <f>IF(AK383&lt;&gt;"",COUNTIF($AK$1:AK382,AK383)+AK383,IF(AL383&lt;&gt;"",COUNTIF($AL$1:AL382,AL383)+AL383,""))</f>
        <v/>
      </c>
      <c r="AH383" s="62" t="str">
        <f t="shared" si="132"/>
        <v/>
      </c>
      <c r="AI383" s="62" t="str">
        <f>IF(AND(J383="M", AH383&lt;&gt;"U/A",AE383=Prizewinners!$J$1),AF383,"")</f>
        <v/>
      </c>
      <c r="AJ383" s="58" t="str">
        <f>IF(AND(J383="F",  AH383&lt;&gt;"U/A",AE383=Prizewinners!$J$16),AF383,"")</f>
        <v/>
      </c>
      <c r="AK383" s="58" t="str">
        <f t="shared" si="133"/>
        <v/>
      </c>
      <c r="AL383" s="58" t="str">
        <f t="shared" si="134"/>
        <v/>
      </c>
      <c r="AM383" s="58" t="str">
        <f t="shared" si="135"/>
        <v/>
      </c>
      <c r="AN383" s="58" t="str">
        <f t="shared" si="136"/>
        <v/>
      </c>
      <c r="AO383" s="58" t="str">
        <f t="shared" si="137"/>
        <v/>
      </c>
      <c r="AP383" s="58" t="str">
        <f t="shared" si="138"/>
        <v/>
      </c>
      <c r="AQ383" s="58" t="str">
        <f t="shared" si="139"/>
        <v/>
      </c>
    </row>
    <row r="384" spans="1:43" x14ac:dyDescent="0.25">
      <c r="A384" s="12" t="str">
        <f t="shared" si="125"/>
        <v>,84</v>
      </c>
      <c r="B384" s="12" t="str">
        <f t="shared" si="126"/>
        <v>,78</v>
      </c>
      <c r="C384" s="11">
        <f t="shared" si="147"/>
        <v>383</v>
      </c>
      <c r="D384" s="171"/>
      <c r="E384" s="12">
        <f t="shared" si="124"/>
        <v>0</v>
      </c>
      <c r="F384" s="12">
        <f>COUNTIF(H$2:H384,H384)</f>
        <v>84</v>
      </c>
      <c r="G384" s="12">
        <f>COUNTIF(J$2:J384,J384)</f>
        <v>78</v>
      </c>
      <c r="H384" s="12" t="str">
        <f t="shared" si="142"/>
        <v/>
      </c>
      <c r="I384" s="50" t="str">
        <f t="shared" si="143"/>
        <v/>
      </c>
      <c r="J384" s="50" t="str">
        <f t="shared" si="144"/>
        <v/>
      </c>
      <c r="K384" s="64" t="str">
        <f t="shared" si="145"/>
        <v/>
      </c>
      <c r="L384" s="64" t="str">
        <f t="shared" si="146"/>
        <v/>
      </c>
      <c r="M384" s="171"/>
      <c r="N384" s="178"/>
      <c r="O384" s="178"/>
      <c r="P384" s="138">
        <f t="shared" si="127"/>
        <v>0</v>
      </c>
      <c r="Q384" s="137">
        <f t="shared" si="128"/>
        <v>50</v>
      </c>
      <c r="R384" s="143"/>
      <c r="S384" s="143"/>
      <c r="T384" s="143"/>
      <c r="U384" s="144"/>
      <c r="V384" s="144"/>
      <c r="W384" s="144"/>
      <c r="X384" s="145"/>
      <c r="Y384" s="152" t="str">
        <f t="shared" si="129"/>
        <v xml:space="preserve">   50.00 </v>
      </c>
      <c r="Z384" s="136"/>
      <c r="AA384" s="50" t="str">
        <f t="shared" si="140"/>
        <v/>
      </c>
      <c r="AB384" s="129" t="str">
        <f t="shared" si="141"/>
        <v/>
      </c>
      <c r="AC384" s="58" t="str">
        <f t="shared" si="130"/>
        <v/>
      </c>
      <c r="AD384" s="58" t="str">
        <f t="shared" si="131"/>
        <v/>
      </c>
      <c r="AE384" s="60" t="str">
        <f>IF(AD384="","",COUNTIF($AD$2:AD384,AD384))</f>
        <v/>
      </c>
      <c r="AF384" s="62" t="str">
        <f>IF(AD384="","",SUMIF(AD$2:AD384,AD384,G$2:G384))</f>
        <v/>
      </c>
      <c r="AG384" s="62" t="str">
        <f>IF(AK384&lt;&gt;"",COUNTIF($AK$1:AK383,AK384)+AK384,IF(AL384&lt;&gt;"",COUNTIF($AL$1:AL383,AL384)+AL384,""))</f>
        <v/>
      </c>
      <c r="AH384" s="62" t="str">
        <f t="shared" si="132"/>
        <v/>
      </c>
      <c r="AI384" s="62" t="str">
        <f>IF(AND(J384="M", AH384&lt;&gt;"U/A",AE384=Prizewinners!$J$1),AF384,"")</f>
        <v/>
      </c>
      <c r="AJ384" s="58" t="str">
        <f>IF(AND(J384="F",  AH384&lt;&gt;"U/A",AE384=Prizewinners!$J$16),AF384,"")</f>
        <v/>
      </c>
      <c r="AK384" s="58" t="str">
        <f t="shared" si="133"/>
        <v/>
      </c>
      <c r="AL384" s="58" t="str">
        <f t="shared" si="134"/>
        <v/>
      </c>
      <c r="AM384" s="58" t="str">
        <f t="shared" si="135"/>
        <v/>
      </c>
      <c r="AN384" s="58" t="str">
        <f t="shared" si="136"/>
        <v/>
      </c>
      <c r="AO384" s="58" t="str">
        <f t="shared" si="137"/>
        <v/>
      </c>
      <c r="AP384" s="58" t="str">
        <f t="shared" si="138"/>
        <v/>
      </c>
      <c r="AQ384" s="58" t="str">
        <f t="shared" si="139"/>
        <v/>
      </c>
    </row>
    <row r="385" spans="1:43" x14ac:dyDescent="0.25">
      <c r="A385" s="12" t="str">
        <f t="shared" si="125"/>
        <v>,85</v>
      </c>
      <c r="B385" s="12" t="str">
        <f t="shared" si="126"/>
        <v>,79</v>
      </c>
      <c r="C385" s="11">
        <f t="shared" si="147"/>
        <v>384</v>
      </c>
      <c r="D385" s="171"/>
      <c r="E385" s="12">
        <f t="shared" si="124"/>
        <v>0</v>
      </c>
      <c r="F385" s="12">
        <f>COUNTIF(H$2:H385,H385)</f>
        <v>85</v>
      </c>
      <c r="G385" s="12">
        <f>COUNTIF(J$2:J385,J385)</f>
        <v>79</v>
      </c>
      <c r="H385" s="12" t="str">
        <f t="shared" si="142"/>
        <v/>
      </c>
      <c r="I385" s="50" t="str">
        <f t="shared" si="143"/>
        <v/>
      </c>
      <c r="J385" s="50" t="str">
        <f t="shared" si="144"/>
        <v/>
      </c>
      <c r="K385" s="64" t="str">
        <f t="shared" si="145"/>
        <v/>
      </c>
      <c r="L385" s="64" t="str">
        <f t="shared" si="146"/>
        <v/>
      </c>
      <c r="M385" s="171"/>
      <c r="N385" s="178"/>
      <c r="O385" s="178"/>
      <c r="P385" s="138">
        <f t="shared" si="127"/>
        <v>0</v>
      </c>
      <c r="Q385" s="137">
        <f t="shared" si="128"/>
        <v>50</v>
      </c>
      <c r="R385" s="143"/>
      <c r="S385" s="143"/>
      <c r="T385" s="143"/>
      <c r="U385" s="144"/>
      <c r="V385" s="144"/>
      <c r="W385" s="144"/>
      <c r="X385" s="145"/>
      <c r="Y385" s="152" t="str">
        <f t="shared" si="129"/>
        <v xml:space="preserve">   50.00 </v>
      </c>
      <c r="Z385" s="136"/>
      <c r="AA385" s="50" t="str">
        <f t="shared" si="140"/>
        <v/>
      </c>
      <c r="AB385" s="129" t="str">
        <f t="shared" si="141"/>
        <v/>
      </c>
      <c r="AC385" s="58" t="str">
        <f t="shared" si="130"/>
        <v/>
      </c>
      <c r="AD385" s="58" t="str">
        <f t="shared" si="131"/>
        <v/>
      </c>
      <c r="AE385" s="60" t="str">
        <f>IF(AD385="","",COUNTIF($AD$2:AD385,AD385))</f>
        <v/>
      </c>
      <c r="AF385" s="62" t="str">
        <f>IF(AD385="","",SUMIF(AD$2:AD385,AD385,G$2:G385))</f>
        <v/>
      </c>
      <c r="AG385" s="62" t="str">
        <f>IF(AK385&lt;&gt;"",COUNTIF($AK$1:AK384,AK385)+AK385,IF(AL385&lt;&gt;"",COUNTIF($AL$1:AL384,AL385)+AL385,""))</f>
        <v/>
      </c>
      <c r="AH385" s="62" t="str">
        <f t="shared" si="132"/>
        <v/>
      </c>
      <c r="AI385" s="62" t="str">
        <f>IF(AND(J385="M", AH385&lt;&gt;"U/A",AE385=Prizewinners!$J$1),AF385,"")</f>
        <v/>
      </c>
      <c r="AJ385" s="58" t="str">
        <f>IF(AND(J385="F",  AH385&lt;&gt;"U/A",AE385=Prizewinners!$J$16),AF385,"")</f>
        <v/>
      </c>
      <c r="AK385" s="58" t="str">
        <f t="shared" si="133"/>
        <v/>
      </c>
      <c r="AL385" s="58" t="str">
        <f t="shared" si="134"/>
        <v/>
      </c>
      <c r="AM385" s="58" t="str">
        <f t="shared" si="135"/>
        <v/>
      </c>
      <c r="AN385" s="58" t="str">
        <f t="shared" si="136"/>
        <v/>
      </c>
      <c r="AO385" s="58" t="str">
        <f t="shared" si="137"/>
        <v/>
      </c>
      <c r="AP385" s="58" t="str">
        <f t="shared" si="138"/>
        <v/>
      </c>
      <c r="AQ385" s="58" t="str">
        <f t="shared" si="139"/>
        <v/>
      </c>
    </row>
    <row r="386" spans="1:43" x14ac:dyDescent="0.25">
      <c r="A386" s="12" t="str">
        <f t="shared" si="125"/>
        <v>,86</v>
      </c>
      <c r="B386" s="12" t="str">
        <f t="shared" si="126"/>
        <v>,80</v>
      </c>
      <c r="C386" s="11">
        <f t="shared" si="147"/>
        <v>385</v>
      </c>
      <c r="D386" s="171"/>
      <c r="E386" s="12">
        <f t="shared" ref="E386:E449" si="148">IF(D386="",0,COUNTIF(K:K,K386))</f>
        <v>0</v>
      </c>
      <c r="F386" s="12">
        <f>COUNTIF(H$2:H386,H386)</f>
        <v>86</v>
      </c>
      <c r="G386" s="12">
        <f>COUNTIF(J$2:J386,J386)</f>
        <v>80</v>
      </c>
      <c r="H386" s="12" t="str">
        <f t="shared" si="142"/>
        <v/>
      </c>
      <c r="I386" s="50" t="str">
        <f t="shared" si="143"/>
        <v/>
      </c>
      <c r="J386" s="50" t="str">
        <f t="shared" si="144"/>
        <v/>
      </c>
      <c r="K386" s="64" t="str">
        <f t="shared" si="145"/>
        <v/>
      </c>
      <c r="L386" s="64" t="str">
        <f t="shared" si="146"/>
        <v/>
      </c>
      <c r="M386" s="171"/>
      <c r="N386" s="178"/>
      <c r="O386" s="178"/>
      <c r="P386" s="138">
        <f t="shared" si="127"/>
        <v>0</v>
      </c>
      <c r="Q386" s="137">
        <f t="shared" si="128"/>
        <v>50</v>
      </c>
      <c r="R386" s="143"/>
      <c r="S386" s="143"/>
      <c r="T386" s="143"/>
      <c r="U386" s="144"/>
      <c r="V386" s="144"/>
      <c r="W386" s="144"/>
      <c r="X386" s="145"/>
      <c r="Y386" s="152" t="str">
        <f t="shared" si="129"/>
        <v xml:space="preserve">   50.00 </v>
      </c>
      <c r="Z386" s="136"/>
      <c r="AA386" s="50" t="str">
        <f t="shared" si="140"/>
        <v/>
      </c>
      <c r="AB386" s="129" t="str">
        <f t="shared" si="141"/>
        <v/>
      </c>
      <c r="AC386" s="58" t="str">
        <f t="shared" si="130"/>
        <v/>
      </c>
      <c r="AD386" s="58" t="str">
        <f t="shared" si="131"/>
        <v/>
      </c>
      <c r="AE386" s="60" t="str">
        <f>IF(AD386="","",COUNTIF($AD$2:AD386,AD386))</f>
        <v/>
      </c>
      <c r="AF386" s="62" t="str">
        <f>IF(AD386="","",SUMIF(AD$2:AD386,AD386,G$2:G386))</f>
        <v/>
      </c>
      <c r="AG386" s="62" t="str">
        <f>IF(AK386&lt;&gt;"",COUNTIF($AK$1:AK385,AK386)+AK386,IF(AL386&lt;&gt;"",COUNTIF($AL$1:AL385,AL386)+AL386,""))</f>
        <v/>
      </c>
      <c r="AH386" s="62" t="str">
        <f t="shared" si="132"/>
        <v/>
      </c>
      <c r="AI386" s="62" t="str">
        <f>IF(AND(J386="M", AH386&lt;&gt;"U/A",AE386=Prizewinners!$J$1),AF386,"")</f>
        <v/>
      </c>
      <c r="AJ386" s="58" t="str">
        <f>IF(AND(J386="F",  AH386&lt;&gt;"U/A",AE386=Prizewinners!$J$16),AF386,"")</f>
        <v/>
      </c>
      <c r="AK386" s="58" t="str">
        <f t="shared" si="133"/>
        <v/>
      </c>
      <c r="AL386" s="58" t="str">
        <f t="shared" si="134"/>
        <v/>
      </c>
      <c r="AM386" s="58" t="str">
        <f t="shared" si="135"/>
        <v/>
      </c>
      <c r="AN386" s="58" t="str">
        <f t="shared" si="136"/>
        <v/>
      </c>
      <c r="AO386" s="58" t="str">
        <f t="shared" si="137"/>
        <v/>
      </c>
      <c r="AP386" s="58" t="str">
        <f t="shared" si="138"/>
        <v/>
      </c>
      <c r="AQ386" s="58" t="str">
        <f t="shared" si="139"/>
        <v/>
      </c>
    </row>
    <row r="387" spans="1:43" x14ac:dyDescent="0.25">
      <c r="A387" s="12" t="str">
        <f t="shared" ref="A387:A450" si="149">IF(Z387="RESM",Z387,IF(Z387="RESF",Z387,CONCATENATE(H387,",",F387)))</f>
        <v>,87</v>
      </c>
      <c r="B387" s="12" t="str">
        <f t="shared" ref="B387:B450" si="150">CONCATENATE(J387,",",G387)</f>
        <v>,81</v>
      </c>
      <c r="C387" s="11">
        <f t="shared" si="147"/>
        <v>386</v>
      </c>
      <c r="D387" s="171"/>
      <c r="E387" s="12">
        <f t="shared" si="148"/>
        <v>0</v>
      </c>
      <c r="F387" s="12">
        <f>COUNTIF(H$2:H387,H387)</f>
        <v>87</v>
      </c>
      <c r="G387" s="12">
        <f>COUNTIF(J$2:J387,J387)</f>
        <v>81</v>
      </c>
      <c r="H387" s="12" t="str">
        <f t="shared" si="142"/>
        <v/>
      </c>
      <c r="I387" s="50" t="str">
        <f t="shared" si="143"/>
        <v/>
      </c>
      <c r="J387" s="50" t="str">
        <f t="shared" si="144"/>
        <v/>
      </c>
      <c r="K387" s="64" t="str">
        <f t="shared" si="145"/>
        <v/>
      </c>
      <c r="L387" s="64" t="str">
        <f t="shared" si="146"/>
        <v/>
      </c>
      <c r="M387" s="171"/>
      <c r="N387" s="178"/>
      <c r="O387" s="178"/>
      <c r="P387" s="138">
        <f t="shared" ref="P387:P450" si="151">IF(LEN(TRIM(M387))=0,P386,M387)</f>
        <v>0</v>
      </c>
      <c r="Q387" s="137">
        <f t="shared" ref="Q387:Q450" si="152">IF(N387="",Q386,N387)</f>
        <v>50</v>
      </c>
      <c r="R387" s="143"/>
      <c r="S387" s="143"/>
      <c r="T387" s="143"/>
      <c r="U387" s="144"/>
      <c r="V387" s="144"/>
      <c r="W387" s="144"/>
      <c r="X387" s="145"/>
      <c r="Y387" s="152" t="str">
        <f t="shared" ref="Y387:Y450" si="153">CONCATENATE(IF(P387=0,"  ",TEXT(P387,"#0")),IF(P387=0," ","."),IF(LEN(TRIM(Q387))=0,"  ",TEXT(Q387,"00")),IF(LEN(TRIM(Q387))=0,"","."),TEXT(O387,"00")," ")</f>
        <v xml:space="preserve">   50.00 </v>
      </c>
      <c r="Z387" s="136"/>
      <c r="AA387" s="50" t="str">
        <f t="shared" si="140"/>
        <v/>
      </c>
      <c r="AB387" s="129" t="str">
        <f t="shared" si="141"/>
        <v/>
      </c>
      <c r="AC387" s="58" t="str">
        <f t="shared" ref="AC387:AC450" si="154">IF(AG387&lt;&gt;"",CONCATENATE(J387,AG387),"")</f>
        <v/>
      </c>
      <c r="AD387" s="58" t="str">
        <f t="shared" ref="AD387:AD450" si="155">CONCATENATE(J387,L387)</f>
        <v/>
      </c>
      <c r="AE387" s="60" t="str">
        <f>IF(AD387="","",COUNTIF($AD$2:AD387,AD387))</f>
        <v/>
      </c>
      <c r="AF387" s="62" t="str">
        <f>IF(AD387="","",SUMIF(AD$2:AD387,AD387,G$2:G387))</f>
        <v/>
      </c>
      <c r="AG387" s="62" t="str">
        <f>IF(AK387&lt;&gt;"",COUNTIF($AK$1:AK386,AK387)+AK387,IF(AL387&lt;&gt;"",COUNTIF($AL$1:AL386,AL387)+AL387,""))</f>
        <v/>
      </c>
      <c r="AH387" s="62" t="str">
        <f t="shared" ref="AH387:AH450" si="156">L387</f>
        <v/>
      </c>
      <c r="AI387" s="62" t="str">
        <f>IF(AND(J387="M", AH387&lt;&gt;"U/A",AE387=Prizewinners!$J$1),AF387,"")</f>
        <v/>
      </c>
      <c r="AJ387" s="58" t="str">
        <f>IF(AND(J387="F",  AH387&lt;&gt;"U/A",AE387=Prizewinners!$J$16),AF387,"")</f>
        <v/>
      </c>
      <c r="AK387" s="58" t="str">
        <f t="shared" ref="AK387:AK450" si="157">IF(AI387&lt;&gt;"",RANK(AI387,AI$2:AI$504,1),"")</f>
        <v/>
      </c>
      <c r="AL387" s="58" t="str">
        <f t="shared" ref="AL387:AL450" si="158">IF(AJ387&lt;&gt;"",RANK(AJ387,AJ$2:AJ$504,1),"")</f>
        <v/>
      </c>
      <c r="AM387" s="58" t="str">
        <f t="shared" ref="AM387:AM450" si="159">CONCATENATE(AD387,AE387)</f>
        <v/>
      </c>
      <c r="AN387" s="58" t="str">
        <f t="shared" ref="AN387:AN450" si="160">IF(AG387&lt;&gt;"",VLOOKUP(CONCATENATE(AD387,"1"),Scoring_Team,5,FALSE),"")</f>
        <v/>
      </c>
      <c r="AO387" s="58" t="str">
        <f t="shared" ref="AO387:AO450" si="161">IF(AG387&lt;&gt;"",VLOOKUP(CONCATENATE(AD387,"2"),Scoring_Team,5,FALSE),"")</f>
        <v/>
      </c>
      <c r="AP387" s="58" t="str">
        <f t="shared" ref="AP387:AP450" si="162">IF(AG387&lt;&gt;"",VLOOKUP(CONCATENATE(AD387,"3"),Scoring_Team,5,FALSE),"")</f>
        <v/>
      </c>
      <c r="AQ387" s="58" t="str">
        <f t="shared" ref="AQ387:AQ450" si="163">K387</f>
        <v/>
      </c>
    </row>
    <row r="388" spans="1:43" x14ac:dyDescent="0.25">
      <c r="A388" s="12" t="str">
        <f t="shared" si="149"/>
        <v>,88</v>
      </c>
      <c r="B388" s="12" t="str">
        <f t="shared" si="150"/>
        <v>,82</v>
      </c>
      <c r="C388" s="11">
        <f t="shared" si="147"/>
        <v>387</v>
      </c>
      <c r="D388" s="171"/>
      <c r="E388" s="12">
        <f t="shared" si="148"/>
        <v>0</v>
      </c>
      <c r="F388" s="12">
        <f>COUNTIF(H$2:H388,H388)</f>
        <v>88</v>
      </c>
      <c r="G388" s="12">
        <f>COUNTIF(J$2:J388,J388)</f>
        <v>82</v>
      </c>
      <c r="H388" s="12" t="str">
        <f t="shared" si="142"/>
        <v/>
      </c>
      <c r="I388" s="50" t="str">
        <f t="shared" si="143"/>
        <v/>
      </c>
      <c r="J388" s="50" t="str">
        <f t="shared" si="144"/>
        <v/>
      </c>
      <c r="K388" s="64" t="str">
        <f t="shared" si="145"/>
        <v/>
      </c>
      <c r="L388" s="64" t="str">
        <f t="shared" si="146"/>
        <v/>
      </c>
      <c r="M388" s="171"/>
      <c r="N388" s="178"/>
      <c r="O388" s="178"/>
      <c r="P388" s="138">
        <f t="shared" si="151"/>
        <v>0</v>
      </c>
      <c r="Q388" s="137">
        <f t="shared" si="152"/>
        <v>50</v>
      </c>
      <c r="R388" s="143"/>
      <c r="S388" s="143"/>
      <c r="T388" s="143"/>
      <c r="U388" s="144"/>
      <c r="V388" s="144"/>
      <c r="W388" s="144"/>
      <c r="X388" s="145"/>
      <c r="Y388" s="152" t="str">
        <f t="shared" si="153"/>
        <v xml:space="preserve">   50.00 </v>
      </c>
      <c r="Z388" s="136"/>
      <c r="AA388" s="50" t="str">
        <f t="shared" ref="AA388:AA451" si="164">IF(ISNA(VLOOKUP($D388,Runner,6,FALSE)),"",VLOOKUP($D388,Runner,6,FALSE))</f>
        <v/>
      </c>
      <c r="AB388" s="129" t="str">
        <f t="shared" ref="AB388:AB451" si="165">IF(ISNA(VLOOKUP($D388,Runner,8,FALSE)),"",IF(VLOOKUP($D388,Runner,8,FALSE)=0,"",VLOOKUP($D388,Runner,8,FALSE)))</f>
        <v/>
      </c>
      <c r="AC388" s="58" t="str">
        <f t="shared" si="154"/>
        <v/>
      </c>
      <c r="AD388" s="58" t="str">
        <f t="shared" si="155"/>
        <v/>
      </c>
      <c r="AE388" s="60" t="str">
        <f>IF(AD388="","",COUNTIF($AD$2:AD388,AD388))</f>
        <v/>
      </c>
      <c r="AF388" s="62" t="str">
        <f>IF(AD388="","",SUMIF(AD$2:AD388,AD388,G$2:G388))</f>
        <v/>
      </c>
      <c r="AG388" s="62" t="str">
        <f>IF(AK388&lt;&gt;"",COUNTIF($AK$1:AK387,AK388)+AK388,IF(AL388&lt;&gt;"",COUNTIF($AL$1:AL387,AL388)+AL388,""))</f>
        <v/>
      </c>
      <c r="AH388" s="62" t="str">
        <f t="shared" si="156"/>
        <v/>
      </c>
      <c r="AI388" s="62" t="str">
        <f>IF(AND(J388="M", AH388&lt;&gt;"U/A",AE388=Prizewinners!$J$1),AF388,"")</f>
        <v/>
      </c>
      <c r="AJ388" s="58" t="str">
        <f>IF(AND(J388="F",  AH388&lt;&gt;"U/A",AE388=Prizewinners!$J$16),AF388,"")</f>
        <v/>
      </c>
      <c r="AK388" s="58" t="str">
        <f t="shared" si="157"/>
        <v/>
      </c>
      <c r="AL388" s="58" t="str">
        <f t="shared" si="158"/>
        <v/>
      </c>
      <c r="AM388" s="58" t="str">
        <f t="shared" si="159"/>
        <v/>
      </c>
      <c r="AN388" s="58" t="str">
        <f t="shared" si="160"/>
        <v/>
      </c>
      <c r="AO388" s="58" t="str">
        <f t="shared" si="161"/>
        <v/>
      </c>
      <c r="AP388" s="58" t="str">
        <f t="shared" si="162"/>
        <v/>
      </c>
      <c r="AQ388" s="58" t="str">
        <f t="shared" si="163"/>
        <v/>
      </c>
    </row>
    <row r="389" spans="1:43" x14ac:dyDescent="0.25">
      <c r="A389" s="12" t="str">
        <f t="shared" si="149"/>
        <v>,89</v>
      </c>
      <c r="B389" s="12" t="str">
        <f t="shared" si="150"/>
        <v>,83</v>
      </c>
      <c r="C389" s="11">
        <f t="shared" si="147"/>
        <v>388</v>
      </c>
      <c r="D389" s="171"/>
      <c r="E389" s="12">
        <f t="shared" si="148"/>
        <v>0</v>
      </c>
      <c r="F389" s="12">
        <f>COUNTIF(H$2:H389,H389)</f>
        <v>89</v>
      </c>
      <c r="G389" s="12">
        <f>COUNTIF(J$2:J389,J389)</f>
        <v>83</v>
      </c>
      <c r="H389" s="12" t="str">
        <f t="shared" ref="H389:H452" si="166">IF(G389&gt;3,I389,"")</f>
        <v/>
      </c>
      <c r="I389" s="50" t="str">
        <f t="shared" ref="I389:I452" si="167">IF(ISNA(VLOOKUP($D389,Runner,3,FALSE)),IF(ISNA(VLOOKUP($D389,Code,3,FALSE)),"",VLOOKUP($D389,Code,3,FALSE)),VLOOKUP($D389,Runner,3,FALSE))</f>
        <v/>
      </c>
      <c r="J389" s="50" t="str">
        <f t="shared" ref="J389:J452" si="168">IF(ISNA(VLOOKUP($D389,Runner,5,FALSE)),IF(ISNA(VLOOKUP($D389,Code,5,FALSE)),"",VLOOKUP($D389,Code,5,FALSE)),VLOOKUP($D389,Runner,5,FALSE))</f>
        <v/>
      </c>
      <c r="K389" s="64" t="str">
        <f t="shared" ref="K389:K452" si="169">TRIM(IF(ISNA(VLOOKUP($D389,Runner,2,FALSE)),IF(ISNA(VLOOKUP($D389,Code,2,FALSE)),"",VLOOKUP($D389,Code,2,FALSE)),VLOOKUP($D389,Runner,2,FALSE)))</f>
        <v/>
      </c>
      <c r="L389" s="64" t="str">
        <f t="shared" ref="L389:L452" si="170">IF(ISNA(VLOOKUP($D389,Runner,4,FALSE)),IF(ISNA(VLOOKUP($D389,Code,4,FALSE)),"",VLOOKUP($D389,Code,4,FALSE)),VLOOKUP($D389,Runner,4,FALSE))</f>
        <v/>
      </c>
      <c r="M389" s="171"/>
      <c r="N389" s="178"/>
      <c r="O389" s="178"/>
      <c r="P389" s="138">
        <f t="shared" si="151"/>
        <v>0</v>
      </c>
      <c r="Q389" s="137">
        <f t="shared" si="152"/>
        <v>50</v>
      </c>
      <c r="R389" s="143"/>
      <c r="S389" s="143"/>
      <c r="T389" s="143"/>
      <c r="U389" s="144"/>
      <c r="V389" s="144"/>
      <c r="W389" s="144"/>
      <c r="X389" s="145"/>
      <c r="Y389" s="152" t="str">
        <f t="shared" si="153"/>
        <v xml:space="preserve">   50.00 </v>
      </c>
      <c r="Z389" s="136"/>
      <c r="AA389" s="50" t="str">
        <f t="shared" si="164"/>
        <v/>
      </c>
      <c r="AB389" s="129" t="str">
        <f t="shared" si="165"/>
        <v/>
      </c>
      <c r="AC389" s="58" t="str">
        <f t="shared" si="154"/>
        <v/>
      </c>
      <c r="AD389" s="58" t="str">
        <f t="shared" si="155"/>
        <v/>
      </c>
      <c r="AE389" s="60" t="str">
        <f>IF(AD389="","",COUNTIF($AD$2:AD389,AD389))</f>
        <v/>
      </c>
      <c r="AF389" s="62" t="str">
        <f>IF(AD389="","",SUMIF(AD$2:AD389,AD389,G$2:G389))</f>
        <v/>
      </c>
      <c r="AG389" s="62" t="str">
        <f>IF(AK389&lt;&gt;"",COUNTIF($AK$1:AK388,AK389)+AK389,IF(AL389&lt;&gt;"",COUNTIF($AL$1:AL388,AL389)+AL389,""))</f>
        <v/>
      </c>
      <c r="AH389" s="62" t="str">
        <f t="shared" si="156"/>
        <v/>
      </c>
      <c r="AI389" s="62" t="str">
        <f>IF(AND(J389="M", AH389&lt;&gt;"U/A",AE389=Prizewinners!$J$1),AF389,"")</f>
        <v/>
      </c>
      <c r="AJ389" s="58" t="str">
        <f>IF(AND(J389="F",  AH389&lt;&gt;"U/A",AE389=Prizewinners!$J$16),AF389,"")</f>
        <v/>
      </c>
      <c r="AK389" s="58" t="str">
        <f t="shared" si="157"/>
        <v/>
      </c>
      <c r="AL389" s="58" t="str">
        <f t="shared" si="158"/>
        <v/>
      </c>
      <c r="AM389" s="58" t="str">
        <f t="shared" si="159"/>
        <v/>
      </c>
      <c r="AN389" s="58" t="str">
        <f t="shared" si="160"/>
        <v/>
      </c>
      <c r="AO389" s="58" t="str">
        <f t="shared" si="161"/>
        <v/>
      </c>
      <c r="AP389" s="58" t="str">
        <f t="shared" si="162"/>
        <v/>
      </c>
      <c r="AQ389" s="58" t="str">
        <f t="shared" si="163"/>
        <v/>
      </c>
    </row>
    <row r="390" spans="1:43" x14ac:dyDescent="0.25">
      <c r="A390" s="12" t="str">
        <f t="shared" si="149"/>
        <v>,90</v>
      </c>
      <c r="B390" s="12" t="str">
        <f t="shared" si="150"/>
        <v>,84</v>
      </c>
      <c r="C390" s="11">
        <f t="shared" ref="C390:C453" si="171">C389+1</f>
        <v>389</v>
      </c>
      <c r="D390" s="171"/>
      <c r="E390" s="12">
        <f t="shared" si="148"/>
        <v>0</v>
      </c>
      <c r="F390" s="12">
        <f>COUNTIF(H$2:H390,H390)</f>
        <v>90</v>
      </c>
      <c r="G390" s="12">
        <f>COUNTIF(J$2:J390,J390)</f>
        <v>84</v>
      </c>
      <c r="H390" s="12" t="str">
        <f t="shared" si="166"/>
        <v/>
      </c>
      <c r="I390" s="50" t="str">
        <f t="shared" si="167"/>
        <v/>
      </c>
      <c r="J390" s="50" t="str">
        <f t="shared" si="168"/>
        <v/>
      </c>
      <c r="K390" s="64" t="str">
        <f t="shared" si="169"/>
        <v/>
      </c>
      <c r="L390" s="64" t="str">
        <f t="shared" si="170"/>
        <v/>
      </c>
      <c r="M390" s="171"/>
      <c r="N390" s="178"/>
      <c r="O390" s="178"/>
      <c r="P390" s="138">
        <f t="shared" si="151"/>
        <v>0</v>
      </c>
      <c r="Q390" s="137">
        <f t="shared" si="152"/>
        <v>50</v>
      </c>
      <c r="R390" s="143"/>
      <c r="S390" s="143"/>
      <c r="T390" s="143"/>
      <c r="U390" s="144"/>
      <c r="V390" s="144"/>
      <c r="W390" s="144"/>
      <c r="X390" s="145"/>
      <c r="Y390" s="152" t="str">
        <f t="shared" si="153"/>
        <v xml:space="preserve">   50.00 </v>
      </c>
      <c r="Z390" s="136"/>
      <c r="AA390" s="50" t="str">
        <f t="shared" si="164"/>
        <v/>
      </c>
      <c r="AB390" s="129" t="str">
        <f t="shared" si="165"/>
        <v/>
      </c>
      <c r="AC390" s="58" t="str">
        <f t="shared" si="154"/>
        <v/>
      </c>
      <c r="AD390" s="58" t="str">
        <f t="shared" si="155"/>
        <v/>
      </c>
      <c r="AE390" s="60" t="str">
        <f>IF(AD390="","",COUNTIF($AD$2:AD390,AD390))</f>
        <v/>
      </c>
      <c r="AF390" s="62" t="str">
        <f>IF(AD390="","",SUMIF(AD$2:AD390,AD390,G$2:G390))</f>
        <v/>
      </c>
      <c r="AG390" s="62" t="str">
        <f>IF(AK390&lt;&gt;"",COUNTIF($AK$1:AK389,AK390)+AK390,IF(AL390&lt;&gt;"",COUNTIF($AL$1:AL389,AL390)+AL390,""))</f>
        <v/>
      </c>
      <c r="AH390" s="62" t="str">
        <f t="shared" si="156"/>
        <v/>
      </c>
      <c r="AI390" s="62" t="str">
        <f>IF(AND(J390="M", AH390&lt;&gt;"U/A",AE390=Prizewinners!$J$1),AF390,"")</f>
        <v/>
      </c>
      <c r="AJ390" s="58" t="str">
        <f>IF(AND(J390="F",  AH390&lt;&gt;"U/A",AE390=Prizewinners!$J$16),AF390,"")</f>
        <v/>
      </c>
      <c r="AK390" s="58" t="str">
        <f t="shared" si="157"/>
        <v/>
      </c>
      <c r="AL390" s="58" t="str">
        <f t="shared" si="158"/>
        <v/>
      </c>
      <c r="AM390" s="58" t="str">
        <f t="shared" si="159"/>
        <v/>
      </c>
      <c r="AN390" s="58" t="str">
        <f t="shared" si="160"/>
        <v/>
      </c>
      <c r="AO390" s="58" t="str">
        <f t="shared" si="161"/>
        <v/>
      </c>
      <c r="AP390" s="58" t="str">
        <f t="shared" si="162"/>
        <v/>
      </c>
      <c r="AQ390" s="58" t="str">
        <f t="shared" si="163"/>
        <v/>
      </c>
    </row>
    <row r="391" spans="1:43" x14ac:dyDescent="0.25">
      <c r="A391" s="12" t="str">
        <f t="shared" si="149"/>
        <v>,91</v>
      </c>
      <c r="B391" s="12" t="str">
        <f t="shared" si="150"/>
        <v>,85</v>
      </c>
      <c r="C391" s="11">
        <f t="shared" si="171"/>
        <v>390</v>
      </c>
      <c r="D391" s="171"/>
      <c r="E391" s="12">
        <f t="shared" si="148"/>
        <v>0</v>
      </c>
      <c r="F391" s="12">
        <f>COUNTIF(H$2:H391,H391)</f>
        <v>91</v>
      </c>
      <c r="G391" s="12">
        <f>COUNTIF(J$2:J391,J391)</f>
        <v>85</v>
      </c>
      <c r="H391" s="12" t="str">
        <f t="shared" si="166"/>
        <v/>
      </c>
      <c r="I391" s="50" t="str">
        <f t="shared" si="167"/>
        <v/>
      </c>
      <c r="J391" s="50" t="str">
        <f t="shared" si="168"/>
        <v/>
      </c>
      <c r="K391" s="64" t="str">
        <f t="shared" si="169"/>
        <v/>
      </c>
      <c r="L391" s="64" t="str">
        <f t="shared" si="170"/>
        <v/>
      </c>
      <c r="M391" s="171"/>
      <c r="N391" s="178"/>
      <c r="O391" s="178"/>
      <c r="P391" s="138">
        <f t="shared" si="151"/>
        <v>0</v>
      </c>
      <c r="Q391" s="137">
        <f t="shared" si="152"/>
        <v>50</v>
      </c>
      <c r="R391" s="143"/>
      <c r="S391" s="143"/>
      <c r="T391" s="143"/>
      <c r="U391" s="144"/>
      <c r="V391" s="144"/>
      <c r="W391" s="144"/>
      <c r="X391" s="145"/>
      <c r="Y391" s="152" t="str">
        <f t="shared" si="153"/>
        <v xml:space="preserve">   50.00 </v>
      </c>
      <c r="Z391" s="136"/>
      <c r="AA391" s="50" t="str">
        <f t="shared" si="164"/>
        <v/>
      </c>
      <c r="AB391" s="129" t="str">
        <f t="shared" si="165"/>
        <v/>
      </c>
      <c r="AC391" s="58" t="str">
        <f t="shared" si="154"/>
        <v/>
      </c>
      <c r="AD391" s="58" t="str">
        <f t="shared" si="155"/>
        <v/>
      </c>
      <c r="AE391" s="60" t="str">
        <f>IF(AD391="","",COUNTIF($AD$2:AD391,AD391))</f>
        <v/>
      </c>
      <c r="AF391" s="62" t="str">
        <f>IF(AD391="","",SUMIF(AD$2:AD391,AD391,G$2:G391))</f>
        <v/>
      </c>
      <c r="AG391" s="62" t="str">
        <f>IF(AK391&lt;&gt;"",COUNTIF($AK$1:AK390,AK391)+AK391,IF(AL391&lt;&gt;"",COUNTIF($AL$1:AL390,AL391)+AL391,""))</f>
        <v/>
      </c>
      <c r="AH391" s="62" t="str">
        <f t="shared" si="156"/>
        <v/>
      </c>
      <c r="AI391" s="62" t="str">
        <f>IF(AND(J391="M", AH391&lt;&gt;"U/A",AE391=Prizewinners!$J$1),AF391,"")</f>
        <v/>
      </c>
      <c r="AJ391" s="58" t="str">
        <f>IF(AND(J391="F",  AH391&lt;&gt;"U/A",AE391=Prizewinners!$J$16),AF391,"")</f>
        <v/>
      </c>
      <c r="AK391" s="58" t="str">
        <f t="shared" si="157"/>
        <v/>
      </c>
      <c r="AL391" s="58" t="str">
        <f t="shared" si="158"/>
        <v/>
      </c>
      <c r="AM391" s="58" t="str">
        <f t="shared" si="159"/>
        <v/>
      </c>
      <c r="AN391" s="58" t="str">
        <f t="shared" si="160"/>
        <v/>
      </c>
      <c r="AO391" s="58" t="str">
        <f t="shared" si="161"/>
        <v/>
      </c>
      <c r="AP391" s="58" t="str">
        <f t="shared" si="162"/>
        <v/>
      </c>
      <c r="AQ391" s="58" t="str">
        <f t="shared" si="163"/>
        <v/>
      </c>
    </row>
    <row r="392" spans="1:43" x14ac:dyDescent="0.25">
      <c r="A392" s="12" t="str">
        <f t="shared" si="149"/>
        <v>,92</v>
      </c>
      <c r="B392" s="12" t="str">
        <f t="shared" si="150"/>
        <v>,86</v>
      </c>
      <c r="C392" s="11">
        <f t="shared" si="171"/>
        <v>391</v>
      </c>
      <c r="D392" s="171"/>
      <c r="E392" s="12">
        <f t="shared" si="148"/>
        <v>0</v>
      </c>
      <c r="F392" s="12">
        <f>COUNTIF(H$2:H392,H392)</f>
        <v>92</v>
      </c>
      <c r="G392" s="12">
        <f>COUNTIF(J$2:J392,J392)</f>
        <v>86</v>
      </c>
      <c r="H392" s="12" t="str">
        <f t="shared" si="166"/>
        <v/>
      </c>
      <c r="I392" s="50" t="str">
        <f t="shared" si="167"/>
        <v/>
      </c>
      <c r="J392" s="50" t="str">
        <f t="shared" si="168"/>
        <v/>
      </c>
      <c r="K392" s="64" t="str">
        <f t="shared" si="169"/>
        <v/>
      </c>
      <c r="L392" s="64" t="str">
        <f t="shared" si="170"/>
        <v/>
      </c>
      <c r="M392" s="171"/>
      <c r="N392" s="178"/>
      <c r="O392" s="178"/>
      <c r="P392" s="138">
        <f t="shared" si="151"/>
        <v>0</v>
      </c>
      <c r="Q392" s="137">
        <f t="shared" si="152"/>
        <v>50</v>
      </c>
      <c r="R392" s="143"/>
      <c r="S392" s="143"/>
      <c r="T392" s="143"/>
      <c r="U392" s="144"/>
      <c r="V392" s="144"/>
      <c r="W392" s="144"/>
      <c r="X392" s="145"/>
      <c r="Y392" s="152" t="str">
        <f t="shared" si="153"/>
        <v xml:space="preserve">   50.00 </v>
      </c>
      <c r="Z392" s="136"/>
      <c r="AA392" s="50" t="str">
        <f t="shared" si="164"/>
        <v/>
      </c>
      <c r="AB392" s="129" t="str">
        <f t="shared" si="165"/>
        <v/>
      </c>
      <c r="AC392" s="58" t="str">
        <f t="shared" si="154"/>
        <v/>
      </c>
      <c r="AD392" s="58" t="str">
        <f t="shared" si="155"/>
        <v/>
      </c>
      <c r="AE392" s="60" t="str">
        <f>IF(AD392="","",COUNTIF($AD$2:AD392,AD392))</f>
        <v/>
      </c>
      <c r="AF392" s="62" t="str">
        <f>IF(AD392="","",SUMIF(AD$2:AD392,AD392,G$2:G392))</f>
        <v/>
      </c>
      <c r="AG392" s="62" t="str">
        <f>IF(AK392&lt;&gt;"",COUNTIF($AK$1:AK391,AK392)+AK392,IF(AL392&lt;&gt;"",COUNTIF($AL$1:AL391,AL392)+AL392,""))</f>
        <v/>
      </c>
      <c r="AH392" s="62" t="str">
        <f t="shared" si="156"/>
        <v/>
      </c>
      <c r="AI392" s="62" t="str">
        <f>IF(AND(J392="M", AH392&lt;&gt;"U/A",AE392=Prizewinners!$J$1),AF392,"")</f>
        <v/>
      </c>
      <c r="AJ392" s="58" t="str">
        <f>IF(AND(J392="F",  AH392&lt;&gt;"U/A",AE392=Prizewinners!$J$16),AF392,"")</f>
        <v/>
      </c>
      <c r="AK392" s="58" t="str">
        <f t="shared" si="157"/>
        <v/>
      </c>
      <c r="AL392" s="58" t="str">
        <f t="shared" si="158"/>
        <v/>
      </c>
      <c r="AM392" s="58" t="str">
        <f t="shared" si="159"/>
        <v/>
      </c>
      <c r="AN392" s="58" t="str">
        <f t="shared" si="160"/>
        <v/>
      </c>
      <c r="AO392" s="58" t="str">
        <f t="shared" si="161"/>
        <v/>
      </c>
      <c r="AP392" s="58" t="str">
        <f t="shared" si="162"/>
        <v/>
      </c>
      <c r="AQ392" s="58" t="str">
        <f t="shared" si="163"/>
        <v/>
      </c>
    </row>
    <row r="393" spans="1:43" x14ac:dyDescent="0.25">
      <c r="A393" s="12" t="str">
        <f t="shared" si="149"/>
        <v>,93</v>
      </c>
      <c r="B393" s="12" t="str">
        <f t="shared" si="150"/>
        <v>,87</v>
      </c>
      <c r="C393" s="11">
        <f t="shared" si="171"/>
        <v>392</v>
      </c>
      <c r="D393" s="171"/>
      <c r="E393" s="12">
        <f t="shared" si="148"/>
        <v>0</v>
      </c>
      <c r="F393" s="12">
        <f>COUNTIF(H$2:H393,H393)</f>
        <v>93</v>
      </c>
      <c r="G393" s="12">
        <f>COUNTIF(J$2:J393,J393)</f>
        <v>87</v>
      </c>
      <c r="H393" s="12" t="str">
        <f t="shared" si="166"/>
        <v/>
      </c>
      <c r="I393" s="50" t="str">
        <f t="shared" si="167"/>
        <v/>
      </c>
      <c r="J393" s="50" t="str">
        <f t="shared" si="168"/>
        <v/>
      </c>
      <c r="K393" s="64" t="str">
        <f t="shared" si="169"/>
        <v/>
      </c>
      <c r="L393" s="64" t="str">
        <f t="shared" si="170"/>
        <v/>
      </c>
      <c r="M393" s="171"/>
      <c r="N393" s="178"/>
      <c r="O393" s="178"/>
      <c r="P393" s="138">
        <f t="shared" si="151"/>
        <v>0</v>
      </c>
      <c r="Q393" s="137">
        <f t="shared" si="152"/>
        <v>50</v>
      </c>
      <c r="R393" s="143"/>
      <c r="S393" s="143"/>
      <c r="T393" s="143"/>
      <c r="U393" s="144"/>
      <c r="V393" s="144"/>
      <c r="W393" s="144"/>
      <c r="X393" s="145"/>
      <c r="Y393" s="152" t="str">
        <f t="shared" si="153"/>
        <v xml:space="preserve">   50.00 </v>
      </c>
      <c r="Z393" s="136"/>
      <c r="AA393" s="50" t="str">
        <f t="shared" si="164"/>
        <v/>
      </c>
      <c r="AB393" s="129" t="str">
        <f t="shared" si="165"/>
        <v/>
      </c>
      <c r="AC393" s="58" t="str">
        <f t="shared" si="154"/>
        <v/>
      </c>
      <c r="AD393" s="58" t="str">
        <f t="shared" si="155"/>
        <v/>
      </c>
      <c r="AE393" s="60" t="str">
        <f>IF(AD393="","",COUNTIF($AD$2:AD393,AD393))</f>
        <v/>
      </c>
      <c r="AF393" s="62" t="str">
        <f>IF(AD393="","",SUMIF(AD$2:AD393,AD393,G$2:G393))</f>
        <v/>
      </c>
      <c r="AG393" s="62" t="str">
        <f>IF(AK393&lt;&gt;"",COUNTIF($AK$1:AK392,AK393)+AK393,IF(AL393&lt;&gt;"",COUNTIF($AL$1:AL392,AL393)+AL393,""))</f>
        <v/>
      </c>
      <c r="AH393" s="62" t="str">
        <f t="shared" si="156"/>
        <v/>
      </c>
      <c r="AI393" s="62" t="str">
        <f>IF(AND(J393="M", AH393&lt;&gt;"U/A",AE393=Prizewinners!$J$1),AF393,"")</f>
        <v/>
      </c>
      <c r="AJ393" s="58" t="str">
        <f>IF(AND(J393="F",  AH393&lt;&gt;"U/A",AE393=Prizewinners!$J$16),AF393,"")</f>
        <v/>
      </c>
      <c r="AK393" s="58" t="str">
        <f t="shared" si="157"/>
        <v/>
      </c>
      <c r="AL393" s="58" t="str">
        <f t="shared" si="158"/>
        <v/>
      </c>
      <c r="AM393" s="58" t="str">
        <f t="shared" si="159"/>
        <v/>
      </c>
      <c r="AN393" s="58" t="str">
        <f t="shared" si="160"/>
        <v/>
      </c>
      <c r="AO393" s="58" t="str">
        <f t="shared" si="161"/>
        <v/>
      </c>
      <c r="AP393" s="58" t="str">
        <f t="shared" si="162"/>
        <v/>
      </c>
      <c r="AQ393" s="58" t="str">
        <f t="shared" si="163"/>
        <v/>
      </c>
    </row>
    <row r="394" spans="1:43" x14ac:dyDescent="0.25">
      <c r="A394" s="12" t="str">
        <f t="shared" si="149"/>
        <v>,94</v>
      </c>
      <c r="B394" s="12" t="str">
        <f t="shared" si="150"/>
        <v>,88</v>
      </c>
      <c r="C394" s="11">
        <f t="shared" si="171"/>
        <v>393</v>
      </c>
      <c r="D394" s="171"/>
      <c r="E394" s="12">
        <f t="shared" si="148"/>
        <v>0</v>
      </c>
      <c r="F394" s="12">
        <f>COUNTIF(H$2:H394,H394)</f>
        <v>94</v>
      </c>
      <c r="G394" s="12">
        <f>COUNTIF(J$2:J394,J394)</f>
        <v>88</v>
      </c>
      <c r="H394" s="12" t="str">
        <f t="shared" si="166"/>
        <v/>
      </c>
      <c r="I394" s="50" t="str">
        <f t="shared" si="167"/>
        <v/>
      </c>
      <c r="J394" s="50" t="str">
        <f t="shared" si="168"/>
        <v/>
      </c>
      <c r="K394" s="64" t="str">
        <f t="shared" si="169"/>
        <v/>
      </c>
      <c r="L394" s="64" t="str">
        <f t="shared" si="170"/>
        <v/>
      </c>
      <c r="M394" s="171"/>
      <c r="N394" s="178"/>
      <c r="O394" s="178"/>
      <c r="P394" s="138">
        <f t="shared" si="151"/>
        <v>0</v>
      </c>
      <c r="Q394" s="137">
        <f t="shared" si="152"/>
        <v>50</v>
      </c>
      <c r="R394" s="143"/>
      <c r="S394" s="143"/>
      <c r="T394" s="143"/>
      <c r="U394" s="144"/>
      <c r="V394" s="144"/>
      <c r="W394" s="144"/>
      <c r="X394" s="145"/>
      <c r="Y394" s="152" t="str">
        <f t="shared" si="153"/>
        <v xml:space="preserve">   50.00 </v>
      </c>
      <c r="Z394" s="136"/>
      <c r="AA394" s="50" t="str">
        <f t="shared" si="164"/>
        <v/>
      </c>
      <c r="AB394" s="129" t="str">
        <f t="shared" si="165"/>
        <v/>
      </c>
      <c r="AC394" s="58" t="str">
        <f t="shared" si="154"/>
        <v/>
      </c>
      <c r="AD394" s="58" t="str">
        <f t="shared" si="155"/>
        <v/>
      </c>
      <c r="AE394" s="60" t="str">
        <f>IF(AD394="","",COUNTIF($AD$2:AD394,AD394))</f>
        <v/>
      </c>
      <c r="AF394" s="62" t="str">
        <f>IF(AD394="","",SUMIF(AD$2:AD394,AD394,G$2:G394))</f>
        <v/>
      </c>
      <c r="AG394" s="62" t="str">
        <f>IF(AK394&lt;&gt;"",COUNTIF($AK$1:AK393,AK394)+AK394,IF(AL394&lt;&gt;"",COUNTIF($AL$1:AL393,AL394)+AL394,""))</f>
        <v/>
      </c>
      <c r="AH394" s="62" t="str">
        <f t="shared" si="156"/>
        <v/>
      </c>
      <c r="AI394" s="62" t="str">
        <f>IF(AND(J394="M", AH394&lt;&gt;"U/A",AE394=Prizewinners!$J$1),AF394,"")</f>
        <v/>
      </c>
      <c r="AJ394" s="58" t="str">
        <f>IF(AND(J394="F",  AH394&lt;&gt;"U/A",AE394=Prizewinners!$J$16),AF394,"")</f>
        <v/>
      </c>
      <c r="AK394" s="58" t="str">
        <f t="shared" si="157"/>
        <v/>
      </c>
      <c r="AL394" s="58" t="str">
        <f t="shared" si="158"/>
        <v/>
      </c>
      <c r="AM394" s="58" t="str">
        <f t="shared" si="159"/>
        <v/>
      </c>
      <c r="AN394" s="58" t="str">
        <f t="shared" si="160"/>
        <v/>
      </c>
      <c r="AO394" s="58" t="str">
        <f t="shared" si="161"/>
        <v/>
      </c>
      <c r="AP394" s="58" t="str">
        <f t="shared" si="162"/>
        <v/>
      </c>
      <c r="AQ394" s="58" t="str">
        <f t="shared" si="163"/>
        <v/>
      </c>
    </row>
    <row r="395" spans="1:43" x14ac:dyDescent="0.25">
      <c r="A395" s="12" t="str">
        <f t="shared" si="149"/>
        <v>,95</v>
      </c>
      <c r="B395" s="12" t="str">
        <f t="shared" si="150"/>
        <v>,89</v>
      </c>
      <c r="C395" s="11">
        <f t="shared" si="171"/>
        <v>394</v>
      </c>
      <c r="D395" s="171"/>
      <c r="E395" s="12">
        <f t="shared" si="148"/>
        <v>0</v>
      </c>
      <c r="F395" s="12">
        <f>COUNTIF(H$2:H395,H395)</f>
        <v>95</v>
      </c>
      <c r="G395" s="12">
        <f>COUNTIF(J$2:J395,J395)</f>
        <v>89</v>
      </c>
      <c r="H395" s="12" t="str">
        <f t="shared" si="166"/>
        <v/>
      </c>
      <c r="I395" s="50" t="str">
        <f t="shared" si="167"/>
        <v/>
      </c>
      <c r="J395" s="50" t="str">
        <f t="shared" si="168"/>
        <v/>
      </c>
      <c r="K395" s="64" t="str">
        <f t="shared" si="169"/>
        <v/>
      </c>
      <c r="L395" s="64" t="str">
        <f t="shared" si="170"/>
        <v/>
      </c>
      <c r="M395" s="171"/>
      <c r="N395" s="178"/>
      <c r="O395" s="178"/>
      <c r="P395" s="138">
        <f t="shared" si="151"/>
        <v>0</v>
      </c>
      <c r="Q395" s="137">
        <f t="shared" si="152"/>
        <v>50</v>
      </c>
      <c r="R395" s="143"/>
      <c r="S395" s="143"/>
      <c r="T395" s="143"/>
      <c r="U395" s="144"/>
      <c r="V395" s="144"/>
      <c r="W395" s="144"/>
      <c r="X395" s="145"/>
      <c r="Y395" s="152" t="str">
        <f t="shared" si="153"/>
        <v xml:space="preserve">   50.00 </v>
      </c>
      <c r="Z395" s="136"/>
      <c r="AA395" s="50" t="str">
        <f t="shared" si="164"/>
        <v/>
      </c>
      <c r="AB395" s="129" t="str">
        <f t="shared" si="165"/>
        <v/>
      </c>
      <c r="AC395" s="58" t="str">
        <f t="shared" si="154"/>
        <v/>
      </c>
      <c r="AD395" s="58" t="str">
        <f t="shared" si="155"/>
        <v/>
      </c>
      <c r="AE395" s="60" t="str">
        <f>IF(AD395="","",COUNTIF($AD$2:AD395,AD395))</f>
        <v/>
      </c>
      <c r="AF395" s="62" t="str">
        <f>IF(AD395="","",SUMIF(AD$2:AD395,AD395,G$2:G395))</f>
        <v/>
      </c>
      <c r="AG395" s="62" t="str">
        <f>IF(AK395&lt;&gt;"",COUNTIF($AK$1:AK394,AK395)+AK395,IF(AL395&lt;&gt;"",COUNTIF($AL$1:AL394,AL395)+AL395,""))</f>
        <v/>
      </c>
      <c r="AH395" s="62" t="str">
        <f t="shared" si="156"/>
        <v/>
      </c>
      <c r="AI395" s="62" t="str">
        <f>IF(AND(J395="M", AH395&lt;&gt;"U/A",AE395=Prizewinners!$J$1),AF395,"")</f>
        <v/>
      </c>
      <c r="AJ395" s="58" t="str">
        <f>IF(AND(J395="F",  AH395&lt;&gt;"U/A",AE395=Prizewinners!$J$16),AF395,"")</f>
        <v/>
      </c>
      <c r="AK395" s="58" t="str">
        <f t="shared" si="157"/>
        <v/>
      </c>
      <c r="AL395" s="58" t="str">
        <f t="shared" si="158"/>
        <v/>
      </c>
      <c r="AM395" s="58" t="str">
        <f t="shared" si="159"/>
        <v/>
      </c>
      <c r="AN395" s="58" t="str">
        <f t="shared" si="160"/>
        <v/>
      </c>
      <c r="AO395" s="58" t="str">
        <f t="shared" si="161"/>
        <v/>
      </c>
      <c r="AP395" s="58" t="str">
        <f t="shared" si="162"/>
        <v/>
      </c>
      <c r="AQ395" s="58" t="str">
        <f t="shared" si="163"/>
        <v/>
      </c>
    </row>
    <row r="396" spans="1:43" x14ac:dyDescent="0.25">
      <c r="A396" s="12" t="str">
        <f t="shared" si="149"/>
        <v>,96</v>
      </c>
      <c r="B396" s="12" t="str">
        <f t="shared" si="150"/>
        <v>,90</v>
      </c>
      <c r="C396" s="11">
        <f t="shared" si="171"/>
        <v>395</v>
      </c>
      <c r="D396" s="171"/>
      <c r="E396" s="12">
        <f t="shared" si="148"/>
        <v>0</v>
      </c>
      <c r="F396" s="12">
        <f>COUNTIF(H$2:H396,H396)</f>
        <v>96</v>
      </c>
      <c r="G396" s="12">
        <f>COUNTIF(J$2:J396,J396)</f>
        <v>90</v>
      </c>
      <c r="H396" s="12" t="str">
        <f t="shared" si="166"/>
        <v/>
      </c>
      <c r="I396" s="50" t="str">
        <f t="shared" si="167"/>
        <v/>
      </c>
      <c r="J396" s="50" t="str">
        <f t="shared" si="168"/>
        <v/>
      </c>
      <c r="K396" s="64" t="str">
        <f t="shared" si="169"/>
        <v/>
      </c>
      <c r="L396" s="64" t="str">
        <f t="shared" si="170"/>
        <v/>
      </c>
      <c r="M396" s="171"/>
      <c r="N396" s="178"/>
      <c r="O396" s="178"/>
      <c r="P396" s="138">
        <f t="shared" si="151"/>
        <v>0</v>
      </c>
      <c r="Q396" s="137">
        <f t="shared" si="152"/>
        <v>50</v>
      </c>
      <c r="R396" s="143"/>
      <c r="S396" s="143"/>
      <c r="T396" s="143"/>
      <c r="U396" s="144"/>
      <c r="V396" s="144"/>
      <c r="W396" s="144"/>
      <c r="X396" s="145"/>
      <c r="Y396" s="152" t="str">
        <f t="shared" si="153"/>
        <v xml:space="preserve">   50.00 </v>
      </c>
      <c r="Z396" s="136"/>
      <c r="AA396" s="50" t="str">
        <f t="shared" si="164"/>
        <v/>
      </c>
      <c r="AB396" s="129" t="str">
        <f t="shared" si="165"/>
        <v/>
      </c>
      <c r="AC396" s="58" t="str">
        <f t="shared" si="154"/>
        <v/>
      </c>
      <c r="AD396" s="58" t="str">
        <f t="shared" si="155"/>
        <v/>
      </c>
      <c r="AE396" s="60" t="str">
        <f>IF(AD396="","",COUNTIF($AD$2:AD396,AD396))</f>
        <v/>
      </c>
      <c r="AF396" s="62" t="str">
        <f>IF(AD396="","",SUMIF(AD$2:AD396,AD396,G$2:G396))</f>
        <v/>
      </c>
      <c r="AG396" s="62" t="str">
        <f>IF(AK396&lt;&gt;"",COUNTIF($AK$1:AK395,AK396)+AK396,IF(AL396&lt;&gt;"",COUNTIF($AL$1:AL395,AL396)+AL396,""))</f>
        <v/>
      </c>
      <c r="AH396" s="62" t="str">
        <f t="shared" si="156"/>
        <v/>
      </c>
      <c r="AI396" s="62" t="str">
        <f>IF(AND(J396="M", AH396&lt;&gt;"U/A",AE396=Prizewinners!$J$1),AF396,"")</f>
        <v/>
      </c>
      <c r="AJ396" s="58" t="str">
        <f>IF(AND(J396="F",  AH396&lt;&gt;"U/A",AE396=Prizewinners!$J$16),AF396,"")</f>
        <v/>
      </c>
      <c r="AK396" s="58" t="str">
        <f t="shared" si="157"/>
        <v/>
      </c>
      <c r="AL396" s="58" t="str">
        <f t="shared" si="158"/>
        <v/>
      </c>
      <c r="AM396" s="58" t="str">
        <f t="shared" si="159"/>
        <v/>
      </c>
      <c r="AN396" s="58" t="str">
        <f t="shared" si="160"/>
        <v/>
      </c>
      <c r="AO396" s="58" t="str">
        <f t="shared" si="161"/>
        <v/>
      </c>
      <c r="AP396" s="58" t="str">
        <f t="shared" si="162"/>
        <v/>
      </c>
      <c r="AQ396" s="58" t="str">
        <f t="shared" si="163"/>
        <v/>
      </c>
    </row>
    <row r="397" spans="1:43" x14ac:dyDescent="0.25">
      <c r="A397" s="12" t="str">
        <f t="shared" si="149"/>
        <v>,97</v>
      </c>
      <c r="B397" s="12" t="str">
        <f t="shared" si="150"/>
        <v>,91</v>
      </c>
      <c r="C397" s="11">
        <f t="shared" si="171"/>
        <v>396</v>
      </c>
      <c r="D397" s="171"/>
      <c r="E397" s="12">
        <f t="shared" si="148"/>
        <v>0</v>
      </c>
      <c r="F397" s="12">
        <f>COUNTIF(H$2:H397,H397)</f>
        <v>97</v>
      </c>
      <c r="G397" s="12">
        <f>COUNTIF(J$2:J397,J397)</f>
        <v>91</v>
      </c>
      <c r="H397" s="12" t="str">
        <f t="shared" si="166"/>
        <v/>
      </c>
      <c r="I397" s="50" t="str">
        <f t="shared" si="167"/>
        <v/>
      </c>
      <c r="J397" s="50" t="str">
        <f t="shared" si="168"/>
        <v/>
      </c>
      <c r="K397" s="64" t="str">
        <f t="shared" si="169"/>
        <v/>
      </c>
      <c r="L397" s="64" t="str">
        <f t="shared" si="170"/>
        <v/>
      </c>
      <c r="M397" s="171"/>
      <c r="N397" s="178"/>
      <c r="O397" s="178"/>
      <c r="P397" s="138">
        <f t="shared" si="151"/>
        <v>0</v>
      </c>
      <c r="Q397" s="137">
        <f t="shared" si="152"/>
        <v>50</v>
      </c>
      <c r="R397" s="143"/>
      <c r="S397" s="143"/>
      <c r="T397" s="143"/>
      <c r="U397" s="144"/>
      <c r="V397" s="144"/>
      <c r="W397" s="144"/>
      <c r="X397" s="145"/>
      <c r="Y397" s="152" t="str">
        <f t="shared" si="153"/>
        <v xml:space="preserve">   50.00 </v>
      </c>
      <c r="Z397" s="136"/>
      <c r="AA397" s="50" t="str">
        <f t="shared" si="164"/>
        <v/>
      </c>
      <c r="AB397" s="129" t="str">
        <f t="shared" si="165"/>
        <v/>
      </c>
      <c r="AC397" s="58" t="str">
        <f t="shared" si="154"/>
        <v/>
      </c>
      <c r="AD397" s="58" t="str">
        <f t="shared" si="155"/>
        <v/>
      </c>
      <c r="AE397" s="60" t="str">
        <f>IF(AD397="","",COUNTIF($AD$2:AD397,AD397))</f>
        <v/>
      </c>
      <c r="AF397" s="62" t="str">
        <f>IF(AD397="","",SUMIF(AD$2:AD397,AD397,G$2:G397))</f>
        <v/>
      </c>
      <c r="AG397" s="62" t="str">
        <f>IF(AK397&lt;&gt;"",COUNTIF($AK$1:AK396,AK397)+AK397,IF(AL397&lt;&gt;"",COUNTIF($AL$1:AL396,AL397)+AL397,""))</f>
        <v/>
      </c>
      <c r="AH397" s="62" t="str">
        <f t="shared" si="156"/>
        <v/>
      </c>
      <c r="AI397" s="62" t="str">
        <f>IF(AND(J397="M", AH397&lt;&gt;"U/A",AE397=Prizewinners!$J$1),AF397,"")</f>
        <v/>
      </c>
      <c r="AJ397" s="58" t="str">
        <f>IF(AND(J397="F",  AH397&lt;&gt;"U/A",AE397=Prizewinners!$J$16),AF397,"")</f>
        <v/>
      </c>
      <c r="AK397" s="58" t="str">
        <f t="shared" si="157"/>
        <v/>
      </c>
      <c r="AL397" s="58" t="str">
        <f t="shared" si="158"/>
        <v/>
      </c>
      <c r="AM397" s="58" t="str">
        <f t="shared" si="159"/>
        <v/>
      </c>
      <c r="AN397" s="58" t="str">
        <f t="shared" si="160"/>
        <v/>
      </c>
      <c r="AO397" s="58" t="str">
        <f t="shared" si="161"/>
        <v/>
      </c>
      <c r="AP397" s="58" t="str">
        <f t="shared" si="162"/>
        <v/>
      </c>
      <c r="AQ397" s="58" t="str">
        <f t="shared" si="163"/>
        <v/>
      </c>
    </row>
    <row r="398" spans="1:43" x14ac:dyDescent="0.25">
      <c r="A398" s="12" t="str">
        <f t="shared" si="149"/>
        <v>,98</v>
      </c>
      <c r="B398" s="12" t="str">
        <f t="shared" si="150"/>
        <v>,92</v>
      </c>
      <c r="C398" s="11">
        <f t="shared" si="171"/>
        <v>397</v>
      </c>
      <c r="D398" s="171"/>
      <c r="E398" s="12">
        <f t="shared" si="148"/>
        <v>0</v>
      </c>
      <c r="F398" s="12">
        <f>COUNTIF(H$2:H398,H398)</f>
        <v>98</v>
      </c>
      <c r="G398" s="12">
        <f>COUNTIF(J$2:J398,J398)</f>
        <v>92</v>
      </c>
      <c r="H398" s="12" t="str">
        <f t="shared" si="166"/>
        <v/>
      </c>
      <c r="I398" s="50" t="str">
        <f t="shared" si="167"/>
        <v/>
      </c>
      <c r="J398" s="50" t="str">
        <f t="shared" si="168"/>
        <v/>
      </c>
      <c r="K398" s="64" t="str">
        <f t="shared" si="169"/>
        <v/>
      </c>
      <c r="L398" s="64" t="str">
        <f t="shared" si="170"/>
        <v/>
      </c>
      <c r="M398" s="171"/>
      <c r="N398" s="178"/>
      <c r="O398" s="178"/>
      <c r="P398" s="138">
        <f t="shared" si="151"/>
        <v>0</v>
      </c>
      <c r="Q398" s="137">
        <f t="shared" si="152"/>
        <v>50</v>
      </c>
      <c r="R398" s="143"/>
      <c r="S398" s="143"/>
      <c r="T398" s="143"/>
      <c r="U398" s="144"/>
      <c r="V398" s="144"/>
      <c r="W398" s="144"/>
      <c r="X398" s="145"/>
      <c r="Y398" s="152" t="str">
        <f t="shared" si="153"/>
        <v xml:space="preserve">   50.00 </v>
      </c>
      <c r="Z398" s="136"/>
      <c r="AA398" s="50" t="str">
        <f t="shared" si="164"/>
        <v/>
      </c>
      <c r="AB398" s="129" t="str">
        <f t="shared" si="165"/>
        <v/>
      </c>
      <c r="AC398" s="58" t="str">
        <f t="shared" si="154"/>
        <v/>
      </c>
      <c r="AD398" s="58" t="str">
        <f t="shared" si="155"/>
        <v/>
      </c>
      <c r="AE398" s="60" t="str">
        <f>IF(AD398="","",COUNTIF($AD$2:AD398,AD398))</f>
        <v/>
      </c>
      <c r="AF398" s="62" t="str">
        <f>IF(AD398="","",SUMIF(AD$2:AD398,AD398,G$2:G398))</f>
        <v/>
      </c>
      <c r="AG398" s="62" t="str">
        <f>IF(AK398&lt;&gt;"",COUNTIF($AK$1:AK397,AK398)+AK398,IF(AL398&lt;&gt;"",COUNTIF($AL$1:AL397,AL398)+AL398,""))</f>
        <v/>
      </c>
      <c r="AH398" s="62" t="str">
        <f t="shared" si="156"/>
        <v/>
      </c>
      <c r="AI398" s="62" t="str">
        <f>IF(AND(J398="M", AH398&lt;&gt;"U/A",AE398=Prizewinners!$J$1),AF398,"")</f>
        <v/>
      </c>
      <c r="AJ398" s="58" t="str">
        <f>IF(AND(J398="F",  AH398&lt;&gt;"U/A",AE398=Prizewinners!$J$16),AF398,"")</f>
        <v/>
      </c>
      <c r="AK398" s="58" t="str">
        <f t="shared" si="157"/>
        <v/>
      </c>
      <c r="AL398" s="58" t="str">
        <f t="shared" si="158"/>
        <v/>
      </c>
      <c r="AM398" s="58" t="str">
        <f t="shared" si="159"/>
        <v/>
      </c>
      <c r="AN398" s="58" t="str">
        <f t="shared" si="160"/>
        <v/>
      </c>
      <c r="AO398" s="58" t="str">
        <f t="shared" si="161"/>
        <v/>
      </c>
      <c r="AP398" s="58" t="str">
        <f t="shared" si="162"/>
        <v/>
      </c>
      <c r="AQ398" s="58" t="str">
        <f t="shared" si="163"/>
        <v/>
      </c>
    </row>
    <row r="399" spans="1:43" x14ac:dyDescent="0.25">
      <c r="A399" s="12" t="str">
        <f t="shared" si="149"/>
        <v>,99</v>
      </c>
      <c r="B399" s="12" t="str">
        <f t="shared" si="150"/>
        <v>,93</v>
      </c>
      <c r="C399" s="11">
        <f t="shared" si="171"/>
        <v>398</v>
      </c>
      <c r="D399" s="171"/>
      <c r="E399" s="12">
        <f t="shared" si="148"/>
        <v>0</v>
      </c>
      <c r="F399" s="12">
        <f>COUNTIF(H$2:H399,H399)</f>
        <v>99</v>
      </c>
      <c r="G399" s="12">
        <f>COUNTIF(J$2:J399,J399)</f>
        <v>93</v>
      </c>
      <c r="H399" s="12" t="str">
        <f t="shared" si="166"/>
        <v/>
      </c>
      <c r="I399" s="50" t="str">
        <f t="shared" si="167"/>
        <v/>
      </c>
      <c r="J399" s="50" t="str">
        <f t="shared" si="168"/>
        <v/>
      </c>
      <c r="K399" s="64" t="str">
        <f t="shared" si="169"/>
        <v/>
      </c>
      <c r="L399" s="64" t="str">
        <f t="shared" si="170"/>
        <v/>
      </c>
      <c r="M399" s="171"/>
      <c r="N399" s="178"/>
      <c r="O399" s="178"/>
      <c r="P399" s="138">
        <f t="shared" si="151"/>
        <v>0</v>
      </c>
      <c r="Q399" s="137">
        <f t="shared" si="152"/>
        <v>50</v>
      </c>
      <c r="R399" s="143"/>
      <c r="S399" s="143"/>
      <c r="T399" s="143"/>
      <c r="U399" s="144"/>
      <c r="V399" s="144"/>
      <c r="W399" s="144"/>
      <c r="X399" s="145"/>
      <c r="Y399" s="152" t="str">
        <f t="shared" si="153"/>
        <v xml:space="preserve">   50.00 </v>
      </c>
      <c r="Z399" s="136"/>
      <c r="AA399" s="50" t="str">
        <f t="shared" si="164"/>
        <v/>
      </c>
      <c r="AB399" s="129" t="str">
        <f t="shared" si="165"/>
        <v/>
      </c>
      <c r="AC399" s="58" t="str">
        <f t="shared" si="154"/>
        <v/>
      </c>
      <c r="AD399" s="58" t="str">
        <f t="shared" si="155"/>
        <v/>
      </c>
      <c r="AE399" s="60" t="str">
        <f>IF(AD399="","",COUNTIF($AD$2:AD399,AD399))</f>
        <v/>
      </c>
      <c r="AF399" s="62" t="str">
        <f>IF(AD399="","",SUMIF(AD$2:AD399,AD399,G$2:G399))</f>
        <v/>
      </c>
      <c r="AG399" s="62" t="str">
        <f>IF(AK399&lt;&gt;"",COUNTIF($AK$1:AK398,AK399)+AK399,IF(AL399&lt;&gt;"",COUNTIF($AL$1:AL398,AL399)+AL399,""))</f>
        <v/>
      </c>
      <c r="AH399" s="62" t="str">
        <f t="shared" si="156"/>
        <v/>
      </c>
      <c r="AI399" s="62" t="str">
        <f>IF(AND(J399="M", AH399&lt;&gt;"U/A",AE399=Prizewinners!$J$1),AF399,"")</f>
        <v/>
      </c>
      <c r="AJ399" s="58" t="str">
        <f>IF(AND(J399="F",  AH399&lt;&gt;"U/A",AE399=Prizewinners!$J$16),AF399,"")</f>
        <v/>
      </c>
      <c r="AK399" s="58" t="str">
        <f t="shared" si="157"/>
        <v/>
      </c>
      <c r="AL399" s="58" t="str">
        <f t="shared" si="158"/>
        <v/>
      </c>
      <c r="AM399" s="58" t="str">
        <f t="shared" si="159"/>
        <v/>
      </c>
      <c r="AN399" s="58" t="str">
        <f t="shared" si="160"/>
        <v/>
      </c>
      <c r="AO399" s="58" t="str">
        <f t="shared" si="161"/>
        <v/>
      </c>
      <c r="AP399" s="58" t="str">
        <f t="shared" si="162"/>
        <v/>
      </c>
      <c r="AQ399" s="58" t="str">
        <f t="shared" si="163"/>
        <v/>
      </c>
    </row>
    <row r="400" spans="1:43" x14ac:dyDescent="0.25">
      <c r="A400" s="12" t="str">
        <f t="shared" si="149"/>
        <v>,100</v>
      </c>
      <c r="B400" s="12" t="str">
        <f t="shared" si="150"/>
        <v>,94</v>
      </c>
      <c r="C400" s="11">
        <f t="shared" si="171"/>
        <v>399</v>
      </c>
      <c r="D400" s="171"/>
      <c r="E400" s="12">
        <f t="shared" si="148"/>
        <v>0</v>
      </c>
      <c r="F400" s="12">
        <f>COUNTIF(H$2:H400,H400)</f>
        <v>100</v>
      </c>
      <c r="G400" s="12">
        <f>COUNTIF(J$2:J400,J400)</f>
        <v>94</v>
      </c>
      <c r="H400" s="12" t="str">
        <f t="shared" si="166"/>
        <v/>
      </c>
      <c r="I400" s="50" t="str">
        <f t="shared" si="167"/>
        <v/>
      </c>
      <c r="J400" s="50" t="str">
        <f t="shared" si="168"/>
        <v/>
      </c>
      <c r="K400" s="64" t="str">
        <f t="shared" si="169"/>
        <v/>
      </c>
      <c r="L400" s="64" t="str">
        <f t="shared" si="170"/>
        <v/>
      </c>
      <c r="M400" s="171"/>
      <c r="N400" s="178"/>
      <c r="O400" s="178"/>
      <c r="P400" s="138">
        <f t="shared" si="151"/>
        <v>0</v>
      </c>
      <c r="Q400" s="137">
        <f t="shared" si="152"/>
        <v>50</v>
      </c>
      <c r="R400" s="143"/>
      <c r="S400" s="143"/>
      <c r="T400" s="143"/>
      <c r="U400" s="144"/>
      <c r="V400" s="144"/>
      <c r="W400" s="144"/>
      <c r="X400" s="145"/>
      <c r="Y400" s="152" t="str">
        <f t="shared" si="153"/>
        <v xml:space="preserve">   50.00 </v>
      </c>
      <c r="Z400" s="136"/>
      <c r="AA400" s="50" t="str">
        <f t="shared" si="164"/>
        <v/>
      </c>
      <c r="AB400" s="129" t="str">
        <f t="shared" si="165"/>
        <v/>
      </c>
      <c r="AC400" s="58" t="str">
        <f t="shared" si="154"/>
        <v/>
      </c>
      <c r="AD400" s="58" t="str">
        <f t="shared" si="155"/>
        <v/>
      </c>
      <c r="AE400" s="60" t="str">
        <f>IF(AD400="","",COUNTIF($AD$2:AD400,AD400))</f>
        <v/>
      </c>
      <c r="AF400" s="62" t="str">
        <f>IF(AD400="","",SUMIF(AD$2:AD400,AD400,G$2:G400))</f>
        <v/>
      </c>
      <c r="AG400" s="62" t="str">
        <f>IF(AK400&lt;&gt;"",COUNTIF($AK$1:AK399,AK400)+AK400,IF(AL400&lt;&gt;"",COUNTIF($AL$1:AL399,AL400)+AL400,""))</f>
        <v/>
      </c>
      <c r="AH400" s="62" t="str">
        <f t="shared" si="156"/>
        <v/>
      </c>
      <c r="AI400" s="62" t="str">
        <f>IF(AND(J400="M", AH400&lt;&gt;"U/A",AE400=Prizewinners!$J$1),AF400,"")</f>
        <v/>
      </c>
      <c r="AJ400" s="58" t="str">
        <f>IF(AND(J400="F",  AH400&lt;&gt;"U/A",AE400=Prizewinners!$J$16),AF400,"")</f>
        <v/>
      </c>
      <c r="AK400" s="58" t="str">
        <f t="shared" si="157"/>
        <v/>
      </c>
      <c r="AL400" s="58" t="str">
        <f t="shared" si="158"/>
        <v/>
      </c>
      <c r="AM400" s="58" t="str">
        <f t="shared" si="159"/>
        <v/>
      </c>
      <c r="AN400" s="58" t="str">
        <f t="shared" si="160"/>
        <v/>
      </c>
      <c r="AO400" s="58" t="str">
        <f t="shared" si="161"/>
        <v/>
      </c>
      <c r="AP400" s="58" t="str">
        <f t="shared" si="162"/>
        <v/>
      </c>
      <c r="AQ400" s="58" t="str">
        <f t="shared" si="163"/>
        <v/>
      </c>
    </row>
    <row r="401" spans="1:43" x14ac:dyDescent="0.25">
      <c r="A401" s="12" t="str">
        <f t="shared" si="149"/>
        <v>,101</v>
      </c>
      <c r="B401" s="12" t="str">
        <f t="shared" si="150"/>
        <v>,95</v>
      </c>
      <c r="C401" s="11">
        <f t="shared" si="171"/>
        <v>400</v>
      </c>
      <c r="D401" s="171"/>
      <c r="E401" s="12">
        <f t="shared" si="148"/>
        <v>0</v>
      </c>
      <c r="F401" s="12">
        <f>COUNTIF(H$2:H401,H401)</f>
        <v>101</v>
      </c>
      <c r="G401" s="12">
        <f>COUNTIF(J$2:J401,J401)</f>
        <v>95</v>
      </c>
      <c r="H401" s="12" t="str">
        <f t="shared" si="166"/>
        <v/>
      </c>
      <c r="I401" s="50" t="str">
        <f t="shared" si="167"/>
        <v/>
      </c>
      <c r="J401" s="50" t="str">
        <f t="shared" si="168"/>
        <v/>
      </c>
      <c r="K401" s="64" t="str">
        <f t="shared" si="169"/>
        <v/>
      </c>
      <c r="L401" s="64" t="str">
        <f t="shared" si="170"/>
        <v/>
      </c>
      <c r="M401" s="171"/>
      <c r="N401" s="178"/>
      <c r="O401" s="178"/>
      <c r="P401" s="138">
        <f t="shared" si="151"/>
        <v>0</v>
      </c>
      <c r="Q401" s="137">
        <f t="shared" si="152"/>
        <v>50</v>
      </c>
      <c r="R401" s="143"/>
      <c r="S401" s="143"/>
      <c r="T401" s="143"/>
      <c r="U401" s="144"/>
      <c r="V401" s="144"/>
      <c r="W401" s="144"/>
      <c r="X401" s="145"/>
      <c r="Y401" s="152" t="str">
        <f t="shared" si="153"/>
        <v xml:space="preserve">   50.00 </v>
      </c>
      <c r="Z401" s="136"/>
      <c r="AA401" s="50" t="str">
        <f t="shared" si="164"/>
        <v/>
      </c>
      <c r="AB401" s="129" t="str">
        <f t="shared" si="165"/>
        <v/>
      </c>
      <c r="AC401" s="58" t="str">
        <f t="shared" si="154"/>
        <v/>
      </c>
      <c r="AD401" s="58" t="str">
        <f t="shared" si="155"/>
        <v/>
      </c>
      <c r="AE401" s="60" t="str">
        <f>IF(AD401="","",COUNTIF($AD$2:AD401,AD401))</f>
        <v/>
      </c>
      <c r="AF401" s="62" t="str">
        <f>IF(AD401="","",SUMIF(AD$2:AD401,AD401,G$2:G401))</f>
        <v/>
      </c>
      <c r="AG401" s="62" t="str">
        <f>IF(AK401&lt;&gt;"",COUNTIF($AK$1:AK400,AK401)+AK401,IF(AL401&lt;&gt;"",COUNTIF($AL$1:AL400,AL401)+AL401,""))</f>
        <v/>
      </c>
      <c r="AH401" s="62" t="str">
        <f t="shared" si="156"/>
        <v/>
      </c>
      <c r="AI401" s="62" t="str">
        <f>IF(AND(J401="M", AH401&lt;&gt;"U/A",AE401=Prizewinners!$J$1),AF401,"")</f>
        <v/>
      </c>
      <c r="AJ401" s="58" t="str">
        <f>IF(AND(J401="F",  AH401&lt;&gt;"U/A",AE401=Prizewinners!$J$16),AF401,"")</f>
        <v/>
      </c>
      <c r="AK401" s="58" t="str">
        <f t="shared" si="157"/>
        <v/>
      </c>
      <c r="AL401" s="58" t="str">
        <f t="shared" si="158"/>
        <v/>
      </c>
      <c r="AM401" s="58" t="str">
        <f t="shared" si="159"/>
        <v/>
      </c>
      <c r="AN401" s="58" t="str">
        <f t="shared" si="160"/>
        <v/>
      </c>
      <c r="AO401" s="58" t="str">
        <f t="shared" si="161"/>
        <v/>
      </c>
      <c r="AP401" s="58" t="str">
        <f t="shared" si="162"/>
        <v/>
      </c>
      <c r="AQ401" s="58" t="str">
        <f t="shared" si="163"/>
        <v/>
      </c>
    </row>
    <row r="402" spans="1:43" x14ac:dyDescent="0.25">
      <c r="A402" s="12" t="str">
        <f t="shared" si="149"/>
        <v>,102</v>
      </c>
      <c r="B402" s="12" t="str">
        <f t="shared" si="150"/>
        <v>,96</v>
      </c>
      <c r="C402" s="11">
        <f t="shared" si="171"/>
        <v>401</v>
      </c>
      <c r="D402" s="171"/>
      <c r="E402" s="12">
        <f t="shared" si="148"/>
        <v>0</v>
      </c>
      <c r="F402" s="12">
        <f>COUNTIF(H$2:H402,H402)</f>
        <v>102</v>
      </c>
      <c r="G402" s="12">
        <f>COUNTIF(J$2:J402,J402)</f>
        <v>96</v>
      </c>
      <c r="H402" s="12" t="str">
        <f t="shared" si="166"/>
        <v/>
      </c>
      <c r="I402" s="50" t="str">
        <f t="shared" si="167"/>
        <v/>
      </c>
      <c r="J402" s="50" t="str">
        <f t="shared" si="168"/>
        <v/>
      </c>
      <c r="K402" s="64" t="str">
        <f t="shared" si="169"/>
        <v/>
      </c>
      <c r="L402" s="64" t="str">
        <f t="shared" si="170"/>
        <v/>
      </c>
      <c r="M402" s="171"/>
      <c r="N402" s="178"/>
      <c r="O402" s="178"/>
      <c r="P402" s="138">
        <f t="shared" si="151"/>
        <v>0</v>
      </c>
      <c r="Q402" s="137">
        <f t="shared" si="152"/>
        <v>50</v>
      </c>
      <c r="R402" s="143"/>
      <c r="S402" s="143"/>
      <c r="T402" s="143"/>
      <c r="U402" s="144"/>
      <c r="V402" s="144"/>
      <c r="W402" s="144"/>
      <c r="X402" s="145"/>
      <c r="Y402" s="152" t="str">
        <f t="shared" si="153"/>
        <v xml:space="preserve">   50.00 </v>
      </c>
      <c r="Z402" s="136"/>
      <c r="AA402" s="50" t="str">
        <f t="shared" si="164"/>
        <v/>
      </c>
      <c r="AB402" s="129" t="str">
        <f t="shared" si="165"/>
        <v/>
      </c>
      <c r="AC402" s="58" t="str">
        <f t="shared" si="154"/>
        <v/>
      </c>
      <c r="AD402" s="58" t="str">
        <f t="shared" si="155"/>
        <v/>
      </c>
      <c r="AE402" s="60" t="str">
        <f>IF(AD402="","",COUNTIF($AD$2:AD402,AD402))</f>
        <v/>
      </c>
      <c r="AF402" s="62" t="str">
        <f>IF(AD402="","",SUMIF(AD$2:AD402,AD402,G$2:G402))</f>
        <v/>
      </c>
      <c r="AG402" s="62" t="str">
        <f>IF(AK402&lt;&gt;"",COUNTIF($AK$1:AK401,AK402)+AK402,IF(AL402&lt;&gt;"",COUNTIF($AL$1:AL401,AL402)+AL402,""))</f>
        <v/>
      </c>
      <c r="AH402" s="62" t="str">
        <f t="shared" si="156"/>
        <v/>
      </c>
      <c r="AI402" s="62" t="str">
        <f>IF(AND(J402="M", AH402&lt;&gt;"U/A",AE402=Prizewinners!$J$1),AF402,"")</f>
        <v/>
      </c>
      <c r="AJ402" s="58" t="str">
        <f>IF(AND(J402="F",  AH402&lt;&gt;"U/A",AE402=Prizewinners!$J$16),AF402,"")</f>
        <v/>
      </c>
      <c r="AK402" s="58" t="str">
        <f t="shared" si="157"/>
        <v/>
      </c>
      <c r="AL402" s="58" t="str">
        <f t="shared" si="158"/>
        <v/>
      </c>
      <c r="AM402" s="58" t="str">
        <f t="shared" si="159"/>
        <v/>
      </c>
      <c r="AN402" s="58" t="str">
        <f t="shared" si="160"/>
        <v/>
      </c>
      <c r="AO402" s="58" t="str">
        <f t="shared" si="161"/>
        <v/>
      </c>
      <c r="AP402" s="58" t="str">
        <f t="shared" si="162"/>
        <v/>
      </c>
      <c r="AQ402" s="58" t="str">
        <f t="shared" si="163"/>
        <v/>
      </c>
    </row>
    <row r="403" spans="1:43" x14ac:dyDescent="0.25">
      <c r="A403" s="12" t="str">
        <f t="shared" si="149"/>
        <v>,103</v>
      </c>
      <c r="B403" s="12" t="str">
        <f t="shared" si="150"/>
        <v>,97</v>
      </c>
      <c r="C403" s="11">
        <f t="shared" si="171"/>
        <v>402</v>
      </c>
      <c r="D403" s="171"/>
      <c r="E403" s="12">
        <f t="shared" si="148"/>
        <v>0</v>
      </c>
      <c r="F403" s="12">
        <f>COUNTIF(H$2:H403,H403)</f>
        <v>103</v>
      </c>
      <c r="G403" s="12">
        <f>COUNTIF(J$2:J403,J403)</f>
        <v>97</v>
      </c>
      <c r="H403" s="12" t="str">
        <f t="shared" si="166"/>
        <v/>
      </c>
      <c r="I403" s="50" t="str">
        <f t="shared" si="167"/>
        <v/>
      </c>
      <c r="J403" s="50" t="str">
        <f t="shared" si="168"/>
        <v/>
      </c>
      <c r="K403" s="64" t="str">
        <f t="shared" si="169"/>
        <v/>
      </c>
      <c r="L403" s="64" t="str">
        <f t="shared" si="170"/>
        <v/>
      </c>
      <c r="M403" s="171"/>
      <c r="N403" s="178"/>
      <c r="O403" s="178"/>
      <c r="P403" s="138">
        <f t="shared" si="151"/>
        <v>0</v>
      </c>
      <c r="Q403" s="137">
        <f t="shared" si="152"/>
        <v>50</v>
      </c>
      <c r="R403" s="143"/>
      <c r="S403" s="143"/>
      <c r="T403" s="143"/>
      <c r="U403" s="144"/>
      <c r="V403" s="144"/>
      <c r="W403" s="144"/>
      <c r="X403" s="145"/>
      <c r="Y403" s="152" t="str">
        <f t="shared" si="153"/>
        <v xml:space="preserve">   50.00 </v>
      </c>
      <c r="Z403" s="136"/>
      <c r="AA403" s="50" t="str">
        <f t="shared" si="164"/>
        <v/>
      </c>
      <c r="AB403" s="129" t="str">
        <f t="shared" si="165"/>
        <v/>
      </c>
      <c r="AC403" s="58" t="str">
        <f t="shared" si="154"/>
        <v/>
      </c>
      <c r="AD403" s="58" t="str">
        <f t="shared" si="155"/>
        <v/>
      </c>
      <c r="AE403" s="60" t="str">
        <f>IF(AD403="","",COUNTIF($AD$2:AD403,AD403))</f>
        <v/>
      </c>
      <c r="AF403" s="62" t="str">
        <f>IF(AD403="","",SUMIF(AD$2:AD403,AD403,G$2:G403))</f>
        <v/>
      </c>
      <c r="AG403" s="62" t="str">
        <f>IF(AK403&lt;&gt;"",COUNTIF($AK$1:AK402,AK403)+AK403,IF(AL403&lt;&gt;"",COUNTIF($AL$1:AL402,AL403)+AL403,""))</f>
        <v/>
      </c>
      <c r="AH403" s="62" t="str">
        <f t="shared" si="156"/>
        <v/>
      </c>
      <c r="AI403" s="62" t="str">
        <f>IF(AND(J403="M", AH403&lt;&gt;"U/A",AE403=Prizewinners!$J$1),AF403,"")</f>
        <v/>
      </c>
      <c r="AJ403" s="58" t="str">
        <f>IF(AND(J403="F",  AH403&lt;&gt;"U/A",AE403=Prizewinners!$J$16),AF403,"")</f>
        <v/>
      </c>
      <c r="AK403" s="58" t="str">
        <f t="shared" si="157"/>
        <v/>
      </c>
      <c r="AL403" s="58" t="str">
        <f t="shared" si="158"/>
        <v/>
      </c>
      <c r="AM403" s="58" t="str">
        <f t="shared" si="159"/>
        <v/>
      </c>
      <c r="AN403" s="58" t="str">
        <f t="shared" si="160"/>
        <v/>
      </c>
      <c r="AO403" s="58" t="str">
        <f t="shared" si="161"/>
        <v/>
      </c>
      <c r="AP403" s="58" t="str">
        <f t="shared" si="162"/>
        <v/>
      </c>
      <c r="AQ403" s="58" t="str">
        <f t="shared" si="163"/>
        <v/>
      </c>
    </row>
    <row r="404" spans="1:43" x14ac:dyDescent="0.25">
      <c r="A404" s="12" t="str">
        <f t="shared" si="149"/>
        <v>,104</v>
      </c>
      <c r="B404" s="12" t="str">
        <f t="shared" si="150"/>
        <v>,98</v>
      </c>
      <c r="C404" s="11">
        <f t="shared" si="171"/>
        <v>403</v>
      </c>
      <c r="D404" s="171"/>
      <c r="E404" s="12">
        <f t="shared" si="148"/>
        <v>0</v>
      </c>
      <c r="F404" s="12">
        <f>COUNTIF(H$2:H404,H404)</f>
        <v>104</v>
      </c>
      <c r="G404" s="12">
        <f>COUNTIF(J$2:J404,J404)</f>
        <v>98</v>
      </c>
      <c r="H404" s="12" t="str">
        <f t="shared" si="166"/>
        <v/>
      </c>
      <c r="I404" s="50" t="str">
        <f t="shared" si="167"/>
        <v/>
      </c>
      <c r="J404" s="50" t="str">
        <f t="shared" si="168"/>
        <v/>
      </c>
      <c r="K404" s="64" t="str">
        <f t="shared" si="169"/>
        <v/>
      </c>
      <c r="L404" s="64" t="str">
        <f t="shared" si="170"/>
        <v/>
      </c>
      <c r="M404" s="171"/>
      <c r="N404" s="178"/>
      <c r="O404" s="178"/>
      <c r="P404" s="138">
        <f t="shared" si="151"/>
        <v>0</v>
      </c>
      <c r="Q404" s="137">
        <f t="shared" si="152"/>
        <v>50</v>
      </c>
      <c r="R404" s="143"/>
      <c r="S404" s="143"/>
      <c r="T404" s="143"/>
      <c r="U404" s="144"/>
      <c r="V404" s="144"/>
      <c r="W404" s="144"/>
      <c r="X404" s="145"/>
      <c r="Y404" s="152" t="str">
        <f t="shared" si="153"/>
        <v xml:space="preserve">   50.00 </v>
      </c>
      <c r="Z404" s="136"/>
      <c r="AA404" s="50" t="str">
        <f t="shared" si="164"/>
        <v/>
      </c>
      <c r="AB404" s="129" t="str">
        <f t="shared" si="165"/>
        <v/>
      </c>
      <c r="AC404" s="58" t="str">
        <f t="shared" si="154"/>
        <v/>
      </c>
      <c r="AD404" s="58" t="str">
        <f t="shared" si="155"/>
        <v/>
      </c>
      <c r="AE404" s="60" t="str">
        <f>IF(AD404="","",COUNTIF($AD$2:AD404,AD404))</f>
        <v/>
      </c>
      <c r="AF404" s="62" t="str">
        <f>IF(AD404="","",SUMIF(AD$2:AD404,AD404,G$2:G404))</f>
        <v/>
      </c>
      <c r="AG404" s="62" t="str">
        <f>IF(AK404&lt;&gt;"",COUNTIF($AK$1:AK403,AK404)+AK404,IF(AL404&lt;&gt;"",COUNTIF($AL$1:AL403,AL404)+AL404,""))</f>
        <v/>
      </c>
      <c r="AH404" s="62" t="str">
        <f t="shared" si="156"/>
        <v/>
      </c>
      <c r="AI404" s="62" t="str">
        <f>IF(AND(J404="M", AH404&lt;&gt;"U/A",AE404=Prizewinners!$J$1),AF404,"")</f>
        <v/>
      </c>
      <c r="AJ404" s="58" t="str">
        <f>IF(AND(J404="F",  AH404&lt;&gt;"U/A",AE404=Prizewinners!$J$16),AF404,"")</f>
        <v/>
      </c>
      <c r="AK404" s="58" t="str">
        <f t="shared" si="157"/>
        <v/>
      </c>
      <c r="AL404" s="58" t="str">
        <f t="shared" si="158"/>
        <v/>
      </c>
      <c r="AM404" s="58" t="str">
        <f t="shared" si="159"/>
        <v/>
      </c>
      <c r="AN404" s="58" t="str">
        <f t="shared" si="160"/>
        <v/>
      </c>
      <c r="AO404" s="58" t="str">
        <f t="shared" si="161"/>
        <v/>
      </c>
      <c r="AP404" s="58" t="str">
        <f t="shared" si="162"/>
        <v/>
      </c>
      <c r="AQ404" s="58" t="str">
        <f t="shared" si="163"/>
        <v/>
      </c>
    </row>
    <row r="405" spans="1:43" x14ac:dyDescent="0.25">
      <c r="A405" s="12" t="str">
        <f t="shared" si="149"/>
        <v>,105</v>
      </c>
      <c r="B405" s="12" t="str">
        <f t="shared" si="150"/>
        <v>,99</v>
      </c>
      <c r="C405" s="11">
        <f t="shared" si="171"/>
        <v>404</v>
      </c>
      <c r="D405" s="171"/>
      <c r="E405" s="12">
        <f t="shared" si="148"/>
        <v>0</v>
      </c>
      <c r="F405" s="12">
        <f>COUNTIF(H$2:H405,H405)</f>
        <v>105</v>
      </c>
      <c r="G405" s="12">
        <f>COUNTIF(J$2:J405,J405)</f>
        <v>99</v>
      </c>
      <c r="H405" s="12" t="str">
        <f t="shared" si="166"/>
        <v/>
      </c>
      <c r="I405" s="50" t="str">
        <f t="shared" si="167"/>
        <v/>
      </c>
      <c r="J405" s="50" t="str">
        <f t="shared" si="168"/>
        <v/>
      </c>
      <c r="K405" s="64" t="str">
        <f t="shared" si="169"/>
        <v/>
      </c>
      <c r="L405" s="64" t="str">
        <f t="shared" si="170"/>
        <v/>
      </c>
      <c r="M405" s="171"/>
      <c r="N405" s="178"/>
      <c r="O405" s="178"/>
      <c r="P405" s="138">
        <f t="shared" si="151"/>
        <v>0</v>
      </c>
      <c r="Q405" s="137">
        <f t="shared" si="152"/>
        <v>50</v>
      </c>
      <c r="R405" s="143"/>
      <c r="S405" s="143"/>
      <c r="T405" s="143"/>
      <c r="U405" s="144"/>
      <c r="V405" s="144"/>
      <c r="W405" s="144"/>
      <c r="X405" s="145"/>
      <c r="Y405" s="152" t="str">
        <f t="shared" si="153"/>
        <v xml:space="preserve">   50.00 </v>
      </c>
      <c r="Z405" s="136"/>
      <c r="AA405" s="50" t="str">
        <f t="shared" si="164"/>
        <v/>
      </c>
      <c r="AB405" s="129" t="str">
        <f t="shared" si="165"/>
        <v/>
      </c>
      <c r="AC405" s="58" t="str">
        <f t="shared" si="154"/>
        <v/>
      </c>
      <c r="AD405" s="58" t="str">
        <f t="shared" si="155"/>
        <v/>
      </c>
      <c r="AE405" s="60" t="str">
        <f>IF(AD405="","",COUNTIF($AD$2:AD405,AD405))</f>
        <v/>
      </c>
      <c r="AF405" s="62" t="str">
        <f>IF(AD405="","",SUMIF(AD$2:AD405,AD405,G$2:G405))</f>
        <v/>
      </c>
      <c r="AG405" s="62" t="str">
        <f>IF(AK405&lt;&gt;"",COUNTIF($AK$1:AK404,AK405)+AK405,IF(AL405&lt;&gt;"",COUNTIF($AL$1:AL404,AL405)+AL405,""))</f>
        <v/>
      </c>
      <c r="AH405" s="62" t="str">
        <f t="shared" si="156"/>
        <v/>
      </c>
      <c r="AI405" s="62" t="str">
        <f>IF(AND(J405="M", AH405&lt;&gt;"U/A",AE405=Prizewinners!$J$1),AF405,"")</f>
        <v/>
      </c>
      <c r="AJ405" s="58" t="str">
        <f>IF(AND(J405="F",  AH405&lt;&gt;"U/A",AE405=Prizewinners!$J$16),AF405,"")</f>
        <v/>
      </c>
      <c r="AK405" s="58" t="str">
        <f t="shared" si="157"/>
        <v/>
      </c>
      <c r="AL405" s="58" t="str">
        <f t="shared" si="158"/>
        <v/>
      </c>
      <c r="AM405" s="58" t="str">
        <f t="shared" si="159"/>
        <v/>
      </c>
      <c r="AN405" s="58" t="str">
        <f t="shared" si="160"/>
        <v/>
      </c>
      <c r="AO405" s="58" t="str">
        <f t="shared" si="161"/>
        <v/>
      </c>
      <c r="AP405" s="58" t="str">
        <f t="shared" si="162"/>
        <v/>
      </c>
      <c r="AQ405" s="58" t="str">
        <f t="shared" si="163"/>
        <v/>
      </c>
    </row>
    <row r="406" spans="1:43" x14ac:dyDescent="0.25">
      <c r="A406" s="12" t="str">
        <f t="shared" si="149"/>
        <v>,106</v>
      </c>
      <c r="B406" s="12" t="str">
        <f t="shared" si="150"/>
        <v>,100</v>
      </c>
      <c r="C406" s="11">
        <f t="shared" si="171"/>
        <v>405</v>
      </c>
      <c r="D406" s="171"/>
      <c r="E406" s="12">
        <f t="shared" si="148"/>
        <v>0</v>
      </c>
      <c r="F406" s="12">
        <f>COUNTIF(H$2:H406,H406)</f>
        <v>106</v>
      </c>
      <c r="G406" s="12">
        <f>COUNTIF(J$2:J406,J406)</f>
        <v>100</v>
      </c>
      <c r="H406" s="12" t="str">
        <f t="shared" si="166"/>
        <v/>
      </c>
      <c r="I406" s="50" t="str">
        <f t="shared" si="167"/>
        <v/>
      </c>
      <c r="J406" s="50" t="str">
        <f t="shared" si="168"/>
        <v/>
      </c>
      <c r="K406" s="64" t="str">
        <f t="shared" si="169"/>
        <v/>
      </c>
      <c r="L406" s="64" t="str">
        <f t="shared" si="170"/>
        <v/>
      </c>
      <c r="M406" s="171"/>
      <c r="N406" s="178"/>
      <c r="O406" s="178"/>
      <c r="P406" s="138">
        <f t="shared" si="151"/>
        <v>0</v>
      </c>
      <c r="Q406" s="137">
        <f t="shared" si="152"/>
        <v>50</v>
      </c>
      <c r="R406" s="143"/>
      <c r="S406" s="143"/>
      <c r="T406" s="143"/>
      <c r="U406" s="144"/>
      <c r="V406" s="144"/>
      <c r="W406" s="144"/>
      <c r="X406" s="145"/>
      <c r="Y406" s="152" t="str">
        <f t="shared" si="153"/>
        <v xml:space="preserve">   50.00 </v>
      </c>
      <c r="Z406" s="136"/>
      <c r="AA406" s="50" t="str">
        <f t="shared" si="164"/>
        <v/>
      </c>
      <c r="AB406" s="129" t="str">
        <f t="shared" si="165"/>
        <v/>
      </c>
      <c r="AC406" s="58" t="str">
        <f t="shared" si="154"/>
        <v/>
      </c>
      <c r="AD406" s="58" t="str">
        <f t="shared" si="155"/>
        <v/>
      </c>
      <c r="AE406" s="60" t="str">
        <f>IF(AD406="","",COUNTIF($AD$2:AD406,AD406))</f>
        <v/>
      </c>
      <c r="AF406" s="62" t="str">
        <f>IF(AD406="","",SUMIF(AD$2:AD406,AD406,G$2:G406))</f>
        <v/>
      </c>
      <c r="AG406" s="62" t="str">
        <f>IF(AK406&lt;&gt;"",COUNTIF($AK$1:AK405,AK406)+AK406,IF(AL406&lt;&gt;"",COUNTIF($AL$1:AL405,AL406)+AL406,""))</f>
        <v/>
      </c>
      <c r="AH406" s="62" t="str">
        <f t="shared" si="156"/>
        <v/>
      </c>
      <c r="AI406" s="62" t="str">
        <f>IF(AND(J406="M", AH406&lt;&gt;"U/A",AE406=Prizewinners!$J$1),AF406,"")</f>
        <v/>
      </c>
      <c r="AJ406" s="58" t="str">
        <f>IF(AND(J406="F",  AH406&lt;&gt;"U/A",AE406=Prizewinners!$J$16),AF406,"")</f>
        <v/>
      </c>
      <c r="AK406" s="58" t="str">
        <f t="shared" si="157"/>
        <v/>
      </c>
      <c r="AL406" s="58" t="str">
        <f t="shared" si="158"/>
        <v/>
      </c>
      <c r="AM406" s="58" t="str">
        <f t="shared" si="159"/>
        <v/>
      </c>
      <c r="AN406" s="58" t="str">
        <f t="shared" si="160"/>
        <v/>
      </c>
      <c r="AO406" s="58" t="str">
        <f t="shared" si="161"/>
        <v/>
      </c>
      <c r="AP406" s="58" t="str">
        <f t="shared" si="162"/>
        <v/>
      </c>
      <c r="AQ406" s="58" t="str">
        <f t="shared" si="163"/>
        <v/>
      </c>
    </row>
    <row r="407" spans="1:43" x14ac:dyDescent="0.25">
      <c r="A407" s="12" t="str">
        <f t="shared" si="149"/>
        <v>,107</v>
      </c>
      <c r="B407" s="12" t="str">
        <f t="shared" si="150"/>
        <v>,101</v>
      </c>
      <c r="C407" s="11">
        <f t="shared" si="171"/>
        <v>406</v>
      </c>
      <c r="D407" s="171"/>
      <c r="E407" s="12">
        <f t="shared" si="148"/>
        <v>0</v>
      </c>
      <c r="F407" s="12">
        <f>COUNTIF(H$2:H407,H407)</f>
        <v>107</v>
      </c>
      <c r="G407" s="12">
        <f>COUNTIF(J$2:J407,J407)</f>
        <v>101</v>
      </c>
      <c r="H407" s="12" t="str">
        <f t="shared" si="166"/>
        <v/>
      </c>
      <c r="I407" s="50" t="str">
        <f t="shared" si="167"/>
        <v/>
      </c>
      <c r="J407" s="50" t="str">
        <f t="shared" si="168"/>
        <v/>
      </c>
      <c r="K407" s="64" t="str">
        <f t="shared" si="169"/>
        <v/>
      </c>
      <c r="L407" s="64" t="str">
        <f t="shared" si="170"/>
        <v/>
      </c>
      <c r="M407" s="171"/>
      <c r="N407" s="178"/>
      <c r="O407" s="178"/>
      <c r="P407" s="138">
        <f t="shared" si="151"/>
        <v>0</v>
      </c>
      <c r="Q407" s="137">
        <f t="shared" si="152"/>
        <v>50</v>
      </c>
      <c r="R407" s="143"/>
      <c r="S407" s="143"/>
      <c r="T407" s="143"/>
      <c r="U407" s="144"/>
      <c r="V407" s="144"/>
      <c r="W407" s="144"/>
      <c r="X407" s="145"/>
      <c r="Y407" s="152" t="str">
        <f t="shared" si="153"/>
        <v xml:space="preserve">   50.00 </v>
      </c>
      <c r="Z407" s="136"/>
      <c r="AA407" s="50" t="str">
        <f t="shared" si="164"/>
        <v/>
      </c>
      <c r="AB407" s="129" t="str">
        <f t="shared" si="165"/>
        <v/>
      </c>
      <c r="AC407" s="58" t="str">
        <f t="shared" si="154"/>
        <v/>
      </c>
      <c r="AD407" s="58" t="str">
        <f t="shared" si="155"/>
        <v/>
      </c>
      <c r="AE407" s="60" t="str">
        <f>IF(AD407="","",COUNTIF($AD$2:AD407,AD407))</f>
        <v/>
      </c>
      <c r="AF407" s="62" t="str">
        <f>IF(AD407="","",SUMIF(AD$2:AD407,AD407,G$2:G407))</f>
        <v/>
      </c>
      <c r="AG407" s="62" t="str">
        <f>IF(AK407&lt;&gt;"",COUNTIF($AK$1:AK406,AK407)+AK407,IF(AL407&lt;&gt;"",COUNTIF($AL$1:AL406,AL407)+AL407,""))</f>
        <v/>
      </c>
      <c r="AH407" s="62" t="str">
        <f t="shared" si="156"/>
        <v/>
      </c>
      <c r="AI407" s="62" t="str">
        <f>IF(AND(J407="M", AH407&lt;&gt;"U/A",AE407=Prizewinners!$J$1),AF407,"")</f>
        <v/>
      </c>
      <c r="AJ407" s="58" t="str">
        <f>IF(AND(J407="F",  AH407&lt;&gt;"U/A",AE407=Prizewinners!$J$16),AF407,"")</f>
        <v/>
      </c>
      <c r="AK407" s="58" t="str">
        <f t="shared" si="157"/>
        <v/>
      </c>
      <c r="AL407" s="58" t="str">
        <f t="shared" si="158"/>
        <v/>
      </c>
      <c r="AM407" s="58" t="str">
        <f t="shared" si="159"/>
        <v/>
      </c>
      <c r="AN407" s="58" t="str">
        <f t="shared" si="160"/>
        <v/>
      </c>
      <c r="AO407" s="58" t="str">
        <f t="shared" si="161"/>
        <v/>
      </c>
      <c r="AP407" s="58" t="str">
        <f t="shared" si="162"/>
        <v/>
      </c>
      <c r="AQ407" s="58" t="str">
        <f t="shared" si="163"/>
        <v/>
      </c>
    </row>
    <row r="408" spans="1:43" x14ac:dyDescent="0.25">
      <c r="A408" s="12" t="str">
        <f t="shared" si="149"/>
        <v>,108</v>
      </c>
      <c r="B408" s="12" t="str">
        <f t="shared" si="150"/>
        <v>,102</v>
      </c>
      <c r="C408" s="11">
        <f t="shared" si="171"/>
        <v>407</v>
      </c>
      <c r="D408" s="171"/>
      <c r="E408" s="12">
        <f t="shared" si="148"/>
        <v>0</v>
      </c>
      <c r="F408" s="12">
        <f>COUNTIF(H$2:H408,H408)</f>
        <v>108</v>
      </c>
      <c r="G408" s="12">
        <f>COUNTIF(J$2:J408,J408)</f>
        <v>102</v>
      </c>
      <c r="H408" s="12" t="str">
        <f t="shared" si="166"/>
        <v/>
      </c>
      <c r="I408" s="50" t="str">
        <f t="shared" si="167"/>
        <v/>
      </c>
      <c r="J408" s="50" t="str">
        <f t="shared" si="168"/>
        <v/>
      </c>
      <c r="K408" s="64" t="str">
        <f t="shared" si="169"/>
        <v/>
      </c>
      <c r="L408" s="64" t="str">
        <f t="shared" si="170"/>
        <v/>
      </c>
      <c r="M408" s="171"/>
      <c r="N408" s="178"/>
      <c r="O408" s="178"/>
      <c r="P408" s="138">
        <f t="shared" si="151"/>
        <v>0</v>
      </c>
      <c r="Q408" s="137">
        <f t="shared" si="152"/>
        <v>50</v>
      </c>
      <c r="R408" s="143"/>
      <c r="S408" s="143"/>
      <c r="T408" s="143"/>
      <c r="U408" s="144"/>
      <c r="V408" s="144"/>
      <c r="W408" s="144"/>
      <c r="X408" s="145"/>
      <c r="Y408" s="152" t="str">
        <f t="shared" si="153"/>
        <v xml:space="preserve">   50.00 </v>
      </c>
      <c r="Z408" s="136"/>
      <c r="AA408" s="50" t="str">
        <f t="shared" si="164"/>
        <v/>
      </c>
      <c r="AB408" s="129" t="str">
        <f t="shared" si="165"/>
        <v/>
      </c>
      <c r="AC408" s="58" t="str">
        <f t="shared" si="154"/>
        <v/>
      </c>
      <c r="AD408" s="58" t="str">
        <f t="shared" si="155"/>
        <v/>
      </c>
      <c r="AE408" s="60" t="str">
        <f>IF(AD408="","",COUNTIF($AD$2:AD408,AD408))</f>
        <v/>
      </c>
      <c r="AF408" s="62" t="str">
        <f>IF(AD408="","",SUMIF(AD$2:AD408,AD408,G$2:G408))</f>
        <v/>
      </c>
      <c r="AG408" s="62" t="str">
        <f>IF(AK408&lt;&gt;"",COUNTIF($AK$1:AK407,AK408)+AK408,IF(AL408&lt;&gt;"",COUNTIF($AL$1:AL407,AL408)+AL408,""))</f>
        <v/>
      </c>
      <c r="AH408" s="62" t="str">
        <f t="shared" si="156"/>
        <v/>
      </c>
      <c r="AI408" s="62" t="str">
        <f>IF(AND(J408="M", AH408&lt;&gt;"U/A",AE408=Prizewinners!$J$1),AF408,"")</f>
        <v/>
      </c>
      <c r="AJ408" s="58" t="str">
        <f>IF(AND(J408="F",  AH408&lt;&gt;"U/A",AE408=Prizewinners!$J$16),AF408,"")</f>
        <v/>
      </c>
      <c r="AK408" s="58" t="str">
        <f t="shared" si="157"/>
        <v/>
      </c>
      <c r="AL408" s="58" t="str">
        <f t="shared" si="158"/>
        <v/>
      </c>
      <c r="AM408" s="58" t="str">
        <f t="shared" si="159"/>
        <v/>
      </c>
      <c r="AN408" s="58" t="str">
        <f t="shared" si="160"/>
        <v/>
      </c>
      <c r="AO408" s="58" t="str">
        <f t="shared" si="161"/>
        <v/>
      </c>
      <c r="AP408" s="58" t="str">
        <f t="shared" si="162"/>
        <v/>
      </c>
      <c r="AQ408" s="58" t="str">
        <f t="shared" si="163"/>
        <v/>
      </c>
    </row>
    <row r="409" spans="1:43" x14ac:dyDescent="0.25">
      <c r="A409" s="12" t="str">
        <f t="shared" si="149"/>
        <v>,109</v>
      </c>
      <c r="B409" s="12" t="str">
        <f t="shared" si="150"/>
        <v>,103</v>
      </c>
      <c r="C409" s="11">
        <f t="shared" si="171"/>
        <v>408</v>
      </c>
      <c r="D409" s="171"/>
      <c r="E409" s="12">
        <f t="shared" si="148"/>
        <v>0</v>
      </c>
      <c r="F409" s="12">
        <f>COUNTIF(H$2:H409,H409)</f>
        <v>109</v>
      </c>
      <c r="G409" s="12">
        <f>COUNTIF(J$2:J409,J409)</f>
        <v>103</v>
      </c>
      <c r="H409" s="12" t="str">
        <f t="shared" si="166"/>
        <v/>
      </c>
      <c r="I409" s="50" t="str">
        <f t="shared" si="167"/>
        <v/>
      </c>
      <c r="J409" s="50" t="str">
        <f t="shared" si="168"/>
        <v/>
      </c>
      <c r="K409" s="64" t="str">
        <f t="shared" si="169"/>
        <v/>
      </c>
      <c r="L409" s="64" t="str">
        <f t="shared" si="170"/>
        <v/>
      </c>
      <c r="M409" s="171"/>
      <c r="N409" s="178"/>
      <c r="O409" s="178"/>
      <c r="P409" s="138">
        <f t="shared" si="151"/>
        <v>0</v>
      </c>
      <c r="Q409" s="137">
        <f t="shared" si="152"/>
        <v>50</v>
      </c>
      <c r="R409" s="143"/>
      <c r="S409" s="143"/>
      <c r="T409" s="143"/>
      <c r="U409" s="144"/>
      <c r="V409" s="144"/>
      <c r="W409" s="144"/>
      <c r="X409" s="145"/>
      <c r="Y409" s="152" t="str">
        <f t="shared" si="153"/>
        <v xml:space="preserve">   50.00 </v>
      </c>
      <c r="Z409" s="136"/>
      <c r="AA409" s="50" t="str">
        <f t="shared" si="164"/>
        <v/>
      </c>
      <c r="AB409" s="129" t="str">
        <f t="shared" si="165"/>
        <v/>
      </c>
      <c r="AC409" s="58" t="str">
        <f t="shared" si="154"/>
        <v/>
      </c>
      <c r="AD409" s="58" t="str">
        <f t="shared" si="155"/>
        <v/>
      </c>
      <c r="AE409" s="60" t="str">
        <f>IF(AD409="","",COUNTIF($AD$2:AD409,AD409))</f>
        <v/>
      </c>
      <c r="AF409" s="62" t="str">
        <f>IF(AD409="","",SUMIF(AD$2:AD409,AD409,G$2:G409))</f>
        <v/>
      </c>
      <c r="AG409" s="62" t="str">
        <f>IF(AK409&lt;&gt;"",COUNTIF($AK$1:AK408,AK409)+AK409,IF(AL409&lt;&gt;"",COUNTIF($AL$1:AL408,AL409)+AL409,""))</f>
        <v/>
      </c>
      <c r="AH409" s="62" t="str">
        <f t="shared" si="156"/>
        <v/>
      </c>
      <c r="AI409" s="62" t="str">
        <f>IF(AND(J409="M", AH409&lt;&gt;"U/A",AE409=Prizewinners!$J$1),AF409,"")</f>
        <v/>
      </c>
      <c r="AJ409" s="58" t="str">
        <f>IF(AND(J409="F",  AH409&lt;&gt;"U/A",AE409=Prizewinners!$J$16),AF409,"")</f>
        <v/>
      </c>
      <c r="AK409" s="58" t="str">
        <f t="shared" si="157"/>
        <v/>
      </c>
      <c r="AL409" s="58" t="str">
        <f t="shared" si="158"/>
        <v/>
      </c>
      <c r="AM409" s="58" t="str">
        <f t="shared" si="159"/>
        <v/>
      </c>
      <c r="AN409" s="58" t="str">
        <f t="shared" si="160"/>
        <v/>
      </c>
      <c r="AO409" s="58" t="str">
        <f t="shared" si="161"/>
        <v/>
      </c>
      <c r="AP409" s="58" t="str">
        <f t="shared" si="162"/>
        <v/>
      </c>
      <c r="AQ409" s="58" t="str">
        <f t="shared" si="163"/>
        <v/>
      </c>
    </row>
    <row r="410" spans="1:43" x14ac:dyDescent="0.25">
      <c r="A410" s="12" t="str">
        <f t="shared" si="149"/>
        <v>,110</v>
      </c>
      <c r="B410" s="12" t="str">
        <f t="shared" si="150"/>
        <v>,104</v>
      </c>
      <c r="C410" s="11">
        <f t="shared" si="171"/>
        <v>409</v>
      </c>
      <c r="D410" s="171"/>
      <c r="E410" s="12">
        <f t="shared" si="148"/>
        <v>0</v>
      </c>
      <c r="F410" s="12">
        <f>COUNTIF(H$2:H410,H410)</f>
        <v>110</v>
      </c>
      <c r="G410" s="12">
        <f>COUNTIF(J$2:J410,J410)</f>
        <v>104</v>
      </c>
      <c r="H410" s="12" t="str">
        <f t="shared" si="166"/>
        <v/>
      </c>
      <c r="I410" s="50" t="str">
        <f t="shared" si="167"/>
        <v/>
      </c>
      <c r="J410" s="50" t="str">
        <f t="shared" si="168"/>
        <v/>
      </c>
      <c r="K410" s="64" t="str">
        <f t="shared" si="169"/>
        <v/>
      </c>
      <c r="L410" s="64" t="str">
        <f t="shared" si="170"/>
        <v/>
      </c>
      <c r="M410" s="171"/>
      <c r="N410" s="178"/>
      <c r="O410" s="178"/>
      <c r="P410" s="138">
        <f t="shared" si="151"/>
        <v>0</v>
      </c>
      <c r="Q410" s="137">
        <f t="shared" si="152"/>
        <v>50</v>
      </c>
      <c r="R410" s="143"/>
      <c r="S410" s="143"/>
      <c r="T410" s="143"/>
      <c r="U410" s="144"/>
      <c r="V410" s="144"/>
      <c r="W410" s="144"/>
      <c r="X410" s="145"/>
      <c r="Y410" s="152" t="str">
        <f t="shared" si="153"/>
        <v xml:space="preserve">   50.00 </v>
      </c>
      <c r="Z410" s="136"/>
      <c r="AA410" s="50" t="str">
        <f t="shared" si="164"/>
        <v/>
      </c>
      <c r="AB410" s="129" t="str">
        <f t="shared" si="165"/>
        <v/>
      </c>
      <c r="AC410" s="58" t="str">
        <f t="shared" si="154"/>
        <v/>
      </c>
      <c r="AD410" s="58" t="str">
        <f t="shared" si="155"/>
        <v/>
      </c>
      <c r="AE410" s="60" t="str">
        <f>IF(AD410="","",COUNTIF($AD$2:AD410,AD410))</f>
        <v/>
      </c>
      <c r="AF410" s="62" t="str">
        <f>IF(AD410="","",SUMIF(AD$2:AD410,AD410,G$2:G410))</f>
        <v/>
      </c>
      <c r="AG410" s="62" t="str">
        <f>IF(AK410&lt;&gt;"",COUNTIF($AK$1:AK409,AK410)+AK410,IF(AL410&lt;&gt;"",COUNTIF($AL$1:AL409,AL410)+AL410,""))</f>
        <v/>
      </c>
      <c r="AH410" s="62" t="str">
        <f t="shared" si="156"/>
        <v/>
      </c>
      <c r="AI410" s="62" t="str">
        <f>IF(AND(J410="M", AH410&lt;&gt;"U/A",AE410=Prizewinners!$J$1),AF410,"")</f>
        <v/>
      </c>
      <c r="AJ410" s="58" t="str">
        <f>IF(AND(J410="F",  AH410&lt;&gt;"U/A",AE410=Prizewinners!$J$16),AF410,"")</f>
        <v/>
      </c>
      <c r="AK410" s="58" t="str">
        <f t="shared" si="157"/>
        <v/>
      </c>
      <c r="AL410" s="58" t="str">
        <f t="shared" si="158"/>
        <v/>
      </c>
      <c r="AM410" s="58" t="str">
        <f t="shared" si="159"/>
        <v/>
      </c>
      <c r="AN410" s="58" t="str">
        <f t="shared" si="160"/>
        <v/>
      </c>
      <c r="AO410" s="58" t="str">
        <f t="shared" si="161"/>
        <v/>
      </c>
      <c r="AP410" s="58" t="str">
        <f t="shared" si="162"/>
        <v/>
      </c>
      <c r="AQ410" s="58" t="str">
        <f t="shared" si="163"/>
        <v/>
      </c>
    </row>
    <row r="411" spans="1:43" x14ac:dyDescent="0.25">
      <c r="A411" s="12" t="str">
        <f t="shared" si="149"/>
        <v>,111</v>
      </c>
      <c r="B411" s="12" t="str">
        <f t="shared" si="150"/>
        <v>,105</v>
      </c>
      <c r="C411" s="11">
        <f t="shared" si="171"/>
        <v>410</v>
      </c>
      <c r="D411" s="171"/>
      <c r="E411" s="12">
        <f t="shared" si="148"/>
        <v>0</v>
      </c>
      <c r="F411" s="12">
        <f>COUNTIF(H$2:H411,H411)</f>
        <v>111</v>
      </c>
      <c r="G411" s="12">
        <f>COUNTIF(J$2:J411,J411)</f>
        <v>105</v>
      </c>
      <c r="H411" s="12" t="str">
        <f t="shared" si="166"/>
        <v/>
      </c>
      <c r="I411" s="50" t="str">
        <f t="shared" si="167"/>
        <v/>
      </c>
      <c r="J411" s="50" t="str">
        <f t="shared" si="168"/>
        <v/>
      </c>
      <c r="K411" s="64" t="str">
        <f t="shared" si="169"/>
        <v/>
      </c>
      <c r="L411" s="64" t="str">
        <f t="shared" si="170"/>
        <v/>
      </c>
      <c r="M411" s="171"/>
      <c r="N411" s="178"/>
      <c r="O411" s="178"/>
      <c r="P411" s="138">
        <f t="shared" si="151"/>
        <v>0</v>
      </c>
      <c r="Q411" s="137">
        <f t="shared" si="152"/>
        <v>50</v>
      </c>
      <c r="R411" s="143"/>
      <c r="S411" s="143"/>
      <c r="T411" s="143"/>
      <c r="U411" s="144"/>
      <c r="V411" s="144"/>
      <c r="W411" s="144"/>
      <c r="X411" s="145"/>
      <c r="Y411" s="152" t="str">
        <f t="shared" si="153"/>
        <v xml:space="preserve">   50.00 </v>
      </c>
      <c r="Z411" s="136"/>
      <c r="AA411" s="50" t="str">
        <f t="shared" si="164"/>
        <v/>
      </c>
      <c r="AB411" s="129" t="str">
        <f t="shared" si="165"/>
        <v/>
      </c>
      <c r="AC411" s="58" t="str">
        <f t="shared" si="154"/>
        <v/>
      </c>
      <c r="AD411" s="58" t="str">
        <f t="shared" si="155"/>
        <v/>
      </c>
      <c r="AE411" s="60" t="str">
        <f>IF(AD411="","",COUNTIF($AD$2:AD411,AD411))</f>
        <v/>
      </c>
      <c r="AF411" s="62" t="str">
        <f>IF(AD411="","",SUMIF(AD$2:AD411,AD411,G$2:G411))</f>
        <v/>
      </c>
      <c r="AG411" s="62" t="str">
        <f>IF(AK411&lt;&gt;"",COUNTIF($AK$1:AK410,AK411)+AK411,IF(AL411&lt;&gt;"",COUNTIF($AL$1:AL410,AL411)+AL411,""))</f>
        <v/>
      </c>
      <c r="AH411" s="62" t="str">
        <f t="shared" si="156"/>
        <v/>
      </c>
      <c r="AI411" s="62" t="str">
        <f>IF(AND(J411="M", AH411&lt;&gt;"U/A",AE411=Prizewinners!$J$1),AF411,"")</f>
        <v/>
      </c>
      <c r="AJ411" s="58" t="str">
        <f>IF(AND(J411="F",  AH411&lt;&gt;"U/A",AE411=Prizewinners!$J$16),AF411,"")</f>
        <v/>
      </c>
      <c r="AK411" s="58" t="str">
        <f t="shared" si="157"/>
        <v/>
      </c>
      <c r="AL411" s="58" t="str">
        <f t="shared" si="158"/>
        <v/>
      </c>
      <c r="AM411" s="58" t="str">
        <f t="shared" si="159"/>
        <v/>
      </c>
      <c r="AN411" s="58" t="str">
        <f t="shared" si="160"/>
        <v/>
      </c>
      <c r="AO411" s="58" t="str">
        <f t="shared" si="161"/>
        <v/>
      </c>
      <c r="AP411" s="58" t="str">
        <f t="shared" si="162"/>
        <v/>
      </c>
      <c r="AQ411" s="58" t="str">
        <f t="shared" si="163"/>
        <v/>
      </c>
    </row>
    <row r="412" spans="1:43" x14ac:dyDescent="0.25">
      <c r="A412" s="12" t="str">
        <f t="shared" si="149"/>
        <v>,112</v>
      </c>
      <c r="B412" s="12" t="str">
        <f t="shared" si="150"/>
        <v>,106</v>
      </c>
      <c r="C412" s="11">
        <f t="shared" si="171"/>
        <v>411</v>
      </c>
      <c r="D412" s="171"/>
      <c r="E412" s="12">
        <f t="shared" si="148"/>
        <v>0</v>
      </c>
      <c r="F412" s="12">
        <f>COUNTIF(H$2:H412,H412)</f>
        <v>112</v>
      </c>
      <c r="G412" s="12">
        <f>COUNTIF(J$2:J412,J412)</f>
        <v>106</v>
      </c>
      <c r="H412" s="12" t="str">
        <f t="shared" si="166"/>
        <v/>
      </c>
      <c r="I412" s="50" t="str">
        <f t="shared" si="167"/>
        <v/>
      </c>
      <c r="J412" s="50" t="str">
        <f t="shared" si="168"/>
        <v/>
      </c>
      <c r="K412" s="64" t="str">
        <f t="shared" si="169"/>
        <v/>
      </c>
      <c r="L412" s="64" t="str">
        <f t="shared" si="170"/>
        <v/>
      </c>
      <c r="M412" s="171"/>
      <c r="N412" s="178"/>
      <c r="O412" s="178"/>
      <c r="P412" s="138">
        <f t="shared" si="151"/>
        <v>0</v>
      </c>
      <c r="Q412" s="137">
        <f t="shared" si="152"/>
        <v>50</v>
      </c>
      <c r="R412" s="143"/>
      <c r="S412" s="143"/>
      <c r="T412" s="143"/>
      <c r="U412" s="144"/>
      <c r="V412" s="144"/>
      <c r="W412" s="144"/>
      <c r="X412" s="145"/>
      <c r="Y412" s="152" t="str">
        <f t="shared" si="153"/>
        <v xml:space="preserve">   50.00 </v>
      </c>
      <c r="Z412" s="136"/>
      <c r="AA412" s="50" t="str">
        <f t="shared" si="164"/>
        <v/>
      </c>
      <c r="AB412" s="129" t="str">
        <f t="shared" si="165"/>
        <v/>
      </c>
      <c r="AC412" s="58" t="str">
        <f t="shared" si="154"/>
        <v/>
      </c>
      <c r="AD412" s="58" t="str">
        <f t="shared" si="155"/>
        <v/>
      </c>
      <c r="AE412" s="60" t="str">
        <f>IF(AD412="","",COUNTIF($AD$2:AD412,AD412))</f>
        <v/>
      </c>
      <c r="AF412" s="62" t="str">
        <f>IF(AD412="","",SUMIF(AD$2:AD412,AD412,G$2:G412))</f>
        <v/>
      </c>
      <c r="AG412" s="62" t="str">
        <f>IF(AK412&lt;&gt;"",COUNTIF($AK$1:AK411,AK412)+AK412,IF(AL412&lt;&gt;"",COUNTIF($AL$1:AL411,AL412)+AL412,""))</f>
        <v/>
      </c>
      <c r="AH412" s="62" t="str">
        <f t="shared" si="156"/>
        <v/>
      </c>
      <c r="AI412" s="62" t="str">
        <f>IF(AND(J412="M", AH412&lt;&gt;"U/A",AE412=Prizewinners!$J$1),AF412,"")</f>
        <v/>
      </c>
      <c r="AJ412" s="58" t="str">
        <f>IF(AND(J412="F",  AH412&lt;&gt;"U/A",AE412=Prizewinners!$J$16),AF412,"")</f>
        <v/>
      </c>
      <c r="AK412" s="58" t="str">
        <f t="shared" si="157"/>
        <v/>
      </c>
      <c r="AL412" s="58" t="str">
        <f t="shared" si="158"/>
        <v/>
      </c>
      <c r="AM412" s="58" t="str">
        <f t="shared" si="159"/>
        <v/>
      </c>
      <c r="AN412" s="58" t="str">
        <f t="shared" si="160"/>
        <v/>
      </c>
      <c r="AO412" s="58" t="str">
        <f t="shared" si="161"/>
        <v/>
      </c>
      <c r="AP412" s="58" t="str">
        <f t="shared" si="162"/>
        <v/>
      </c>
      <c r="AQ412" s="58" t="str">
        <f t="shared" si="163"/>
        <v/>
      </c>
    </row>
    <row r="413" spans="1:43" x14ac:dyDescent="0.25">
      <c r="A413" s="12" t="str">
        <f t="shared" si="149"/>
        <v>,113</v>
      </c>
      <c r="B413" s="12" t="str">
        <f t="shared" si="150"/>
        <v>,107</v>
      </c>
      <c r="C413" s="11">
        <f t="shared" si="171"/>
        <v>412</v>
      </c>
      <c r="D413" s="171"/>
      <c r="E413" s="12">
        <f t="shared" si="148"/>
        <v>0</v>
      </c>
      <c r="F413" s="12">
        <f>COUNTIF(H$2:H413,H413)</f>
        <v>113</v>
      </c>
      <c r="G413" s="12">
        <f>COUNTIF(J$2:J413,J413)</f>
        <v>107</v>
      </c>
      <c r="H413" s="12" t="str">
        <f t="shared" si="166"/>
        <v/>
      </c>
      <c r="I413" s="50" t="str">
        <f t="shared" si="167"/>
        <v/>
      </c>
      <c r="J413" s="50" t="str">
        <f t="shared" si="168"/>
        <v/>
      </c>
      <c r="K413" s="64" t="str">
        <f t="shared" si="169"/>
        <v/>
      </c>
      <c r="L413" s="64" t="str">
        <f t="shared" si="170"/>
        <v/>
      </c>
      <c r="M413" s="171"/>
      <c r="N413" s="178"/>
      <c r="O413" s="178"/>
      <c r="P413" s="138">
        <f t="shared" si="151"/>
        <v>0</v>
      </c>
      <c r="Q413" s="137">
        <f t="shared" si="152"/>
        <v>50</v>
      </c>
      <c r="R413" s="143"/>
      <c r="S413" s="143"/>
      <c r="T413" s="143"/>
      <c r="U413" s="144"/>
      <c r="V413" s="144"/>
      <c r="W413" s="144"/>
      <c r="X413" s="145"/>
      <c r="Y413" s="152" t="str">
        <f t="shared" si="153"/>
        <v xml:space="preserve">   50.00 </v>
      </c>
      <c r="Z413" s="136"/>
      <c r="AA413" s="50" t="str">
        <f t="shared" si="164"/>
        <v/>
      </c>
      <c r="AB413" s="129" t="str">
        <f t="shared" si="165"/>
        <v/>
      </c>
      <c r="AC413" s="58" t="str">
        <f t="shared" si="154"/>
        <v/>
      </c>
      <c r="AD413" s="58" t="str">
        <f t="shared" si="155"/>
        <v/>
      </c>
      <c r="AE413" s="60" t="str">
        <f>IF(AD413="","",COUNTIF($AD$2:AD413,AD413))</f>
        <v/>
      </c>
      <c r="AF413" s="62" t="str">
        <f>IF(AD413="","",SUMIF(AD$2:AD413,AD413,G$2:G413))</f>
        <v/>
      </c>
      <c r="AG413" s="62" t="str">
        <f>IF(AK413&lt;&gt;"",COUNTIF($AK$1:AK412,AK413)+AK413,IF(AL413&lt;&gt;"",COUNTIF($AL$1:AL412,AL413)+AL413,""))</f>
        <v/>
      </c>
      <c r="AH413" s="62" t="str">
        <f t="shared" si="156"/>
        <v/>
      </c>
      <c r="AI413" s="62" t="str">
        <f>IF(AND(J413="M", AH413&lt;&gt;"U/A",AE413=Prizewinners!$J$1),AF413,"")</f>
        <v/>
      </c>
      <c r="AJ413" s="58" t="str">
        <f>IF(AND(J413="F",  AH413&lt;&gt;"U/A",AE413=Prizewinners!$J$16),AF413,"")</f>
        <v/>
      </c>
      <c r="AK413" s="58" t="str">
        <f t="shared" si="157"/>
        <v/>
      </c>
      <c r="AL413" s="58" t="str">
        <f t="shared" si="158"/>
        <v/>
      </c>
      <c r="AM413" s="58" t="str">
        <f t="shared" si="159"/>
        <v/>
      </c>
      <c r="AN413" s="58" t="str">
        <f t="shared" si="160"/>
        <v/>
      </c>
      <c r="AO413" s="58" t="str">
        <f t="shared" si="161"/>
        <v/>
      </c>
      <c r="AP413" s="58" t="str">
        <f t="shared" si="162"/>
        <v/>
      </c>
      <c r="AQ413" s="58" t="str">
        <f t="shared" si="163"/>
        <v/>
      </c>
    </row>
    <row r="414" spans="1:43" x14ac:dyDescent="0.25">
      <c r="A414" s="12" t="str">
        <f t="shared" si="149"/>
        <v>,114</v>
      </c>
      <c r="B414" s="12" t="str">
        <f t="shared" si="150"/>
        <v>,108</v>
      </c>
      <c r="C414" s="11">
        <f t="shared" si="171"/>
        <v>413</v>
      </c>
      <c r="D414" s="171"/>
      <c r="E414" s="12">
        <f t="shared" si="148"/>
        <v>0</v>
      </c>
      <c r="F414" s="12">
        <f>COUNTIF(H$2:H414,H414)</f>
        <v>114</v>
      </c>
      <c r="G414" s="12">
        <f>COUNTIF(J$2:J414,J414)</f>
        <v>108</v>
      </c>
      <c r="H414" s="12" t="str">
        <f t="shared" si="166"/>
        <v/>
      </c>
      <c r="I414" s="50" t="str">
        <f t="shared" si="167"/>
        <v/>
      </c>
      <c r="J414" s="50" t="str">
        <f t="shared" si="168"/>
        <v/>
      </c>
      <c r="K414" s="64" t="str">
        <f t="shared" si="169"/>
        <v/>
      </c>
      <c r="L414" s="64" t="str">
        <f t="shared" si="170"/>
        <v/>
      </c>
      <c r="M414" s="171"/>
      <c r="N414" s="178"/>
      <c r="O414" s="178"/>
      <c r="P414" s="138">
        <f t="shared" si="151"/>
        <v>0</v>
      </c>
      <c r="Q414" s="137">
        <f t="shared" si="152"/>
        <v>50</v>
      </c>
      <c r="R414" s="143"/>
      <c r="S414" s="143"/>
      <c r="T414" s="143"/>
      <c r="U414" s="144"/>
      <c r="V414" s="144"/>
      <c r="W414" s="144"/>
      <c r="X414" s="145"/>
      <c r="Y414" s="152" t="str">
        <f t="shared" si="153"/>
        <v xml:space="preserve">   50.00 </v>
      </c>
      <c r="Z414" s="136"/>
      <c r="AA414" s="50" t="str">
        <f t="shared" si="164"/>
        <v/>
      </c>
      <c r="AB414" s="129" t="str">
        <f t="shared" si="165"/>
        <v/>
      </c>
      <c r="AC414" s="58" t="str">
        <f t="shared" si="154"/>
        <v/>
      </c>
      <c r="AD414" s="58" t="str">
        <f t="shared" si="155"/>
        <v/>
      </c>
      <c r="AE414" s="60" t="str">
        <f>IF(AD414="","",COUNTIF($AD$2:AD414,AD414))</f>
        <v/>
      </c>
      <c r="AF414" s="62" t="str">
        <f>IF(AD414="","",SUMIF(AD$2:AD414,AD414,G$2:G414))</f>
        <v/>
      </c>
      <c r="AG414" s="62" t="str">
        <f>IF(AK414&lt;&gt;"",COUNTIF($AK$1:AK413,AK414)+AK414,IF(AL414&lt;&gt;"",COUNTIF($AL$1:AL413,AL414)+AL414,""))</f>
        <v/>
      </c>
      <c r="AH414" s="62" t="str">
        <f t="shared" si="156"/>
        <v/>
      </c>
      <c r="AI414" s="62" t="str">
        <f>IF(AND(J414="M", AH414&lt;&gt;"U/A",AE414=Prizewinners!$J$1),AF414,"")</f>
        <v/>
      </c>
      <c r="AJ414" s="58" t="str">
        <f>IF(AND(J414="F",  AH414&lt;&gt;"U/A",AE414=Prizewinners!$J$16),AF414,"")</f>
        <v/>
      </c>
      <c r="AK414" s="58" t="str">
        <f t="shared" si="157"/>
        <v/>
      </c>
      <c r="AL414" s="58" t="str">
        <f t="shared" si="158"/>
        <v/>
      </c>
      <c r="AM414" s="58" t="str">
        <f t="shared" si="159"/>
        <v/>
      </c>
      <c r="AN414" s="58" t="str">
        <f t="shared" si="160"/>
        <v/>
      </c>
      <c r="AO414" s="58" t="str">
        <f t="shared" si="161"/>
        <v/>
      </c>
      <c r="AP414" s="58" t="str">
        <f t="shared" si="162"/>
        <v/>
      </c>
      <c r="AQ414" s="58" t="str">
        <f t="shared" si="163"/>
        <v/>
      </c>
    </row>
    <row r="415" spans="1:43" x14ac:dyDescent="0.25">
      <c r="A415" s="12" t="str">
        <f t="shared" si="149"/>
        <v>,115</v>
      </c>
      <c r="B415" s="12" t="str">
        <f t="shared" si="150"/>
        <v>,109</v>
      </c>
      <c r="C415" s="11">
        <f t="shared" si="171"/>
        <v>414</v>
      </c>
      <c r="D415" s="171"/>
      <c r="E415" s="12">
        <f t="shared" si="148"/>
        <v>0</v>
      </c>
      <c r="F415" s="12">
        <f>COUNTIF(H$2:H415,H415)</f>
        <v>115</v>
      </c>
      <c r="G415" s="12">
        <f>COUNTIF(J$2:J415,J415)</f>
        <v>109</v>
      </c>
      <c r="H415" s="12" t="str">
        <f t="shared" si="166"/>
        <v/>
      </c>
      <c r="I415" s="50" t="str">
        <f t="shared" si="167"/>
        <v/>
      </c>
      <c r="J415" s="50" t="str">
        <f t="shared" si="168"/>
        <v/>
      </c>
      <c r="K415" s="64" t="str">
        <f t="shared" si="169"/>
        <v/>
      </c>
      <c r="L415" s="64" t="str">
        <f t="shared" si="170"/>
        <v/>
      </c>
      <c r="M415" s="171"/>
      <c r="N415" s="178"/>
      <c r="O415" s="178"/>
      <c r="P415" s="138">
        <f t="shared" si="151"/>
        <v>0</v>
      </c>
      <c r="Q415" s="137">
        <f t="shared" si="152"/>
        <v>50</v>
      </c>
      <c r="R415" s="143"/>
      <c r="S415" s="143"/>
      <c r="T415" s="143"/>
      <c r="U415" s="144"/>
      <c r="V415" s="144"/>
      <c r="W415" s="144"/>
      <c r="X415" s="145"/>
      <c r="Y415" s="152" t="str">
        <f t="shared" si="153"/>
        <v xml:space="preserve">   50.00 </v>
      </c>
      <c r="Z415" s="136"/>
      <c r="AA415" s="50" t="str">
        <f t="shared" si="164"/>
        <v/>
      </c>
      <c r="AB415" s="129" t="str">
        <f t="shared" si="165"/>
        <v/>
      </c>
      <c r="AC415" s="58" t="str">
        <f t="shared" si="154"/>
        <v/>
      </c>
      <c r="AD415" s="58" t="str">
        <f t="shared" si="155"/>
        <v/>
      </c>
      <c r="AE415" s="60" t="str">
        <f>IF(AD415="","",COUNTIF($AD$2:AD415,AD415))</f>
        <v/>
      </c>
      <c r="AF415" s="62" t="str">
        <f>IF(AD415="","",SUMIF(AD$2:AD415,AD415,G$2:G415))</f>
        <v/>
      </c>
      <c r="AG415" s="62" t="str">
        <f>IF(AK415&lt;&gt;"",COUNTIF($AK$1:AK414,AK415)+AK415,IF(AL415&lt;&gt;"",COUNTIF($AL$1:AL414,AL415)+AL415,""))</f>
        <v/>
      </c>
      <c r="AH415" s="62" t="str">
        <f t="shared" si="156"/>
        <v/>
      </c>
      <c r="AI415" s="62" t="str">
        <f>IF(AND(J415="M", AH415&lt;&gt;"U/A",AE415=Prizewinners!$J$1),AF415,"")</f>
        <v/>
      </c>
      <c r="AJ415" s="58" t="str">
        <f>IF(AND(J415="F",  AH415&lt;&gt;"U/A",AE415=Prizewinners!$J$16),AF415,"")</f>
        <v/>
      </c>
      <c r="AK415" s="58" t="str">
        <f t="shared" si="157"/>
        <v/>
      </c>
      <c r="AL415" s="58" t="str">
        <f t="shared" si="158"/>
        <v/>
      </c>
      <c r="AM415" s="58" t="str">
        <f t="shared" si="159"/>
        <v/>
      </c>
      <c r="AN415" s="58" t="str">
        <f t="shared" si="160"/>
        <v/>
      </c>
      <c r="AO415" s="58" t="str">
        <f t="shared" si="161"/>
        <v/>
      </c>
      <c r="AP415" s="58" t="str">
        <f t="shared" si="162"/>
        <v/>
      </c>
      <c r="AQ415" s="58" t="str">
        <f t="shared" si="163"/>
        <v/>
      </c>
    </row>
    <row r="416" spans="1:43" x14ac:dyDescent="0.25">
      <c r="A416" s="12" t="str">
        <f t="shared" si="149"/>
        <v>,116</v>
      </c>
      <c r="B416" s="12" t="str">
        <f t="shared" si="150"/>
        <v>,110</v>
      </c>
      <c r="C416" s="11">
        <f t="shared" si="171"/>
        <v>415</v>
      </c>
      <c r="D416" s="171"/>
      <c r="E416" s="12">
        <f t="shared" si="148"/>
        <v>0</v>
      </c>
      <c r="F416" s="12">
        <f>COUNTIF(H$2:H416,H416)</f>
        <v>116</v>
      </c>
      <c r="G416" s="12">
        <f>COUNTIF(J$2:J416,J416)</f>
        <v>110</v>
      </c>
      <c r="H416" s="12" t="str">
        <f t="shared" si="166"/>
        <v/>
      </c>
      <c r="I416" s="50" t="str">
        <f t="shared" si="167"/>
        <v/>
      </c>
      <c r="J416" s="50" t="str">
        <f t="shared" si="168"/>
        <v/>
      </c>
      <c r="K416" s="64" t="str">
        <f t="shared" si="169"/>
        <v/>
      </c>
      <c r="L416" s="64" t="str">
        <f t="shared" si="170"/>
        <v/>
      </c>
      <c r="M416" s="171"/>
      <c r="N416" s="178"/>
      <c r="O416" s="178"/>
      <c r="P416" s="138">
        <f t="shared" si="151"/>
        <v>0</v>
      </c>
      <c r="Q416" s="137">
        <f t="shared" si="152"/>
        <v>50</v>
      </c>
      <c r="R416" s="143"/>
      <c r="S416" s="143"/>
      <c r="T416" s="143"/>
      <c r="U416" s="144"/>
      <c r="V416" s="144"/>
      <c r="W416" s="144"/>
      <c r="X416" s="145"/>
      <c r="Y416" s="152" t="str">
        <f t="shared" si="153"/>
        <v xml:space="preserve">   50.00 </v>
      </c>
      <c r="Z416" s="136"/>
      <c r="AA416" s="50" t="str">
        <f t="shared" si="164"/>
        <v/>
      </c>
      <c r="AB416" s="129" t="str">
        <f t="shared" si="165"/>
        <v/>
      </c>
      <c r="AC416" s="58" t="str">
        <f t="shared" si="154"/>
        <v/>
      </c>
      <c r="AD416" s="58" t="str">
        <f t="shared" si="155"/>
        <v/>
      </c>
      <c r="AE416" s="60" t="str">
        <f>IF(AD416="","",COUNTIF($AD$2:AD416,AD416))</f>
        <v/>
      </c>
      <c r="AF416" s="62" t="str">
        <f>IF(AD416="","",SUMIF(AD$2:AD416,AD416,G$2:G416))</f>
        <v/>
      </c>
      <c r="AG416" s="62" t="str">
        <f>IF(AK416&lt;&gt;"",COUNTIF($AK$1:AK415,AK416)+AK416,IF(AL416&lt;&gt;"",COUNTIF($AL$1:AL415,AL416)+AL416,""))</f>
        <v/>
      </c>
      <c r="AH416" s="62" t="str">
        <f t="shared" si="156"/>
        <v/>
      </c>
      <c r="AI416" s="62" t="str">
        <f>IF(AND(J416="M", AH416&lt;&gt;"U/A",AE416=Prizewinners!$J$1),AF416,"")</f>
        <v/>
      </c>
      <c r="AJ416" s="58" t="str">
        <f>IF(AND(J416="F",  AH416&lt;&gt;"U/A",AE416=Prizewinners!$J$16),AF416,"")</f>
        <v/>
      </c>
      <c r="AK416" s="58" t="str">
        <f t="shared" si="157"/>
        <v/>
      </c>
      <c r="AL416" s="58" t="str">
        <f t="shared" si="158"/>
        <v/>
      </c>
      <c r="AM416" s="58" t="str">
        <f t="shared" si="159"/>
        <v/>
      </c>
      <c r="AN416" s="58" t="str">
        <f t="shared" si="160"/>
        <v/>
      </c>
      <c r="AO416" s="58" t="str">
        <f t="shared" si="161"/>
        <v/>
      </c>
      <c r="AP416" s="58" t="str">
        <f t="shared" si="162"/>
        <v/>
      </c>
      <c r="AQ416" s="58" t="str">
        <f t="shared" si="163"/>
        <v/>
      </c>
    </row>
    <row r="417" spans="1:43" x14ac:dyDescent="0.25">
      <c r="A417" s="12" t="str">
        <f t="shared" si="149"/>
        <v>,117</v>
      </c>
      <c r="B417" s="12" t="str">
        <f t="shared" si="150"/>
        <v>,111</v>
      </c>
      <c r="C417" s="11">
        <f t="shared" si="171"/>
        <v>416</v>
      </c>
      <c r="D417" s="171"/>
      <c r="E417" s="12">
        <f t="shared" si="148"/>
        <v>0</v>
      </c>
      <c r="F417" s="12">
        <f>COUNTIF(H$2:H417,H417)</f>
        <v>117</v>
      </c>
      <c r="G417" s="12">
        <f>COUNTIF(J$2:J417,J417)</f>
        <v>111</v>
      </c>
      <c r="H417" s="12" t="str">
        <f t="shared" si="166"/>
        <v/>
      </c>
      <c r="I417" s="50" t="str">
        <f t="shared" si="167"/>
        <v/>
      </c>
      <c r="J417" s="50" t="str">
        <f t="shared" si="168"/>
        <v/>
      </c>
      <c r="K417" s="64" t="str">
        <f t="shared" si="169"/>
        <v/>
      </c>
      <c r="L417" s="64" t="str">
        <f t="shared" si="170"/>
        <v/>
      </c>
      <c r="M417" s="171"/>
      <c r="N417" s="178"/>
      <c r="O417" s="178"/>
      <c r="P417" s="138">
        <f t="shared" si="151"/>
        <v>0</v>
      </c>
      <c r="Q417" s="137">
        <f t="shared" si="152"/>
        <v>50</v>
      </c>
      <c r="R417" s="143"/>
      <c r="S417" s="143"/>
      <c r="T417" s="143"/>
      <c r="U417" s="144"/>
      <c r="V417" s="144"/>
      <c r="W417" s="144"/>
      <c r="X417" s="145"/>
      <c r="Y417" s="152" t="str">
        <f t="shared" si="153"/>
        <v xml:space="preserve">   50.00 </v>
      </c>
      <c r="Z417" s="136"/>
      <c r="AA417" s="50" t="str">
        <f t="shared" si="164"/>
        <v/>
      </c>
      <c r="AB417" s="129" t="str">
        <f t="shared" si="165"/>
        <v/>
      </c>
      <c r="AC417" s="58" t="str">
        <f t="shared" si="154"/>
        <v/>
      </c>
      <c r="AD417" s="58" t="str">
        <f t="shared" si="155"/>
        <v/>
      </c>
      <c r="AE417" s="60" t="str">
        <f>IF(AD417="","",COUNTIF($AD$2:AD417,AD417))</f>
        <v/>
      </c>
      <c r="AF417" s="62" t="str">
        <f>IF(AD417="","",SUMIF(AD$2:AD417,AD417,G$2:G417))</f>
        <v/>
      </c>
      <c r="AG417" s="62" t="str">
        <f>IF(AK417&lt;&gt;"",COUNTIF($AK$1:AK416,AK417)+AK417,IF(AL417&lt;&gt;"",COUNTIF($AL$1:AL416,AL417)+AL417,""))</f>
        <v/>
      </c>
      <c r="AH417" s="62" t="str">
        <f t="shared" si="156"/>
        <v/>
      </c>
      <c r="AI417" s="62" t="str">
        <f>IF(AND(J417="M", AH417&lt;&gt;"U/A",AE417=Prizewinners!$J$1),AF417,"")</f>
        <v/>
      </c>
      <c r="AJ417" s="58" t="str">
        <f>IF(AND(J417="F",  AH417&lt;&gt;"U/A",AE417=Prizewinners!$J$16),AF417,"")</f>
        <v/>
      </c>
      <c r="AK417" s="58" t="str">
        <f t="shared" si="157"/>
        <v/>
      </c>
      <c r="AL417" s="58" t="str">
        <f t="shared" si="158"/>
        <v/>
      </c>
      <c r="AM417" s="58" t="str">
        <f t="shared" si="159"/>
        <v/>
      </c>
      <c r="AN417" s="58" t="str">
        <f t="shared" si="160"/>
        <v/>
      </c>
      <c r="AO417" s="58" t="str">
        <f t="shared" si="161"/>
        <v/>
      </c>
      <c r="AP417" s="58" t="str">
        <f t="shared" si="162"/>
        <v/>
      </c>
      <c r="AQ417" s="58" t="str">
        <f t="shared" si="163"/>
        <v/>
      </c>
    </row>
    <row r="418" spans="1:43" x14ac:dyDescent="0.25">
      <c r="A418" s="12" t="str">
        <f t="shared" si="149"/>
        <v>,118</v>
      </c>
      <c r="B418" s="12" t="str">
        <f t="shared" si="150"/>
        <v>,112</v>
      </c>
      <c r="C418" s="11">
        <f t="shared" si="171"/>
        <v>417</v>
      </c>
      <c r="D418" s="171"/>
      <c r="E418" s="12">
        <f t="shared" si="148"/>
        <v>0</v>
      </c>
      <c r="F418" s="12">
        <f>COUNTIF(H$2:H418,H418)</f>
        <v>118</v>
      </c>
      <c r="G418" s="12">
        <f>COUNTIF(J$2:J418,J418)</f>
        <v>112</v>
      </c>
      <c r="H418" s="12" t="str">
        <f t="shared" si="166"/>
        <v/>
      </c>
      <c r="I418" s="50" t="str">
        <f t="shared" si="167"/>
        <v/>
      </c>
      <c r="J418" s="50" t="str">
        <f t="shared" si="168"/>
        <v/>
      </c>
      <c r="K418" s="64" t="str">
        <f t="shared" si="169"/>
        <v/>
      </c>
      <c r="L418" s="64" t="str">
        <f t="shared" si="170"/>
        <v/>
      </c>
      <c r="M418" s="171"/>
      <c r="N418" s="178"/>
      <c r="O418" s="178"/>
      <c r="P418" s="138">
        <f t="shared" si="151"/>
        <v>0</v>
      </c>
      <c r="Q418" s="137">
        <f t="shared" si="152"/>
        <v>50</v>
      </c>
      <c r="R418" s="143"/>
      <c r="S418" s="143"/>
      <c r="T418" s="143"/>
      <c r="U418" s="144"/>
      <c r="V418" s="144"/>
      <c r="W418" s="144"/>
      <c r="X418" s="145"/>
      <c r="Y418" s="152" t="str">
        <f t="shared" si="153"/>
        <v xml:space="preserve">   50.00 </v>
      </c>
      <c r="Z418" s="136"/>
      <c r="AA418" s="50" t="str">
        <f t="shared" si="164"/>
        <v/>
      </c>
      <c r="AB418" s="129" t="str">
        <f t="shared" si="165"/>
        <v/>
      </c>
      <c r="AC418" s="58" t="str">
        <f t="shared" si="154"/>
        <v/>
      </c>
      <c r="AD418" s="58" t="str">
        <f t="shared" si="155"/>
        <v/>
      </c>
      <c r="AE418" s="60" t="str">
        <f>IF(AD418="","",COUNTIF($AD$2:AD418,AD418))</f>
        <v/>
      </c>
      <c r="AF418" s="62" t="str">
        <f>IF(AD418="","",SUMIF(AD$2:AD418,AD418,G$2:G418))</f>
        <v/>
      </c>
      <c r="AG418" s="62" t="str">
        <f>IF(AK418&lt;&gt;"",COUNTIF($AK$1:AK417,AK418)+AK418,IF(AL418&lt;&gt;"",COUNTIF($AL$1:AL417,AL418)+AL418,""))</f>
        <v/>
      </c>
      <c r="AH418" s="62" t="str">
        <f t="shared" si="156"/>
        <v/>
      </c>
      <c r="AI418" s="62" t="str">
        <f>IF(AND(J418="M", AH418&lt;&gt;"U/A",AE418=Prizewinners!$J$1),AF418,"")</f>
        <v/>
      </c>
      <c r="AJ418" s="58" t="str">
        <f>IF(AND(J418="F",  AH418&lt;&gt;"U/A",AE418=Prizewinners!$J$16),AF418,"")</f>
        <v/>
      </c>
      <c r="AK418" s="58" t="str">
        <f t="shared" si="157"/>
        <v/>
      </c>
      <c r="AL418" s="58" t="str">
        <f t="shared" si="158"/>
        <v/>
      </c>
      <c r="AM418" s="58" t="str">
        <f t="shared" si="159"/>
        <v/>
      </c>
      <c r="AN418" s="58" t="str">
        <f t="shared" si="160"/>
        <v/>
      </c>
      <c r="AO418" s="58" t="str">
        <f t="shared" si="161"/>
        <v/>
      </c>
      <c r="AP418" s="58" t="str">
        <f t="shared" si="162"/>
        <v/>
      </c>
      <c r="AQ418" s="58" t="str">
        <f t="shared" si="163"/>
        <v/>
      </c>
    </row>
    <row r="419" spans="1:43" x14ac:dyDescent="0.25">
      <c r="A419" s="12" t="str">
        <f t="shared" si="149"/>
        <v>,119</v>
      </c>
      <c r="B419" s="12" t="str">
        <f t="shared" si="150"/>
        <v>,113</v>
      </c>
      <c r="C419" s="11">
        <f t="shared" si="171"/>
        <v>418</v>
      </c>
      <c r="D419" s="171"/>
      <c r="E419" s="12">
        <f t="shared" si="148"/>
        <v>0</v>
      </c>
      <c r="F419" s="12">
        <f>COUNTIF(H$2:H419,H419)</f>
        <v>119</v>
      </c>
      <c r="G419" s="12">
        <f>COUNTIF(J$2:J419,J419)</f>
        <v>113</v>
      </c>
      <c r="H419" s="12" t="str">
        <f t="shared" si="166"/>
        <v/>
      </c>
      <c r="I419" s="50" t="str">
        <f t="shared" si="167"/>
        <v/>
      </c>
      <c r="J419" s="50" t="str">
        <f t="shared" si="168"/>
        <v/>
      </c>
      <c r="K419" s="64" t="str">
        <f t="shared" si="169"/>
        <v/>
      </c>
      <c r="L419" s="64" t="str">
        <f t="shared" si="170"/>
        <v/>
      </c>
      <c r="M419" s="171"/>
      <c r="N419" s="178"/>
      <c r="O419" s="178"/>
      <c r="P419" s="138">
        <f t="shared" si="151"/>
        <v>0</v>
      </c>
      <c r="Q419" s="137">
        <f t="shared" si="152"/>
        <v>50</v>
      </c>
      <c r="R419" s="143"/>
      <c r="S419" s="143"/>
      <c r="T419" s="143"/>
      <c r="U419" s="144"/>
      <c r="V419" s="144"/>
      <c r="W419" s="144"/>
      <c r="X419" s="145"/>
      <c r="Y419" s="152" t="str">
        <f t="shared" si="153"/>
        <v xml:space="preserve">   50.00 </v>
      </c>
      <c r="Z419" s="136"/>
      <c r="AA419" s="50" t="str">
        <f t="shared" si="164"/>
        <v/>
      </c>
      <c r="AB419" s="129" t="str">
        <f t="shared" si="165"/>
        <v/>
      </c>
      <c r="AC419" s="58" t="str">
        <f t="shared" si="154"/>
        <v/>
      </c>
      <c r="AD419" s="58" t="str">
        <f t="shared" si="155"/>
        <v/>
      </c>
      <c r="AE419" s="60" t="str">
        <f>IF(AD419="","",COUNTIF($AD$2:AD419,AD419))</f>
        <v/>
      </c>
      <c r="AF419" s="62" t="str">
        <f>IF(AD419="","",SUMIF(AD$2:AD419,AD419,G$2:G419))</f>
        <v/>
      </c>
      <c r="AG419" s="62" t="str">
        <f>IF(AK419&lt;&gt;"",COUNTIF($AK$1:AK418,AK419)+AK419,IF(AL419&lt;&gt;"",COUNTIF($AL$1:AL418,AL419)+AL419,""))</f>
        <v/>
      </c>
      <c r="AH419" s="62" t="str">
        <f t="shared" si="156"/>
        <v/>
      </c>
      <c r="AI419" s="62" t="str">
        <f>IF(AND(J419="M", AH419&lt;&gt;"U/A",AE419=Prizewinners!$J$1),AF419,"")</f>
        <v/>
      </c>
      <c r="AJ419" s="58" t="str">
        <f>IF(AND(J419="F",  AH419&lt;&gt;"U/A",AE419=Prizewinners!$J$16),AF419,"")</f>
        <v/>
      </c>
      <c r="AK419" s="58" t="str">
        <f t="shared" si="157"/>
        <v/>
      </c>
      <c r="AL419" s="58" t="str">
        <f t="shared" si="158"/>
        <v/>
      </c>
      <c r="AM419" s="58" t="str">
        <f t="shared" si="159"/>
        <v/>
      </c>
      <c r="AN419" s="58" t="str">
        <f t="shared" si="160"/>
        <v/>
      </c>
      <c r="AO419" s="58" t="str">
        <f t="shared" si="161"/>
        <v/>
      </c>
      <c r="AP419" s="58" t="str">
        <f t="shared" si="162"/>
        <v/>
      </c>
      <c r="AQ419" s="58" t="str">
        <f t="shared" si="163"/>
        <v/>
      </c>
    </row>
    <row r="420" spans="1:43" x14ac:dyDescent="0.25">
      <c r="A420" s="12" t="str">
        <f t="shared" si="149"/>
        <v>,120</v>
      </c>
      <c r="B420" s="12" t="str">
        <f t="shared" si="150"/>
        <v>,114</v>
      </c>
      <c r="C420" s="11">
        <f t="shared" si="171"/>
        <v>419</v>
      </c>
      <c r="D420" s="171"/>
      <c r="E420" s="12">
        <f t="shared" si="148"/>
        <v>0</v>
      </c>
      <c r="F420" s="12">
        <f>COUNTIF(H$2:H420,H420)</f>
        <v>120</v>
      </c>
      <c r="G420" s="12">
        <f>COUNTIF(J$2:J420,J420)</f>
        <v>114</v>
      </c>
      <c r="H420" s="12" t="str">
        <f t="shared" si="166"/>
        <v/>
      </c>
      <c r="I420" s="50" t="str">
        <f t="shared" si="167"/>
        <v/>
      </c>
      <c r="J420" s="50" t="str">
        <f t="shared" si="168"/>
        <v/>
      </c>
      <c r="K420" s="64" t="str">
        <f t="shared" si="169"/>
        <v/>
      </c>
      <c r="L420" s="64" t="str">
        <f t="shared" si="170"/>
        <v/>
      </c>
      <c r="M420" s="171"/>
      <c r="N420" s="178"/>
      <c r="O420" s="178"/>
      <c r="P420" s="138">
        <f t="shared" si="151"/>
        <v>0</v>
      </c>
      <c r="Q420" s="137">
        <f t="shared" si="152"/>
        <v>50</v>
      </c>
      <c r="R420" s="143"/>
      <c r="S420" s="143"/>
      <c r="T420" s="143"/>
      <c r="U420" s="144"/>
      <c r="V420" s="144"/>
      <c r="W420" s="144"/>
      <c r="X420" s="145"/>
      <c r="Y420" s="152" t="str">
        <f t="shared" si="153"/>
        <v xml:space="preserve">   50.00 </v>
      </c>
      <c r="Z420" s="136"/>
      <c r="AA420" s="50" t="str">
        <f t="shared" si="164"/>
        <v/>
      </c>
      <c r="AB420" s="129" t="str">
        <f t="shared" si="165"/>
        <v/>
      </c>
      <c r="AC420" s="58" t="str">
        <f t="shared" si="154"/>
        <v/>
      </c>
      <c r="AD420" s="58" t="str">
        <f t="shared" si="155"/>
        <v/>
      </c>
      <c r="AE420" s="60" t="str">
        <f>IF(AD420="","",COUNTIF($AD$2:AD420,AD420))</f>
        <v/>
      </c>
      <c r="AF420" s="62" t="str">
        <f>IF(AD420="","",SUMIF(AD$2:AD420,AD420,G$2:G420))</f>
        <v/>
      </c>
      <c r="AG420" s="62" t="str">
        <f>IF(AK420&lt;&gt;"",COUNTIF($AK$1:AK419,AK420)+AK420,IF(AL420&lt;&gt;"",COUNTIF($AL$1:AL419,AL420)+AL420,""))</f>
        <v/>
      </c>
      <c r="AH420" s="62" t="str">
        <f t="shared" si="156"/>
        <v/>
      </c>
      <c r="AI420" s="62" t="str">
        <f>IF(AND(J420="M", AH420&lt;&gt;"U/A",AE420=Prizewinners!$J$1),AF420,"")</f>
        <v/>
      </c>
      <c r="AJ420" s="58" t="str">
        <f>IF(AND(J420="F",  AH420&lt;&gt;"U/A",AE420=Prizewinners!$J$16),AF420,"")</f>
        <v/>
      </c>
      <c r="AK420" s="58" t="str">
        <f t="shared" si="157"/>
        <v/>
      </c>
      <c r="AL420" s="58" t="str">
        <f t="shared" si="158"/>
        <v/>
      </c>
      <c r="AM420" s="58" t="str">
        <f t="shared" si="159"/>
        <v/>
      </c>
      <c r="AN420" s="58" t="str">
        <f t="shared" si="160"/>
        <v/>
      </c>
      <c r="AO420" s="58" t="str">
        <f t="shared" si="161"/>
        <v/>
      </c>
      <c r="AP420" s="58" t="str">
        <f t="shared" si="162"/>
        <v/>
      </c>
      <c r="AQ420" s="58" t="str">
        <f t="shared" si="163"/>
        <v/>
      </c>
    </row>
    <row r="421" spans="1:43" x14ac:dyDescent="0.25">
      <c r="A421" s="12" t="str">
        <f t="shared" si="149"/>
        <v>,121</v>
      </c>
      <c r="B421" s="12" t="str">
        <f t="shared" si="150"/>
        <v>,115</v>
      </c>
      <c r="C421" s="11">
        <f t="shared" si="171"/>
        <v>420</v>
      </c>
      <c r="D421" s="171"/>
      <c r="E421" s="12">
        <f t="shared" si="148"/>
        <v>0</v>
      </c>
      <c r="F421" s="12">
        <f>COUNTIF(H$2:H421,H421)</f>
        <v>121</v>
      </c>
      <c r="G421" s="12">
        <f>COUNTIF(J$2:J421,J421)</f>
        <v>115</v>
      </c>
      <c r="H421" s="12" t="str">
        <f t="shared" si="166"/>
        <v/>
      </c>
      <c r="I421" s="50" t="str">
        <f t="shared" si="167"/>
        <v/>
      </c>
      <c r="J421" s="50" t="str">
        <f t="shared" si="168"/>
        <v/>
      </c>
      <c r="K421" s="64" t="str">
        <f t="shared" si="169"/>
        <v/>
      </c>
      <c r="L421" s="64" t="str">
        <f t="shared" si="170"/>
        <v/>
      </c>
      <c r="M421" s="171"/>
      <c r="N421" s="178"/>
      <c r="O421" s="178"/>
      <c r="P421" s="138">
        <f t="shared" si="151"/>
        <v>0</v>
      </c>
      <c r="Q421" s="137">
        <f t="shared" si="152"/>
        <v>50</v>
      </c>
      <c r="R421" s="143"/>
      <c r="S421" s="143"/>
      <c r="T421" s="143"/>
      <c r="U421" s="144"/>
      <c r="V421" s="144"/>
      <c r="W421" s="144"/>
      <c r="X421" s="145"/>
      <c r="Y421" s="152" t="str">
        <f t="shared" si="153"/>
        <v xml:space="preserve">   50.00 </v>
      </c>
      <c r="Z421" s="136"/>
      <c r="AA421" s="50" t="str">
        <f t="shared" si="164"/>
        <v/>
      </c>
      <c r="AB421" s="129" t="str">
        <f t="shared" si="165"/>
        <v/>
      </c>
      <c r="AC421" s="58" t="str">
        <f t="shared" si="154"/>
        <v/>
      </c>
      <c r="AD421" s="58" t="str">
        <f t="shared" si="155"/>
        <v/>
      </c>
      <c r="AE421" s="60" t="str">
        <f>IF(AD421="","",COUNTIF($AD$2:AD421,AD421))</f>
        <v/>
      </c>
      <c r="AF421" s="62" t="str">
        <f>IF(AD421="","",SUMIF(AD$2:AD421,AD421,G$2:G421))</f>
        <v/>
      </c>
      <c r="AG421" s="62" t="str">
        <f>IF(AK421&lt;&gt;"",COUNTIF($AK$1:AK420,AK421)+AK421,IF(AL421&lt;&gt;"",COUNTIF($AL$1:AL420,AL421)+AL421,""))</f>
        <v/>
      </c>
      <c r="AH421" s="62" t="str">
        <f t="shared" si="156"/>
        <v/>
      </c>
      <c r="AI421" s="62" t="str">
        <f>IF(AND(J421="M", AH421&lt;&gt;"U/A",AE421=Prizewinners!$J$1),AF421,"")</f>
        <v/>
      </c>
      <c r="AJ421" s="58" t="str">
        <f>IF(AND(J421="F",  AH421&lt;&gt;"U/A",AE421=Prizewinners!$J$16),AF421,"")</f>
        <v/>
      </c>
      <c r="AK421" s="58" t="str">
        <f t="shared" si="157"/>
        <v/>
      </c>
      <c r="AL421" s="58" t="str">
        <f t="shared" si="158"/>
        <v/>
      </c>
      <c r="AM421" s="58" t="str">
        <f t="shared" si="159"/>
        <v/>
      </c>
      <c r="AN421" s="58" t="str">
        <f t="shared" si="160"/>
        <v/>
      </c>
      <c r="AO421" s="58" t="str">
        <f t="shared" si="161"/>
        <v/>
      </c>
      <c r="AP421" s="58" t="str">
        <f t="shared" si="162"/>
        <v/>
      </c>
      <c r="AQ421" s="58" t="str">
        <f t="shared" si="163"/>
        <v/>
      </c>
    </row>
    <row r="422" spans="1:43" x14ac:dyDescent="0.25">
      <c r="A422" s="12" t="str">
        <f t="shared" si="149"/>
        <v>,122</v>
      </c>
      <c r="B422" s="12" t="str">
        <f t="shared" si="150"/>
        <v>,116</v>
      </c>
      <c r="C422" s="11">
        <f t="shared" si="171"/>
        <v>421</v>
      </c>
      <c r="D422" s="171"/>
      <c r="E422" s="12">
        <f t="shared" si="148"/>
        <v>0</v>
      </c>
      <c r="F422" s="12">
        <f>COUNTIF(H$2:H422,H422)</f>
        <v>122</v>
      </c>
      <c r="G422" s="12">
        <f>COUNTIF(J$2:J422,J422)</f>
        <v>116</v>
      </c>
      <c r="H422" s="12" t="str">
        <f t="shared" si="166"/>
        <v/>
      </c>
      <c r="I422" s="50" t="str">
        <f t="shared" si="167"/>
        <v/>
      </c>
      <c r="J422" s="50" t="str">
        <f t="shared" si="168"/>
        <v/>
      </c>
      <c r="K422" s="64" t="str">
        <f t="shared" si="169"/>
        <v/>
      </c>
      <c r="L422" s="64" t="str">
        <f t="shared" si="170"/>
        <v/>
      </c>
      <c r="M422" s="171"/>
      <c r="N422" s="178"/>
      <c r="O422" s="178"/>
      <c r="P422" s="138">
        <f t="shared" si="151"/>
        <v>0</v>
      </c>
      <c r="Q422" s="137">
        <f t="shared" si="152"/>
        <v>50</v>
      </c>
      <c r="R422" s="143"/>
      <c r="S422" s="143"/>
      <c r="T422" s="143"/>
      <c r="U422" s="144"/>
      <c r="V422" s="144"/>
      <c r="W422" s="144"/>
      <c r="X422" s="145"/>
      <c r="Y422" s="152" t="str">
        <f t="shared" si="153"/>
        <v xml:space="preserve">   50.00 </v>
      </c>
      <c r="Z422" s="136"/>
      <c r="AA422" s="50" t="str">
        <f t="shared" si="164"/>
        <v/>
      </c>
      <c r="AB422" s="129" t="str">
        <f t="shared" si="165"/>
        <v/>
      </c>
      <c r="AC422" s="58" t="str">
        <f t="shared" si="154"/>
        <v/>
      </c>
      <c r="AD422" s="58" t="str">
        <f t="shared" si="155"/>
        <v/>
      </c>
      <c r="AE422" s="60" t="str">
        <f>IF(AD422="","",COUNTIF($AD$2:AD422,AD422))</f>
        <v/>
      </c>
      <c r="AF422" s="62" t="str">
        <f>IF(AD422="","",SUMIF(AD$2:AD422,AD422,G$2:G422))</f>
        <v/>
      </c>
      <c r="AG422" s="62" t="str">
        <f>IF(AK422&lt;&gt;"",COUNTIF($AK$1:AK421,AK422)+AK422,IF(AL422&lt;&gt;"",COUNTIF($AL$1:AL421,AL422)+AL422,""))</f>
        <v/>
      </c>
      <c r="AH422" s="62" t="str">
        <f t="shared" si="156"/>
        <v/>
      </c>
      <c r="AI422" s="62" t="str">
        <f>IF(AND(J422="M", AH422&lt;&gt;"U/A",AE422=Prizewinners!$J$1),AF422,"")</f>
        <v/>
      </c>
      <c r="AJ422" s="58" t="str">
        <f>IF(AND(J422="F",  AH422&lt;&gt;"U/A",AE422=Prizewinners!$J$16),AF422,"")</f>
        <v/>
      </c>
      <c r="AK422" s="58" t="str">
        <f t="shared" si="157"/>
        <v/>
      </c>
      <c r="AL422" s="58" t="str">
        <f t="shared" si="158"/>
        <v/>
      </c>
      <c r="AM422" s="58" t="str">
        <f t="shared" si="159"/>
        <v/>
      </c>
      <c r="AN422" s="58" t="str">
        <f t="shared" si="160"/>
        <v/>
      </c>
      <c r="AO422" s="58" t="str">
        <f t="shared" si="161"/>
        <v/>
      </c>
      <c r="AP422" s="58" t="str">
        <f t="shared" si="162"/>
        <v/>
      </c>
      <c r="AQ422" s="58" t="str">
        <f t="shared" si="163"/>
        <v/>
      </c>
    </row>
    <row r="423" spans="1:43" x14ac:dyDescent="0.25">
      <c r="A423" s="12" t="str">
        <f t="shared" si="149"/>
        <v>,123</v>
      </c>
      <c r="B423" s="12" t="str">
        <f t="shared" si="150"/>
        <v>,117</v>
      </c>
      <c r="C423" s="11">
        <f t="shared" si="171"/>
        <v>422</v>
      </c>
      <c r="D423" s="171"/>
      <c r="E423" s="12">
        <f t="shared" si="148"/>
        <v>0</v>
      </c>
      <c r="F423" s="12">
        <f>COUNTIF(H$2:H423,H423)</f>
        <v>123</v>
      </c>
      <c r="G423" s="12">
        <f>COUNTIF(J$2:J423,J423)</f>
        <v>117</v>
      </c>
      <c r="H423" s="12" t="str">
        <f t="shared" si="166"/>
        <v/>
      </c>
      <c r="I423" s="50" t="str">
        <f t="shared" si="167"/>
        <v/>
      </c>
      <c r="J423" s="50" t="str">
        <f t="shared" si="168"/>
        <v/>
      </c>
      <c r="K423" s="64" t="str">
        <f t="shared" si="169"/>
        <v/>
      </c>
      <c r="L423" s="64" t="str">
        <f t="shared" si="170"/>
        <v/>
      </c>
      <c r="M423" s="171"/>
      <c r="N423" s="178"/>
      <c r="O423" s="178"/>
      <c r="P423" s="138">
        <f t="shared" si="151"/>
        <v>0</v>
      </c>
      <c r="Q423" s="137">
        <f t="shared" si="152"/>
        <v>50</v>
      </c>
      <c r="R423" s="143"/>
      <c r="S423" s="143"/>
      <c r="T423" s="143"/>
      <c r="U423" s="144"/>
      <c r="V423" s="144"/>
      <c r="W423" s="144"/>
      <c r="X423" s="145"/>
      <c r="Y423" s="152" t="str">
        <f t="shared" si="153"/>
        <v xml:space="preserve">   50.00 </v>
      </c>
      <c r="Z423" s="136"/>
      <c r="AA423" s="50" t="str">
        <f t="shared" si="164"/>
        <v/>
      </c>
      <c r="AB423" s="129" t="str">
        <f t="shared" si="165"/>
        <v/>
      </c>
      <c r="AC423" s="58" t="str">
        <f t="shared" si="154"/>
        <v/>
      </c>
      <c r="AD423" s="58" t="str">
        <f t="shared" si="155"/>
        <v/>
      </c>
      <c r="AE423" s="60" t="str">
        <f>IF(AD423="","",COUNTIF($AD$2:AD423,AD423))</f>
        <v/>
      </c>
      <c r="AF423" s="62" t="str">
        <f>IF(AD423="","",SUMIF(AD$2:AD423,AD423,G$2:G423))</f>
        <v/>
      </c>
      <c r="AG423" s="62" t="str">
        <f>IF(AK423&lt;&gt;"",COUNTIF($AK$1:AK422,AK423)+AK423,IF(AL423&lt;&gt;"",COUNTIF($AL$1:AL422,AL423)+AL423,""))</f>
        <v/>
      </c>
      <c r="AH423" s="62" t="str">
        <f t="shared" si="156"/>
        <v/>
      </c>
      <c r="AI423" s="62" t="str">
        <f>IF(AND(J423="M", AH423&lt;&gt;"U/A",AE423=Prizewinners!$J$1),AF423,"")</f>
        <v/>
      </c>
      <c r="AJ423" s="58" t="str">
        <f>IF(AND(J423="F",  AH423&lt;&gt;"U/A",AE423=Prizewinners!$J$16),AF423,"")</f>
        <v/>
      </c>
      <c r="AK423" s="58" t="str">
        <f t="shared" si="157"/>
        <v/>
      </c>
      <c r="AL423" s="58" t="str">
        <f t="shared" si="158"/>
        <v/>
      </c>
      <c r="AM423" s="58" t="str">
        <f t="shared" si="159"/>
        <v/>
      </c>
      <c r="AN423" s="58" t="str">
        <f t="shared" si="160"/>
        <v/>
      </c>
      <c r="AO423" s="58" t="str">
        <f t="shared" si="161"/>
        <v/>
      </c>
      <c r="AP423" s="58" t="str">
        <f t="shared" si="162"/>
        <v/>
      </c>
      <c r="AQ423" s="58" t="str">
        <f t="shared" si="163"/>
        <v/>
      </c>
    </row>
    <row r="424" spans="1:43" x14ac:dyDescent="0.25">
      <c r="A424" s="12" t="str">
        <f t="shared" si="149"/>
        <v>,124</v>
      </c>
      <c r="B424" s="12" t="str">
        <f t="shared" si="150"/>
        <v>,118</v>
      </c>
      <c r="C424" s="11">
        <f t="shared" si="171"/>
        <v>423</v>
      </c>
      <c r="D424" s="171"/>
      <c r="E424" s="12">
        <f t="shared" si="148"/>
        <v>0</v>
      </c>
      <c r="F424" s="12">
        <f>COUNTIF(H$2:H424,H424)</f>
        <v>124</v>
      </c>
      <c r="G424" s="12">
        <f>COUNTIF(J$2:J424,J424)</f>
        <v>118</v>
      </c>
      <c r="H424" s="12" t="str">
        <f t="shared" si="166"/>
        <v/>
      </c>
      <c r="I424" s="50" t="str">
        <f t="shared" si="167"/>
        <v/>
      </c>
      <c r="J424" s="50" t="str">
        <f t="shared" si="168"/>
        <v/>
      </c>
      <c r="K424" s="64" t="str">
        <f t="shared" si="169"/>
        <v/>
      </c>
      <c r="L424" s="64" t="str">
        <f t="shared" si="170"/>
        <v/>
      </c>
      <c r="M424" s="171"/>
      <c r="N424" s="178"/>
      <c r="O424" s="178"/>
      <c r="P424" s="138">
        <f t="shared" si="151"/>
        <v>0</v>
      </c>
      <c r="Q424" s="137">
        <f t="shared" si="152"/>
        <v>50</v>
      </c>
      <c r="R424" s="143"/>
      <c r="S424" s="143"/>
      <c r="T424" s="143"/>
      <c r="U424" s="144"/>
      <c r="V424" s="144"/>
      <c r="W424" s="144"/>
      <c r="X424" s="145"/>
      <c r="Y424" s="152" t="str">
        <f t="shared" si="153"/>
        <v xml:space="preserve">   50.00 </v>
      </c>
      <c r="Z424" s="136"/>
      <c r="AA424" s="50" t="str">
        <f t="shared" si="164"/>
        <v/>
      </c>
      <c r="AB424" s="129" t="str">
        <f t="shared" si="165"/>
        <v/>
      </c>
      <c r="AC424" s="58" t="str">
        <f t="shared" si="154"/>
        <v/>
      </c>
      <c r="AD424" s="58" t="str">
        <f t="shared" si="155"/>
        <v/>
      </c>
      <c r="AE424" s="60" t="str">
        <f>IF(AD424="","",COUNTIF($AD$2:AD424,AD424))</f>
        <v/>
      </c>
      <c r="AF424" s="62" t="str">
        <f>IF(AD424="","",SUMIF(AD$2:AD424,AD424,G$2:G424))</f>
        <v/>
      </c>
      <c r="AG424" s="62" t="str">
        <f>IF(AK424&lt;&gt;"",COUNTIF($AK$1:AK423,AK424)+AK424,IF(AL424&lt;&gt;"",COUNTIF($AL$1:AL423,AL424)+AL424,""))</f>
        <v/>
      </c>
      <c r="AH424" s="62" t="str">
        <f t="shared" si="156"/>
        <v/>
      </c>
      <c r="AI424" s="62" t="str">
        <f>IF(AND(J424="M", AH424&lt;&gt;"U/A",AE424=Prizewinners!$J$1),AF424,"")</f>
        <v/>
      </c>
      <c r="AJ424" s="58" t="str">
        <f>IF(AND(J424="F",  AH424&lt;&gt;"U/A",AE424=Prizewinners!$J$16),AF424,"")</f>
        <v/>
      </c>
      <c r="AK424" s="58" t="str">
        <f t="shared" si="157"/>
        <v/>
      </c>
      <c r="AL424" s="58" t="str">
        <f t="shared" si="158"/>
        <v/>
      </c>
      <c r="AM424" s="58" t="str">
        <f t="shared" si="159"/>
        <v/>
      </c>
      <c r="AN424" s="58" t="str">
        <f t="shared" si="160"/>
        <v/>
      </c>
      <c r="AO424" s="58" t="str">
        <f t="shared" si="161"/>
        <v/>
      </c>
      <c r="AP424" s="58" t="str">
        <f t="shared" si="162"/>
        <v/>
      </c>
      <c r="AQ424" s="58" t="str">
        <f t="shared" si="163"/>
        <v/>
      </c>
    </row>
    <row r="425" spans="1:43" x14ac:dyDescent="0.25">
      <c r="A425" s="12" t="str">
        <f t="shared" si="149"/>
        <v>,125</v>
      </c>
      <c r="B425" s="12" t="str">
        <f t="shared" si="150"/>
        <v>,119</v>
      </c>
      <c r="C425" s="11">
        <f t="shared" si="171"/>
        <v>424</v>
      </c>
      <c r="D425" s="171"/>
      <c r="E425" s="12">
        <f t="shared" si="148"/>
        <v>0</v>
      </c>
      <c r="F425" s="12">
        <f>COUNTIF(H$2:H425,H425)</f>
        <v>125</v>
      </c>
      <c r="G425" s="12">
        <f>COUNTIF(J$2:J425,J425)</f>
        <v>119</v>
      </c>
      <c r="H425" s="12" t="str">
        <f t="shared" si="166"/>
        <v/>
      </c>
      <c r="I425" s="50" t="str">
        <f t="shared" si="167"/>
        <v/>
      </c>
      <c r="J425" s="50" t="str">
        <f t="shared" si="168"/>
        <v/>
      </c>
      <c r="K425" s="64" t="str">
        <f t="shared" si="169"/>
        <v/>
      </c>
      <c r="L425" s="64" t="str">
        <f t="shared" si="170"/>
        <v/>
      </c>
      <c r="M425" s="171"/>
      <c r="N425" s="178"/>
      <c r="O425" s="178"/>
      <c r="P425" s="138">
        <f t="shared" si="151"/>
        <v>0</v>
      </c>
      <c r="Q425" s="137">
        <f t="shared" si="152"/>
        <v>50</v>
      </c>
      <c r="R425" s="143"/>
      <c r="S425" s="143"/>
      <c r="T425" s="143"/>
      <c r="U425" s="144"/>
      <c r="V425" s="144"/>
      <c r="W425" s="144"/>
      <c r="X425" s="145"/>
      <c r="Y425" s="152" t="str">
        <f t="shared" si="153"/>
        <v xml:space="preserve">   50.00 </v>
      </c>
      <c r="Z425" s="136"/>
      <c r="AA425" s="50" t="str">
        <f t="shared" si="164"/>
        <v/>
      </c>
      <c r="AB425" s="129" t="str">
        <f t="shared" si="165"/>
        <v/>
      </c>
      <c r="AC425" s="58" t="str">
        <f t="shared" si="154"/>
        <v/>
      </c>
      <c r="AD425" s="58" t="str">
        <f t="shared" si="155"/>
        <v/>
      </c>
      <c r="AE425" s="60" t="str">
        <f>IF(AD425="","",COUNTIF($AD$2:AD425,AD425))</f>
        <v/>
      </c>
      <c r="AF425" s="62" t="str">
        <f>IF(AD425="","",SUMIF(AD$2:AD425,AD425,G$2:G425))</f>
        <v/>
      </c>
      <c r="AG425" s="62" t="str">
        <f>IF(AK425&lt;&gt;"",COUNTIF($AK$1:AK424,AK425)+AK425,IF(AL425&lt;&gt;"",COUNTIF($AL$1:AL424,AL425)+AL425,""))</f>
        <v/>
      </c>
      <c r="AH425" s="62" t="str">
        <f t="shared" si="156"/>
        <v/>
      </c>
      <c r="AI425" s="62" t="str">
        <f>IF(AND(J425="M", AH425&lt;&gt;"U/A",AE425=Prizewinners!$J$1),AF425,"")</f>
        <v/>
      </c>
      <c r="AJ425" s="58" t="str">
        <f>IF(AND(J425="F",  AH425&lt;&gt;"U/A",AE425=Prizewinners!$J$16),AF425,"")</f>
        <v/>
      </c>
      <c r="AK425" s="58" t="str">
        <f t="shared" si="157"/>
        <v/>
      </c>
      <c r="AL425" s="58" t="str">
        <f t="shared" si="158"/>
        <v/>
      </c>
      <c r="AM425" s="58" t="str">
        <f t="shared" si="159"/>
        <v/>
      </c>
      <c r="AN425" s="58" t="str">
        <f t="shared" si="160"/>
        <v/>
      </c>
      <c r="AO425" s="58" t="str">
        <f t="shared" si="161"/>
        <v/>
      </c>
      <c r="AP425" s="58" t="str">
        <f t="shared" si="162"/>
        <v/>
      </c>
      <c r="AQ425" s="58" t="str">
        <f t="shared" si="163"/>
        <v/>
      </c>
    </row>
    <row r="426" spans="1:43" x14ac:dyDescent="0.25">
      <c r="A426" s="12" t="str">
        <f t="shared" si="149"/>
        <v>,126</v>
      </c>
      <c r="B426" s="12" t="str">
        <f t="shared" si="150"/>
        <v>,120</v>
      </c>
      <c r="C426" s="11">
        <f t="shared" si="171"/>
        <v>425</v>
      </c>
      <c r="D426" s="171"/>
      <c r="E426" s="12">
        <f t="shared" si="148"/>
        <v>0</v>
      </c>
      <c r="F426" s="12">
        <f>COUNTIF(H$2:H426,H426)</f>
        <v>126</v>
      </c>
      <c r="G426" s="12">
        <f>COUNTIF(J$2:J426,J426)</f>
        <v>120</v>
      </c>
      <c r="H426" s="12" t="str">
        <f t="shared" si="166"/>
        <v/>
      </c>
      <c r="I426" s="50" t="str">
        <f t="shared" si="167"/>
        <v/>
      </c>
      <c r="J426" s="50" t="str">
        <f t="shared" si="168"/>
        <v/>
      </c>
      <c r="K426" s="64" t="str">
        <f t="shared" si="169"/>
        <v/>
      </c>
      <c r="L426" s="64" t="str">
        <f t="shared" si="170"/>
        <v/>
      </c>
      <c r="M426" s="171"/>
      <c r="N426" s="178"/>
      <c r="O426" s="178"/>
      <c r="P426" s="138">
        <f t="shared" si="151"/>
        <v>0</v>
      </c>
      <c r="Q426" s="137">
        <f t="shared" si="152"/>
        <v>50</v>
      </c>
      <c r="R426" s="143"/>
      <c r="S426" s="143"/>
      <c r="T426" s="143"/>
      <c r="U426" s="144"/>
      <c r="V426" s="144"/>
      <c r="W426" s="144"/>
      <c r="X426" s="145"/>
      <c r="Y426" s="152" t="str">
        <f t="shared" si="153"/>
        <v xml:space="preserve">   50.00 </v>
      </c>
      <c r="Z426" s="136"/>
      <c r="AA426" s="50" t="str">
        <f t="shared" si="164"/>
        <v/>
      </c>
      <c r="AB426" s="129" t="str">
        <f t="shared" si="165"/>
        <v/>
      </c>
      <c r="AC426" s="58" t="str">
        <f t="shared" si="154"/>
        <v/>
      </c>
      <c r="AD426" s="58" t="str">
        <f t="shared" si="155"/>
        <v/>
      </c>
      <c r="AE426" s="60" t="str">
        <f>IF(AD426="","",COUNTIF($AD$2:AD426,AD426))</f>
        <v/>
      </c>
      <c r="AF426" s="62" t="str">
        <f>IF(AD426="","",SUMIF(AD$2:AD426,AD426,G$2:G426))</f>
        <v/>
      </c>
      <c r="AG426" s="62" t="str">
        <f>IF(AK426&lt;&gt;"",COUNTIF($AK$1:AK425,AK426)+AK426,IF(AL426&lt;&gt;"",COUNTIF($AL$1:AL425,AL426)+AL426,""))</f>
        <v/>
      </c>
      <c r="AH426" s="62" t="str">
        <f t="shared" si="156"/>
        <v/>
      </c>
      <c r="AI426" s="62" t="str">
        <f>IF(AND(J426="M", AH426&lt;&gt;"U/A",AE426=Prizewinners!$J$1),AF426,"")</f>
        <v/>
      </c>
      <c r="AJ426" s="58" t="str">
        <f>IF(AND(J426="F",  AH426&lt;&gt;"U/A",AE426=Prizewinners!$J$16),AF426,"")</f>
        <v/>
      </c>
      <c r="AK426" s="58" t="str">
        <f t="shared" si="157"/>
        <v/>
      </c>
      <c r="AL426" s="58" t="str">
        <f t="shared" si="158"/>
        <v/>
      </c>
      <c r="AM426" s="58" t="str">
        <f t="shared" si="159"/>
        <v/>
      </c>
      <c r="AN426" s="58" t="str">
        <f t="shared" si="160"/>
        <v/>
      </c>
      <c r="AO426" s="58" t="str">
        <f t="shared" si="161"/>
        <v/>
      </c>
      <c r="AP426" s="58" t="str">
        <f t="shared" si="162"/>
        <v/>
      </c>
      <c r="AQ426" s="58" t="str">
        <f t="shared" si="163"/>
        <v/>
      </c>
    </row>
    <row r="427" spans="1:43" x14ac:dyDescent="0.25">
      <c r="A427" s="12" t="str">
        <f t="shared" si="149"/>
        <v>,127</v>
      </c>
      <c r="B427" s="12" t="str">
        <f t="shared" si="150"/>
        <v>,121</v>
      </c>
      <c r="C427" s="11">
        <f t="shared" si="171"/>
        <v>426</v>
      </c>
      <c r="D427" s="171"/>
      <c r="E427" s="12">
        <f t="shared" si="148"/>
        <v>0</v>
      </c>
      <c r="F427" s="12">
        <f>COUNTIF(H$2:H427,H427)</f>
        <v>127</v>
      </c>
      <c r="G427" s="12">
        <f>COUNTIF(J$2:J427,J427)</f>
        <v>121</v>
      </c>
      <c r="H427" s="12" t="str">
        <f t="shared" si="166"/>
        <v/>
      </c>
      <c r="I427" s="50" t="str">
        <f t="shared" si="167"/>
        <v/>
      </c>
      <c r="J427" s="50" t="str">
        <f t="shared" si="168"/>
        <v/>
      </c>
      <c r="K427" s="64" t="str">
        <f t="shared" si="169"/>
        <v/>
      </c>
      <c r="L427" s="64" t="str">
        <f t="shared" si="170"/>
        <v/>
      </c>
      <c r="M427" s="171"/>
      <c r="N427" s="178"/>
      <c r="O427" s="178"/>
      <c r="P427" s="138">
        <f t="shared" si="151"/>
        <v>0</v>
      </c>
      <c r="Q427" s="137">
        <f t="shared" si="152"/>
        <v>50</v>
      </c>
      <c r="R427" s="143"/>
      <c r="S427" s="143"/>
      <c r="T427" s="143"/>
      <c r="U427" s="144"/>
      <c r="V427" s="144"/>
      <c r="W427" s="144"/>
      <c r="X427" s="145"/>
      <c r="Y427" s="152" t="str">
        <f t="shared" si="153"/>
        <v xml:space="preserve">   50.00 </v>
      </c>
      <c r="Z427" s="136"/>
      <c r="AA427" s="50" t="str">
        <f t="shared" si="164"/>
        <v/>
      </c>
      <c r="AB427" s="129" t="str">
        <f t="shared" si="165"/>
        <v/>
      </c>
      <c r="AC427" s="58" t="str">
        <f t="shared" si="154"/>
        <v/>
      </c>
      <c r="AD427" s="58" t="str">
        <f t="shared" si="155"/>
        <v/>
      </c>
      <c r="AE427" s="60" t="str">
        <f>IF(AD427="","",COUNTIF($AD$2:AD427,AD427))</f>
        <v/>
      </c>
      <c r="AF427" s="62" t="str">
        <f>IF(AD427="","",SUMIF(AD$2:AD427,AD427,G$2:G427))</f>
        <v/>
      </c>
      <c r="AG427" s="62" t="str">
        <f>IF(AK427&lt;&gt;"",COUNTIF($AK$1:AK426,AK427)+AK427,IF(AL427&lt;&gt;"",COUNTIF($AL$1:AL426,AL427)+AL427,""))</f>
        <v/>
      </c>
      <c r="AH427" s="62" t="str">
        <f t="shared" si="156"/>
        <v/>
      </c>
      <c r="AI427" s="62" t="str">
        <f>IF(AND(J427="M", AH427&lt;&gt;"U/A",AE427=Prizewinners!$J$1),AF427,"")</f>
        <v/>
      </c>
      <c r="AJ427" s="58" t="str">
        <f>IF(AND(J427="F",  AH427&lt;&gt;"U/A",AE427=Prizewinners!$J$16),AF427,"")</f>
        <v/>
      </c>
      <c r="AK427" s="58" t="str">
        <f t="shared" si="157"/>
        <v/>
      </c>
      <c r="AL427" s="58" t="str">
        <f t="shared" si="158"/>
        <v/>
      </c>
      <c r="AM427" s="58" t="str">
        <f t="shared" si="159"/>
        <v/>
      </c>
      <c r="AN427" s="58" t="str">
        <f t="shared" si="160"/>
        <v/>
      </c>
      <c r="AO427" s="58" t="str">
        <f t="shared" si="161"/>
        <v/>
      </c>
      <c r="AP427" s="58" t="str">
        <f t="shared" si="162"/>
        <v/>
      </c>
      <c r="AQ427" s="58" t="str">
        <f t="shared" si="163"/>
        <v/>
      </c>
    </row>
    <row r="428" spans="1:43" x14ac:dyDescent="0.25">
      <c r="A428" s="12" t="str">
        <f t="shared" si="149"/>
        <v>,128</v>
      </c>
      <c r="B428" s="12" t="str">
        <f t="shared" si="150"/>
        <v>,122</v>
      </c>
      <c r="C428" s="11">
        <f t="shared" si="171"/>
        <v>427</v>
      </c>
      <c r="D428" s="171"/>
      <c r="E428" s="12">
        <f t="shared" si="148"/>
        <v>0</v>
      </c>
      <c r="F428" s="12">
        <f>COUNTIF(H$2:H428,H428)</f>
        <v>128</v>
      </c>
      <c r="G428" s="12">
        <f>COUNTIF(J$2:J428,J428)</f>
        <v>122</v>
      </c>
      <c r="H428" s="12" t="str">
        <f t="shared" si="166"/>
        <v/>
      </c>
      <c r="I428" s="50" t="str">
        <f t="shared" si="167"/>
        <v/>
      </c>
      <c r="J428" s="50" t="str">
        <f t="shared" si="168"/>
        <v/>
      </c>
      <c r="K428" s="64" t="str">
        <f t="shared" si="169"/>
        <v/>
      </c>
      <c r="L428" s="64" t="str">
        <f t="shared" si="170"/>
        <v/>
      </c>
      <c r="M428" s="171"/>
      <c r="N428" s="178"/>
      <c r="O428" s="178"/>
      <c r="P428" s="138">
        <f t="shared" si="151"/>
        <v>0</v>
      </c>
      <c r="Q428" s="137">
        <f t="shared" si="152"/>
        <v>50</v>
      </c>
      <c r="R428" s="143"/>
      <c r="S428" s="143"/>
      <c r="T428" s="143"/>
      <c r="U428" s="144"/>
      <c r="V428" s="144"/>
      <c r="W428" s="144"/>
      <c r="X428" s="145"/>
      <c r="Y428" s="152" t="str">
        <f t="shared" si="153"/>
        <v xml:space="preserve">   50.00 </v>
      </c>
      <c r="Z428" s="136"/>
      <c r="AA428" s="50" t="str">
        <f t="shared" si="164"/>
        <v/>
      </c>
      <c r="AB428" s="129" t="str">
        <f t="shared" si="165"/>
        <v/>
      </c>
      <c r="AC428" s="58" t="str">
        <f t="shared" si="154"/>
        <v/>
      </c>
      <c r="AD428" s="58" t="str">
        <f t="shared" si="155"/>
        <v/>
      </c>
      <c r="AE428" s="60" t="str">
        <f>IF(AD428="","",COUNTIF($AD$2:AD428,AD428))</f>
        <v/>
      </c>
      <c r="AF428" s="62" t="str">
        <f>IF(AD428="","",SUMIF(AD$2:AD428,AD428,G$2:G428))</f>
        <v/>
      </c>
      <c r="AG428" s="62" t="str">
        <f>IF(AK428&lt;&gt;"",COUNTIF($AK$1:AK427,AK428)+AK428,IF(AL428&lt;&gt;"",COUNTIF($AL$1:AL427,AL428)+AL428,""))</f>
        <v/>
      </c>
      <c r="AH428" s="62" t="str">
        <f t="shared" si="156"/>
        <v/>
      </c>
      <c r="AI428" s="62" t="str">
        <f>IF(AND(J428="M", AH428&lt;&gt;"U/A",AE428=Prizewinners!$J$1),AF428,"")</f>
        <v/>
      </c>
      <c r="AJ428" s="58" t="str">
        <f>IF(AND(J428="F",  AH428&lt;&gt;"U/A",AE428=Prizewinners!$J$16),AF428,"")</f>
        <v/>
      </c>
      <c r="AK428" s="58" t="str">
        <f t="shared" si="157"/>
        <v/>
      </c>
      <c r="AL428" s="58" t="str">
        <f t="shared" si="158"/>
        <v/>
      </c>
      <c r="AM428" s="58" t="str">
        <f t="shared" si="159"/>
        <v/>
      </c>
      <c r="AN428" s="58" t="str">
        <f t="shared" si="160"/>
        <v/>
      </c>
      <c r="AO428" s="58" t="str">
        <f t="shared" si="161"/>
        <v/>
      </c>
      <c r="AP428" s="58" t="str">
        <f t="shared" si="162"/>
        <v/>
      </c>
      <c r="AQ428" s="58" t="str">
        <f t="shared" si="163"/>
        <v/>
      </c>
    </row>
    <row r="429" spans="1:43" x14ac:dyDescent="0.25">
      <c r="A429" s="12" t="str">
        <f t="shared" si="149"/>
        <v>,129</v>
      </c>
      <c r="B429" s="12" t="str">
        <f t="shared" si="150"/>
        <v>,123</v>
      </c>
      <c r="C429" s="11">
        <f t="shared" si="171"/>
        <v>428</v>
      </c>
      <c r="D429" s="171"/>
      <c r="E429" s="12">
        <f t="shared" si="148"/>
        <v>0</v>
      </c>
      <c r="F429" s="12">
        <f>COUNTIF(H$2:H429,H429)</f>
        <v>129</v>
      </c>
      <c r="G429" s="12">
        <f>COUNTIF(J$2:J429,J429)</f>
        <v>123</v>
      </c>
      <c r="H429" s="12" t="str">
        <f t="shared" si="166"/>
        <v/>
      </c>
      <c r="I429" s="50" t="str">
        <f t="shared" si="167"/>
        <v/>
      </c>
      <c r="J429" s="50" t="str">
        <f t="shared" si="168"/>
        <v/>
      </c>
      <c r="K429" s="64" t="str">
        <f t="shared" si="169"/>
        <v/>
      </c>
      <c r="L429" s="64" t="str">
        <f t="shared" si="170"/>
        <v/>
      </c>
      <c r="M429" s="171"/>
      <c r="N429" s="178"/>
      <c r="O429" s="178"/>
      <c r="P429" s="138">
        <f t="shared" si="151"/>
        <v>0</v>
      </c>
      <c r="Q429" s="137">
        <f t="shared" si="152"/>
        <v>50</v>
      </c>
      <c r="R429" s="143"/>
      <c r="S429" s="143"/>
      <c r="T429" s="143"/>
      <c r="U429" s="144"/>
      <c r="V429" s="144"/>
      <c r="W429" s="144"/>
      <c r="X429" s="145"/>
      <c r="Y429" s="152" t="str">
        <f t="shared" si="153"/>
        <v xml:space="preserve">   50.00 </v>
      </c>
      <c r="Z429" s="136"/>
      <c r="AA429" s="50" t="str">
        <f t="shared" si="164"/>
        <v/>
      </c>
      <c r="AB429" s="129" t="str">
        <f t="shared" si="165"/>
        <v/>
      </c>
      <c r="AC429" s="58" t="str">
        <f t="shared" si="154"/>
        <v/>
      </c>
      <c r="AD429" s="58" t="str">
        <f t="shared" si="155"/>
        <v/>
      </c>
      <c r="AE429" s="60" t="str">
        <f>IF(AD429="","",COUNTIF($AD$2:AD429,AD429))</f>
        <v/>
      </c>
      <c r="AF429" s="62" t="str">
        <f>IF(AD429="","",SUMIF(AD$2:AD429,AD429,G$2:G429))</f>
        <v/>
      </c>
      <c r="AG429" s="62" t="str">
        <f>IF(AK429&lt;&gt;"",COUNTIF($AK$1:AK428,AK429)+AK429,IF(AL429&lt;&gt;"",COUNTIF($AL$1:AL428,AL429)+AL429,""))</f>
        <v/>
      </c>
      <c r="AH429" s="62" t="str">
        <f t="shared" si="156"/>
        <v/>
      </c>
      <c r="AI429" s="62" t="str">
        <f>IF(AND(J429="M", AH429&lt;&gt;"U/A",AE429=Prizewinners!$J$1),AF429,"")</f>
        <v/>
      </c>
      <c r="AJ429" s="58" t="str">
        <f>IF(AND(J429="F",  AH429&lt;&gt;"U/A",AE429=Prizewinners!$J$16),AF429,"")</f>
        <v/>
      </c>
      <c r="AK429" s="58" t="str">
        <f t="shared" si="157"/>
        <v/>
      </c>
      <c r="AL429" s="58" t="str">
        <f t="shared" si="158"/>
        <v/>
      </c>
      <c r="AM429" s="58" t="str">
        <f t="shared" si="159"/>
        <v/>
      </c>
      <c r="AN429" s="58" t="str">
        <f t="shared" si="160"/>
        <v/>
      </c>
      <c r="AO429" s="58" t="str">
        <f t="shared" si="161"/>
        <v/>
      </c>
      <c r="AP429" s="58" t="str">
        <f t="shared" si="162"/>
        <v/>
      </c>
      <c r="AQ429" s="58" t="str">
        <f t="shared" si="163"/>
        <v/>
      </c>
    </row>
    <row r="430" spans="1:43" x14ac:dyDescent="0.25">
      <c r="A430" s="12" t="str">
        <f t="shared" si="149"/>
        <v>,130</v>
      </c>
      <c r="B430" s="12" t="str">
        <f t="shared" si="150"/>
        <v>,124</v>
      </c>
      <c r="C430" s="11">
        <f t="shared" si="171"/>
        <v>429</v>
      </c>
      <c r="D430" s="171"/>
      <c r="E430" s="12">
        <f t="shared" si="148"/>
        <v>0</v>
      </c>
      <c r="F430" s="12">
        <f>COUNTIF(H$2:H430,H430)</f>
        <v>130</v>
      </c>
      <c r="G430" s="12">
        <f>COUNTIF(J$2:J430,J430)</f>
        <v>124</v>
      </c>
      <c r="H430" s="12" t="str">
        <f t="shared" si="166"/>
        <v/>
      </c>
      <c r="I430" s="50" t="str">
        <f t="shared" si="167"/>
        <v/>
      </c>
      <c r="J430" s="50" t="str">
        <f t="shared" si="168"/>
        <v/>
      </c>
      <c r="K430" s="64" t="str">
        <f t="shared" si="169"/>
        <v/>
      </c>
      <c r="L430" s="64" t="str">
        <f t="shared" si="170"/>
        <v/>
      </c>
      <c r="M430" s="171"/>
      <c r="N430" s="178"/>
      <c r="O430" s="178"/>
      <c r="P430" s="138">
        <f t="shared" si="151"/>
        <v>0</v>
      </c>
      <c r="Q430" s="137">
        <f t="shared" si="152"/>
        <v>50</v>
      </c>
      <c r="R430" s="143"/>
      <c r="S430" s="143"/>
      <c r="T430" s="143"/>
      <c r="U430" s="144"/>
      <c r="V430" s="144"/>
      <c r="W430" s="144"/>
      <c r="X430" s="145"/>
      <c r="Y430" s="152" t="str">
        <f t="shared" si="153"/>
        <v xml:space="preserve">   50.00 </v>
      </c>
      <c r="Z430" s="136"/>
      <c r="AA430" s="50" t="str">
        <f t="shared" si="164"/>
        <v/>
      </c>
      <c r="AB430" s="129" t="str">
        <f t="shared" si="165"/>
        <v/>
      </c>
      <c r="AC430" s="58" t="str">
        <f t="shared" si="154"/>
        <v/>
      </c>
      <c r="AD430" s="58" t="str">
        <f t="shared" si="155"/>
        <v/>
      </c>
      <c r="AE430" s="60" t="str">
        <f>IF(AD430="","",COUNTIF($AD$2:AD430,AD430))</f>
        <v/>
      </c>
      <c r="AF430" s="62" t="str">
        <f>IF(AD430="","",SUMIF(AD$2:AD430,AD430,G$2:G430))</f>
        <v/>
      </c>
      <c r="AG430" s="62" t="str">
        <f>IF(AK430&lt;&gt;"",COUNTIF($AK$1:AK429,AK430)+AK430,IF(AL430&lt;&gt;"",COUNTIF($AL$1:AL429,AL430)+AL430,""))</f>
        <v/>
      </c>
      <c r="AH430" s="62" t="str">
        <f t="shared" si="156"/>
        <v/>
      </c>
      <c r="AI430" s="62" t="str">
        <f>IF(AND(J430="M", AH430&lt;&gt;"U/A",AE430=Prizewinners!$J$1),AF430,"")</f>
        <v/>
      </c>
      <c r="AJ430" s="58" t="str">
        <f>IF(AND(J430="F",  AH430&lt;&gt;"U/A",AE430=Prizewinners!$J$16),AF430,"")</f>
        <v/>
      </c>
      <c r="AK430" s="58" t="str">
        <f t="shared" si="157"/>
        <v/>
      </c>
      <c r="AL430" s="58" t="str">
        <f t="shared" si="158"/>
        <v/>
      </c>
      <c r="AM430" s="58" t="str">
        <f t="shared" si="159"/>
        <v/>
      </c>
      <c r="AN430" s="58" t="str">
        <f t="shared" si="160"/>
        <v/>
      </c>
      <c r="AO430" s="58" t="str">
        <f t="shared" si="161"/>
        <v/>
      </c>
      <c r="AP430" s="58" t="str">
        <f t="shared" si="162"/>
        <v/>
      </c>
      <c r="AQ430" s="58" t="str">
        <f t="shared" si="163"/>
        <v/>
      </c>
    </row>
    <row r="431" spans="1:43" x14ac:dyDescent="0.25">
      <c r="A431" s="12" t="str">
        <f t="shared" si="149"/>
        <v>,131</v>
      </c>
      <c r="B431" s="12" t="str">
        <f t="shared" si="150"/>
        <v>,125</v>
      </c>
      <c r="C431" s="11">
        <f t="shared" si="171"/>
        <v>430</v>
      </c>
      <c r="D431" s="171"/>
      <c r="E431" s="12">
        <f t="shared" si="148"/>
        <v>0</v>
      </c>
      <c r="F431" s="12">
        <f>COUNTIF(H$2:H431,H431)</f>
        <v>131</v>
      </c>
      <c r="G431" s="12">
        <f>COUNTIF(J$2:J431,J431)</f>
        <v>125</v>
      </c>
      <c r="H431" s="12" t="str">
        <f t="shared" si="166"/>
        <v/>
      </c>
      <c r="I431" s="50" t="str">
        <f t="shared" si="167"/>
        <v/>
      </c>
      <c r="J431" s="50" t="str">
        <f t="shared" si="168"/>
        <v/>
      </c>
      <c r="K431" s="64" t="str">
        <f t="shared" si="169"/>
        <v/>
      </c>
      <c r="L431" s="64" t="str">
        <f t="shared" si="170"/>
        <v/>
      </c>
      <c r="M431" s="171"/>
      <c r="N431" s="178"/>
      <c r="O431" s="178"/>
      <c r="P431" s="138">
        <f t="shared" si="151"/>
        <v>0</v>
      </c>
      <c r="Q431" s="137">
        <f t="shared" si="152"/>
        <v>50</v>
      </c>
      <c r="R431" s="143"/>
      <c r="S431" s="143"/>
      <c r="T431" s="143"/>
      <c r="U431" s="144"/>
      <c r="V431" s="144"/>
      <c r="W431" s="144"/>
      <c r="X431" s="145"/>
      <c r="Y431" s="152" t="str">
        <f t="shared" si="153"/>
        <v xml:space="preserve">   50.00 </v>
      </c>
      <c r="Z431" s="136"/>
      <c r="AA431" s="50" t="str">
        <f t="shared" si="164"/>
        <v/>
      </c>
      <c r="AB431" s="129" t="str">
        <f t="shared" si="165"/>
        <v/>
      </c>
      <c r="AC431" s="58" t="str">
        <f t="shared" si="154"/>
        <v/>
      </c>
      <c r="AD431" s="58" t="str">
        <f t="shared" si="155"/>
        <v/>
      </c>
      <c r="AE431" s="60" t="str">
        <f>IF(AD431="","",COUNTIF($AD$2:AD431,AD431))</f>
        <v/>
      </c>
      <c r="AF431" s="62" t="str">
        <f>IF(AD431="","",SUMIF(AD$2:AD431,AD431,G$2:G431))</f>
        <v/>
      </c>
      <c r="AG431" s="62" t="str">
        <f>IF(AK431&lt;&gt;"",COUNTIF($AK$1:AK430,AK431)+AK431,IF(AL431&lt;&gt;"",COUNTIF($AL$1:AL430,AL431)+AL431,""))</f>
        <v/>
      </c>
      <c r="AH431" s="62" t="str">
        <f t="shared" si="156"/>
        <v/>
      </c>
      <c r="AI431" s="62" t="str">
        <f>IF(AND(J431="M", AH431&lt;&gt;"U/A",AE431=Prizewinners!$J$1),AF431,"")</f>
        <v/>
      </c>
      <c r="AJ431" s="58" t="str">
        <f>IF(AND(J431="F",  AH431&lt;&gt;"U/A",AE431=Prizewinners!$J$16),AF431,"")</f>
        <v/>
      </c>
      <c r="AK431" s="58" t="str">
        <f t="shared" si="157"/>
        <v/>
      </c>
      <c r="AL431" s="58" t="str">
        <f t="shared" si="158"/>
        <v/>
      </c>
      <c r="AM431" s="58" t="str">
        <f t="shared" si="159"/>
        <v/>
      </c>
      <c r="AN431" s="58" t="str">
        <f t="shared" si="160"/>
        <v/>
      </c>
      <c r="AO431" s="58" t="str">
        <f t="shared" si="161"/>
        <v/>
      </c>
      <c r="AP431" s="58" t="str">
        <f t="shared" si="162"/>
        <v/>
      </c>
      <c r="AQ431" s="58" t="str">
        <f t="shared" si="163"/>
        <v/>
      </c>
    </row>
    <row r="432" spans="1:43" x14ac:dyDescent="0.25">
      <c r="A432" s="12" t="str">
        <f t="shared" si="149"/>
        <v>,132</v>
      </c>
      <c r="B432" s="12" t="str">
        <f t="shared" si="150"/>
        <v>,126</v>
      </c>
      <c r="C432" s="11">
        <f t="shared" si="171"/>
        <v>431</v>
      </c>
      <c r="D432" s="171"/>
      <c r="E432" s="12">
        <f t="shared" si="148"/>
        <v>0</v>
      </c>
      <c r="F432" s="12">
        <f>COUNTIF(H$2:H432,H432)</f>
        <v>132</v>
      </c>
      <c r="G432" s="12">
        <f>COUNTIF(J$2:J432,J432)</f>
        <v>126</v>
      </c>
      <c r="H432" s="12" t="str">
        <f t="shared" si="166"/>
        <v/>
      </c>
      <c r="I432" s="50" t="str">
        <f t="shared" si="167"/>
        <v/>
      </c>
      <c r="J432" s="50" t="str">
        <f t="shared" si="168"/>
        <v/>
      </c>
      <c r="K432" s="64" t="str">
        <f t="shared" si="169"/>
        <v/>
      </c>
      <c r="L432" s="64" t="str">
        <f t="shared" si="170"/>
        <v/>
      </c>
      <c r="M432" s="171"/>
      <c r="N432" s="178"/>
      <c r="O432" s="178"/>
      <c r="P432" s="138">
        <f t="shared" si="151"/>
        <v>0</v>
      </c>
      <c r="Q432" s="137">
        <f t="shared" si="152"/>
        <v>50</v>
      </c>
      <c r="R432" s="143"/>
      <c r="S432" s="143"/>
      <c r="T432" s="143"/>
      <c r="U432" s="144"/>
      <c r="V432" s="144"/>
      <c r="W432" s="144"/>
      <c r="X432" s="145"/>
      <c r="Y432" s="152" t="str">
        <f t="shared" si="153"/>
        <v xml:space="preserve">   50.00 </v>
      </c>
      <c r="Z432" s="136"/>
      <c r="AA432" s="50" t="str">
        <f t="shared" si="164"/>
        <v/>
      </c>
      <c r="AB432" s="129" t="str">
        <f t="shared" si="165"/>
        <v/>
      </c>
      <c r="AC432" s="58" t="str">
        <f t="shared" si="154"/>
        <v/>
      </c>
      <c r="AD432" s="58" t="str">
        <f t="shared" si="155"/>
        <v/>
      </c>
      <c r="AE432" s="60" t="str">
        <f>IF(AD432="","",COUNTIF($AD$2:AD432,AD432))</f>
        <v/>
      </c>
      <c r="AF432" s="62" t="str">
        <f>IF(AD432="","",SUMIF(AD$2:AD432,AD432,G$2:G432))</f>
        <v/>
      </c>
      <c r="AG432" s="62" t="str">
        <f>IF(AK432&lt;&gt;"",COUNTIF($AK$1:AK431,AK432)+AK432,IF(AL432&lt;&gt;"",COUNTIF($AL$1:AL431,AL432)+AL432,""))</f>
        <v/>
      </c>
      <c r="AH432" s="62" t="str">
        <f t="shared" si="156"/>
        <v/>
      </c>
      <c r="AI432" s="62" t="str">
        <f>IF(AND(J432="M", AH432&lt;&gt;"U/A",AE432=Prizewinners!$J$1),AF432,"")</f>
        <v/>
      </c>
      <c r="AJ432" s="58" t="str">
        <f>IF(AND(J432="F",  AH432&lt;&gt;"U/A",AE432=Prizewinners!$J$16),AF432,"")</f>
        <v/>
      </c>
      <c r="AK432" s="58" t="str">
        <f t="shared" si="157"/>
        <v/>
      </c>
      <c r="AL432" s="58" t="str">
        <f t="shared" si="158"/>
        <v/>
      </c>
      <c r="AM432" s="58" t="str">
        <f t="shared" si="159"/>
        <v/>
      </c>
      <c r="AN432" s="58" t="str">
        <f t="shared" si="160"/>
        <v/>
      </c>
      <c r="AO432" s="58" t="str">
        <f t="shared" si="161"/>
        <v/>
      </c>
      <c r="AP432" s="58" t="str">
        <f t="shared" si="162"/>
        <v/>
      </c>
      <c r="AQ432" s="58" t="str">
        <f t="shared" si="163"/>
        <v/>
      </c>
    </row>
    <row r="433" spans="1:43" x14ac:dyDescent="0.25">
      <c r="A433" s="12" t="str">
        <f t="shared" si="149"/>
        <v>,133</v>
      </c>
      <c r="B433" s="12" t="str">
        <f t="shared" si="150"/>
        <v>,127</v>
      </c>
      <c r="C433" s="11">
        <f t="shared" si="171"/>
        <v>432</v>
      </c>
      <c r="D433" s="171"/>
      <c r="E433" s="12">
        <f t="shared" si="148"/>
        <v>0</v>
      </c>
      <c r="F433" s="12">
        <f>COUNTIF(H$2:H433,H433)</f>
        <v>133</v>
      </c>
      <c r="G433" s="12">
        <f>COUNTIF(J$2:J433,J433)</f>
        <v>127</v>
      </c>
      <c r="H433" s="12" t="str">
        <f t="shared" si="166"/>
        <v/>
      </c>
      <c r="I433" s="50" t="str">
        <f t="shared" si="167"/>
        <v/>
      </c>
      <c r="J433" s="50" t="str">
        <f t="shared" si="168"/>
        <v/>
      </c>
      <c r="K433" s="64" t="str">
        <f t="shared" si="169"/>
        <v/>
      </c>
      <c r="L433" s="64" t="str">
        <f t="shared" si="170"/>
        <v/>
      </c>
      <c r="M433" s="171"/>
      <c r="N433" s="178"/>
      <c r="O433" s="178"/>
      <c r="P433" s="138">
        <f t="shared" si="151"/>
        <v>0</v>
      </c>
      <c r="Q433" s="137">
        <f t="shared" si="152"/>
        <v>50</v>
      </c>
      <c r="R433" s="143"/>
      <c r="S433" s="143"/>
      <c r="T433" s="143"/>
      <c r="U433" s="144"/>
      <c r="V433" s="144"/>
      <c r="W433" s="144"/>
      <c r="X433" s="145"/>
      <c r="Y433" s="152" t="str">
        <f t="shared" si="153"/>
        <v xml:space="preserve">   50.00 </v>
      </c>
      <c r="Z433" s="136"/>
      <c r="AA433" s="50" t="str">
        <f t="shared" si="164"/>
        <v/>
      </c>
      <c r="AB433" s="129" t="str">
        <f t="shared" si="165"/>
        <v/>
      </c>
      <c r="AC433" s="58" t="str">
        <f t="shared" si="154"/>
        <v/>
      </c>
      <c r="AD433" s="58" t="str">
        <f t="shared" si="155"/>
        <v/>
      </c>
      <c r="AE433" s="60" t="str">
        <f>IF(AD433="","",COUNTIF($AD$2:AD433,AD433))</f>
        <v/>
      </c>
      <c r="AF433" s="62" t="str">
        <f>IF(AD433="","",SUMIF(AD$2:AD433,AD433,G$2:G433))</f>
        <v/>
      </c>
      <c r="AG433" s="62" t="str">
        <f>IF(AK433&lt;&gt;"",COUNTIF($AK$1:AK432,AK433)+AK433,IF(AL433&lt;&gt;"",COUNTIF($AL$1:AL432,AL433)+AL433,""))</f>
        <v/>
      </c>
      <c r="AH433" s="62" t="str">
        <f t="shared" si="156"/>
        <v/>
      </c>
      <c r="AI433" s="62" t="str">
        <f>IF(AND(J433="M", AH433&lt;&gt;"U/A",AE433=Prizewinners!$J$1),AF433,"")</f>
        <v/>
      </c>
      <c r="AJ433" s="58" t="str">
        <f>IF(AND(J433="F",  AH433&lt;&gt;"U/A",AE433=Prizewinners!$J$16),AF433,"")</f>
        <v/>
      </c>
      <c r="AK433" s="58" t="str">
        <f t="shared" si="157"/>
        <v/>
      </c>
      <c r="AL433" s="58" t="str">
        <f t="shared" si="158"/>
        <v/>
      </c>
      <c r="AM433" s="58" t="str">
        <f t="shared" si="159"/>
        <v/>
      </c>
      <c r="AN433" s="58" t="str">
        <f t="shared" si="160"/>
        <v/>
      </c>
      <c r="AO433" s="58" t="str">
        <f t="shared" si="161"/>
        <v/>
      </c>
      <c r="AP433" s="58" t="str">
        <f t="shared" si="162"/>
        <v/>
      </c>
      <c r="AQ433" s="58" t="str">
        <f t="shared" si="163"/>
        <v/>
      </c>
    </row>
    <row r="434" spans="1:43" x14ac:dyDescent="0.25">
      <c r="A434" s="12" t="str">
        <f t="shared" si="149"/>
        <v>,134</v>
      </c>
      <c r="B434" s="12" t="str">
        <f t="shared" si="150"/>
        <v>,128</v>
      </c>
      <c r="C434" s="11">
        <f t="shared" si="171"/>
        <v>433</v>
      </c>
      <c r="D434" s="171"/>
      <c r="E434" s="12">
        <f t="shared" si="148"/>
        <v>0</v>
      </c>
      <c r="F434" s="12">
        <f>COUNTIF(H$2:H434,H434)</f>
        <v>134</v>
      </c>
      <c r="G434" s="12">
        <f>COUNTIF(J$2:J434,J434)</f>
        <v>128</v>
      </c>
      <c r="H434" s="12" t="str">
        <f t="shared" si="166"/>
        <v/>
      </c>
      <c r="I434" s="50" t="str">
        <f t="shared" si="167"/>
        <v/>
      </c>
      <c r="J434" s="50" t="str">
        <f t="shared" si="168"/>
        <v/>
      </c>
      <c r="K434" s="64" t="str">
        <f t="shared" si="169"/>
        <v/>
      </c>
      <c r="L434" s="64" t="str">
        <f t="shared" si="170"/>
        <v/>
      </c>
      <c r="M434" s="171"/>
      <c r="N434" s="178"/>
      <c r="O434" s="178"/>
      <c r="P434" s="138">
        <f t="shared" si="151"/>
        <v>0</v>
      </c>
      <c r="Q434" s="137">
        <f t="shared" si="152"/>
        <v>50</v>
      </c>
      <c r="R434" s="143"/>
      <c r="S434" s="143"/>
      <c r="T434" s="143"/>
      <c r="U434" s="144"/>
      <c r="V434" s="144"/>
      <c r="W434" s="144"/>
      <c r="X434" s="145"/>
      <c r="Y434" s="152" t="str">
        <f t="shared" si="153"/>
        <v xml:space="preserve">   50.00 </v>
      </c>
      <c r="Z434" s="136"/>
      <c r="AA434" s="50" t="str">
        <f t="shared" si="164"/>
        <v/>
      </c>
      <c r="AB434" s="129" t="str">
        <f t="shared" si="165"/>
        <v/>
      </c>
      <c r="AC434" s="58" t="str">
        <f t="shared" si="154"/>
        <v/>
      </c>
      <c r="AD434" s="58" t="str">
        <f t="shared" si="155"/>
        <v/>
      </c>
      <c r="AE434" s="60" t="str">
        <f>IF(AD434="","",COUNTIF($AD$2:AD434,AD434))</f>
        <v/>
      </c>
      <c r="AF434" s="62" t="str">
        <f>IF(AD434="","",SUMIF(AD$2:AD434,AD434,G$2:G434))</f>
        <v/>
      </c>
      <c r="AG434" s="62" t="str">
        <f>IF(AK434&lt;&gt;"",COUNTIF($AK$1:AK433,AK434)+AK434,IF(AL434&lt;&gt;"",COUNTIF($AL$1:AL433,AL434)+AL434,""))</f>
        <v/>
      </c>
      <c r="AH434" s="62" t="str">
        <f t="shared" si="156"/>
        <v/>
      </c>
      <c r="AI434" s="62" t="str">
        <f>IF(AND(J434="M", AH434&lt;&gt;"U/A",AE434=Prizewinners!$J$1),AF434,"")</f>
        <v/>
      </c>
      <c r="AJ434" s="58" t="str">
        <f>IF(AND(J434="F",  AH434&lt;&gt;"U/A",AE434=Prizewinners!$J$16),AF434,"")</f>
        <v/>
      </c>
      <c r="AK434" s="58" t="str">
        <f t="shared" si="157"/>
        <v/>
      </c>
      <c r="AL434" s="58" t="str">
        <f t="shared" si="158"/>
        <v/>
      </c>
      <c r="AM434" s="58" t="str">
        <f t="shared" si="159"/>
        <v/>
      </c>
      <c r="AN434" s="58" t="str">
        <f t="shared" si="160"/>
        <v/>
      </c>
      <c r="AO434" s="58" t="str">
        <f t="shared" si="161"/>
        <v/>
      </c>
      <c r="AP434" s="58" t="str">
        <f t="shared" si="162"/>
        <v/>
      </c>
      <c r="AQ434" s="58" t="str">
        <f t="shared" si="163"/>
        <v/>
      </c>
    </row>
    <row r="435" spans="1:43" x14ac:dyDescent="0.25">
      <c r="A435" s="12" t="str">
        <f t="shared" si="149"/>
        <v>,135</v>
      </c>
      <c r="B435" s="12" t="str">
        <f t="shared" si="150"/>
        <v>,129</v>
      </c>
      <c r="C435" s="11">
        <f t="shared" si="171"/>
        <v>434</v>
      </c>
      <c r="D435" s="171"/>
      <c r="E435" s="12">
        <f t="shared" si="148"/>
        <v>0</v>
      </c>
      <c r="F435" s="12">
        <f>COUNTIF(H$2:H435,H435)</f>
        <v>135</v>
      </c>
      <c r="G435" s="12">
        <f>COUNTIF(J$2:J435,J435)</f>
        <v>129</v>
      </c>
      <c r="H435" s="12" t="str">
        <f t="shared" si="166"/>
        <v/>
      </c>
      <c r="I435" s="50" t="str">
        <f t="shared" si="167"/>
        <v/>
      </c>
      <c r="J435" s="50" t="str">
        <f t="shared" si="168"/>
        <v/>
      </c>
      <c r="K435" s="64" t="str">
        <f t="shared" si="169"/>
        <v/>
      </c>
      <c r="L435" s="64" t="str">
        <f t="shared" si="170"/>
        <v/>
      </c>
      <c r="M435" s="171"/>
      <c r="N435" s="178"/>
      <c r="O435" s="178"/>
      <c r="P435" s="138">
        <f t="shared" si="151"/>
        <v>0</v>
      </c>
      <c r="Q435" s="137">
        <f t="shared" si="152"/>
        <v>50</v>
      </c>
      <c r="R435" s="143"/>
      <c r="S435" s="143"/>
      <c r="T435" s="143"/>
      <c r="U435" s="144"/>
      <c r="V435" s="144"/>
      <c r="W435" s="144"/>
      <c r="X435" s="145"/>
      <c r="Y435" s="152" t="str">
        <f t="shared" si="153"/>
        <v xml:space="preserve">   50.00 </v>
      </c>
      <c r="Z435" s="136"/>
      <c r="AA435" s="50" t="str">
        <f t="shared" si="164"/>
        <v/>
      </c>
      <c r="AB435" s="129" t="str">
        <f t="shared" si="165"/>
        <v/>
      </c>
      <c r="AC435" s="58" t="str">
        <f t="shared" si="154"/>
        <v/>
      </c>
      <c r="AD435" s="58" t="str">
        <f t="shared" si="155"/>
        <v/>
      </c>
      <c r="AE435" s="60" t="str">
        <f>IF(AD435="","",COUNTIF($AD$2:AD435,AD435))</f>
        <v/>
      </c>
      <c r="AF435" s="62" t="str">
        <f>IF(AD435="","",SUMIF(AD$2:AD435,AD435,G$2:G435))</f>
        <v/>
      </c>
      <c r="AG435" s="62" t="str">
        <f>IF(AK435&lt;&gt;"",COUNTIF($AK$1:AK434,AK435)+AK435,IF(AL435&lt;&gt;"",COUNTIF($AL$1:AL434,AL435)+AL435,""))</f>
        <v/>
      </c>
      <c r="AH435" s="62" t="str">
        <f t="shared" si="156"/>
        <v/>
      </c>
      <c r="AI435" s="62" t="str">
        <f>IF(AND(J435="M", AH435&lt;&gt;"U/A",AE435=Prizewinners!$J$1),AF435,"")</f>
        <v/>
      </c>
      <c r="AJ435" s="58" t="str">
        <f>IF(AND(J435="F",  AH435&lt;&gt;"U/A",AE435=Prizewinners!$J$16),AF435,"")</f>
        <v/>
      </c>
      <c r="AK435" s="58" t="str">
        <f t="shared" si="157"/>
        <v/>
      </c>
      <c r="AL435" s="58" t="str">
        <f t="shared" si="158"/>
        <v/>
      </c>
      <c r="AM435" s="58" t="str">
        <f t="shared" si="159"/>
        <v/>
      </c>
      <c r="AN435" s="58" t="str">
        <f t="shared" si="160"/>
        <v/>
      </c>
      <c r="AO435" s="58" t="str">
        <f t="shared" si="161"/>
        <v/>
      </c>
      <c r="AP435" s="58" t="str">
        <f t="shared" si="162"/>
        <v/>
      </c>
      <c r="AQ435" s="58" t="str">
        <f t="shared" si="163"/>
        <v/>
      </c>
    </row>
    <row r="436" spans="1:43" x14ac:dyDescent="0.25">
      <c r="A436" s="12" t="str">
        <f t="shared" si="149"/>
        <v>,136</v>
      </c>
      <c r="B436" s="12" t="str">
        <f t="shared" si="150"/>
        <v>,130</v>
      </c>
      <c r="C436" s="11">
        <f t="shared" si="171"/>
        <v>435</v>
      </c>
      <c r="D436" s="171"/>
      <c r="E436" s="12">
        <f t="shared" si="148"/>
        <v>0</v>
      </c>
      <c r="F436" s="12">
        <f>COUNTIF(H$2:H436,H436)</f>
        <v>136</v>
      </c>
      <c r="G436" s="12">
        <f>COUNTIF(J$2:J436,J436)</f>
        <v>130</v>
      </c>
      <c r="H436" s="12" t="str">
        <f t="shared" si="166"/>
        <v/>
      </c>
      <c r="I436" s="50" t="str">
        <f t="shared" si="167"/>
        <v/>
      </c>
      <c r="J436" s="50" t="str">
        <f t="shared" si="168"/>
        <v/>
      </c>
      <c r="K436" s="64" t="str">
        <f t="shared" si="169"/>
        <v/>
      </c>
      <c r="L436" s="64" t="str">
        <f t="shared" si="170"/>
        <v/>
      </c>
      <c r="M436" s="171"/>
      <c r="N436" s="178"/>
      <c r="O436" s="178"/>
      <c r="P436" s="138">
        <f t="shared" si="151"/>
        <v>0</v>
      </c>
      <c r="Q436" s="137">
        <f t="shared" si="152"/>
        <v>50</v>
      </c>
      <c r="R436" s="143"/>
      <c r="S436" s="143"/>
      <c r="T436" s="143"/>
      <c r="U436" s="144"/>
      <c r="V436" s="144"/>
      <c r="W436" s="144"/>
      <c r="X436" s="145"/>
      <c r="Y436" s="152" t="str">
        <f t="shared" si="153"/>
        <v xml:space="preserve">   50.00 </v>
      </c>
      <c r="Z436" s="136"/>
      <c r="AA436" s="50" t="str">
        <f t="shared" si="164"/>
        <v/>
      </c>
      <c r="AB436" s="129" t="str">
        <f t="shared" si="165"/>
        <v/>
      </c>
      <c r="AC436" s="58" t="str">
        <f t="shared" si="154"/>
        <v/>
      </c>
      <c r="AD436" s="58" t="str">
        <f t="shared" si="155"/>
        <v/>
      </c>
      <c r="AE436" s="60" t="str">
        <f>IF(AD436="","",COUNTIF($AD$2:AD436,AD436))</f>
        <v/>
      </c>
      <c r="AF436" s="62" t="str">
        <f>IF(AD436="","",SUMIF(AD$2:AD436,AD436,G$2:G436))</f>
        <v/>
      </c>
      <c r="AG436" s="62" t="str">
        <f>IF(AK436&lt;&gt;"",COUNTIF($AK$1:AK435,AK436)+AK436,IF(AL436&lt;&gt;"",COUNTIF($AL$1:AL435,AL436)+AL436,""))</f>
        <v/>
      </c>
      <c r="AH436" s="62" t="str">
        <f t="shared" si="156"/>
        <v/>
      </c>
      <c r="AI436" s="62" t="str">
        <f>IF(AND(J436="M", AH436&lt;&gt;"U/A",AE436=Prizewinners!$J$1),AF436,"")</f>
        <v/>
      </c>
      <c r="AJ436" s="58" t="str">
        <f>IF(AND(J436="F",  AH436&lt;&gt;"U/A",AE436=Prizewinners!$J$16),AF436,"")</f>
        <v/>
      </c>
      <c r="AK436" s="58" t="str">
        <f t="shared" si="157"/>
        <v/>
      </c>
      <c r="AL436" s="58" t="str">
        <f t="shared" si="158"/>
        <v/>
      </c>
      <c r="AM436" s="58" t="str">
        <f t="shared" si="159"/>
        <v/>
      </c>
      <c r="AN436" s="58" t="str">
        <f t="shared" si="160"/>
        <v/>
      </c>
      <c r="AO436" s="58" t="str">
        <f t="shared" si="161"/>
        <v/>
      </c>
      <c r="AP436" s="58" t="str">
        <f t="shared" si="162"/>
        <v/>
      </c>
      <c r="AQ436" s="58" t="str">
        <f t="shared" si="163"/>
        <v/>
      </c>
    </row>
    <row r="437" spans="1:43" x14ac:dyDescent="0.25">
      <c r="A437" s="12" t="str">
        <f t="shared" si="149"/>
        <v>,137</v>
      </c>
      <c r="B437" s="12" t="str">
        <f t="shared" si="150"/>
        <v>,131</v>
      </c>
      <c r="C437" s="11">
        <f t="shared" si="171"/>
        <v>436</v>
      </c>
      <c r="D437" s="171"/>
      <c r="E437" s="12">
        <f t="shared" si="148"/>
        <v>0</v>
      </c>
      <c r="F437" s="12">
        <f>COUNTIF(H$2:H437,H437)</f>
        <v>137</v>
      </c>
      <c r="G437" s="12">
        <f>COUNTIF(J$2:J437,J437)</f>
        <v>131</v>
      </c>
      <c r="H437" s="12" t="str">
        <f t="shared" si="166"/>
        <v/>
      </c>
      <c r="I437" s="50" t="str">
        <f t="shared" si="167"/>
        <v/>
      </c>
      <c r="J437" s="50" t="str">
        <f t="shared" si="168"/>
        <v/>
      </c>
      <c r="K437" s="64" t="str">
        <f t="shared" si="169"/>
        <v/>
      </c>
      <c r="L437" s="64" t="str">
        <f t="shared" si="170"/>
        <v/>
      </c>
      <c r="M437" s="171"/>
      <c r="N437" s="178"/>
      <c r="O437" s="178"/>
      <c r="P437" s="138">
        <f t="shared" si="151"/>
        <v>0</v>
      </c>
      <c r="Q437" s="137">
        <f t="shared" si="152"/>
        <v>50</v>
      </c>
      <c r="R437" s="143"/>
      <c r="S437" s="143"/>
      <c r="T437" s="143"/>
      <c r="U437" s="144"/>
      <c r="V437" s="144"/>
      <c r="W437" s="144"/>
      <c r="X437" s="145"/>
      <c r="Y437" s="152" t="str">
        <f t="shared" si="153"/>
        <v xml:space="preserve">   50.00 </v>
      </c>
      <c r="Z437" s="136"/>
      <c r="AA437" s="50" t="str">
        <f t="shared" si="164"/>
        <v/>
      </c>
      <c r="AB437" s="129" t="str">
        <f t="shared" si="165"/>
        <v/>
      </c>
      <c r="AC437" s="58" t="str">
        <f t="shared" si="154"/>
        <v/>
      </c>
      <c r="AD437" s="58" t="str">
        <f t="shared" si="155"/>
        <v/>
      </c>
      <c r="AE437" s="60" t="str">
        <f>IF(AD437="","",COUNTIF($AD$2:AD437,AD437))</f>
        <v/>
      </c>
      <c r="AF437" s="62" t="str">
        <f>IF(AD437="","",SUMIF(AD$2:AD437,AD437,G$2:G437))</f>
        <v/>
      </c>
      <c r="AG437" s="62" t="str">
        <f>IF(AK437&lt;&gt;"",COUNTIF($AK$1:AK436,AK437)+AK437,IF(AL437&lt;&gt;"",COUNTIF($AL$1:AL436,AL437)+AL437,""))</f>
        <v/>
      </c>
      <c r="AH437" s="62" t="str">
        <f t="shared" si="156"/>
        <v/>
      </c>
      <c r="AI437" s="62" t="str">
        <f>IF(AND(J437="M", AH437&lt;&gt;"U/A",AE437=Prizewinners!$J$1),AF437,"")</f>
        <v/>
      </c>
      <c r="AJ437" s="58" t="str">
        <f>IF(AND(J437="F",  AH437&lt;&gt;"U/A",AE437=Prizewinners!$J$16),AF437,"")</f>
        <v/>
      </c>
      <c r="AK437" s="58" t="str">
        <f t="shared" si="157"/>
        <v/>
      </c>
      <c r="AL437" s="58" t="str">
        <f t="shared" si="158"/>
        <v/>
      </c>
      <c r="AM437" s="58" t="str">
        <f t="shared" si="159"/>
        <v/>
      </c>
      <c r="AN437" s="58" t="str">
        <f t="shared" si="160"/>
        <v/>
      </c>
      <c r="AO437" s="58" t="str">
        <f t="shared" si="161"/>
        <v/>
      </c>
      <c r="AP437" s="58" t="str">
        <f t="shared" si="162"/>
        <v/>
      </c>
      <c r="AQ437" s="58" t="str">
        <f t="shared" si="163"/>
        <v/>
      </c>
    </row>
    <row r="438" spans="1:43" x14ac:dyDescent="0.25">
      <c r="A438" s="12" t="str">
        <f t="shared" si="149"/>
        <v>,138</v>
      </c>
      <c r="B438" s="12" t="str">
        <f t="shared" si="150"/>
        <v>,132</v>
      </c>
      <c r="C438" s="11">
        <f t="shared" si="171"/>
        <v>437</v>
      </c>
      <c r="D438" s="171"/>
      <c r="E438" s="12">
        <f t="shared" si="148"/>
        <v>0</v>
      </c>
      <c r="F438" s="12">
        <f>COUNTIF(H$2:H438,H438)</f>
        <v>138</v>
      </c>
      <c r="G438" s="12">
        <f>COUNTIF(J$2:J438,J438)</f>
        <v>132</v>
      </c>
      <c r="H438" s="12" t="str">
        <f t="shared" si="166"/>
        <v/>
      </c>
      <c r="I438" s="50" t="str">
        <f t="shared" si="167"/>
        <v/>
      </c>
      <c r="J438" s="50" t="str">
        <f t="shared" si="168"/>
        <v/>
      </c>
      <c r="K438" s="64" t="str">
        <f t="shared" si="169"/>
        <v/>
      </c>
      <c r="L438" s="64" t="str">
        <f t="shared" si="170"/>
        <v/>
      </c>
      <c r="M438" s="171"/>
      <c r="N438" s="178"/>
      <c r="O438" s="178"/>
      <c r="P438" s="138">
        <f t="shared" si="151"/>
        <v>0</v>
      </c>
      <c r="Q438" s="137">
        <f t="shared" si="152"/>
        <v>50</v>
      </c>
      <c r="R438" s="143"/>
      <c r="S438" s="143"/>
      <c r="T438" s="143"/>
      <c r="U438" s="144"/>
      <c r="V438" s="144"/>
      <c r="W438" s="144"/>
      <c r="X438" s="145"/>
      <c r="Y438" s="152" t="str">
        <f t="shared" si="153"/>
        <v xml:space="preserve">   50.00 </v>
      </c>
      <c r="Z438" s="136"/>
      <c r="AA438" s="50" t="str">
        <f t="shared" si="164"/>
        <v/>
      </c>
      <c r="AB438" s="129" t="str">
        <f t="shared" si="165"/>
        <v/>
      </c>
      <c r="AC438" s="58" t="str">
        <f t="shared" si="154"/>
        <v/>
      </c>
      <c r="AD438" s="58" t="str">
        <f t="shared" si="155"/>
        <v/>
      </c>
      <c r="AE438" s="60" t="str">
        <f>IF(AD438="","",COUNTIF($AD$2:AD438,AD438))</f>
        <v/>
      </c>
      <c r="AF438" s="62" t="str">
        <f>IF(AD438="","",SUMIF(AD$2:AD438,AD438,G$2:G438))</f>
        <v/>
      </c>
      <c r="AG438" s="62" t="str">
        <f>IF(AK438&lt;&gt;"",COUNTIF($AK$1:AK437,AK438)+AK438,IF(AL438&lt;&gt;"",COUNTIF($AL$1:AL437,AL438)+AL438,""))</f>
        <v/>
      </c>
      <c r="AH438" s="62" t="str">
        <f t="shared" si="156"/>
        <v/>
      </c>
      <c r="AI438" s="62" t="str">
        <f>IF(AND(J438="M", AH438&lt;&gt;"U/A",AE438=Prizewinners!$J$1),AF438,"")</f>
        <v/>
      </c>
      <c r="AJ438" s="58" t="str">
        <f>IF(AND(J438="F",  AH438&lt;&gt;"U/A",AE438=Prizewinners!$J$16),AF438,"")</f>
        <v/>
      </c>
      <c r="AK438" s="58" t="str">
        <f t="shared" si="157"/>
        <v/>
      </c>
      <c r="AL438" s="58" t="str">
        <f t="shared" si="158"/>
        <v/>
      </c>
      <c r="AM438" s="58" t="str">
        <f t="shared" si="159"/>
        <v/>
      </c>
      <c r="AN438" s="58" t="str">
        <f t="shared" si="160"/>
        <v/>
      </c>
      <c r="AO438" s="58" t="str">
        <f t="shared" si="161"/>
        <v/>
      </c>
      <c r="AP438" s="58" t="str">
        <f t="shared" si="162"/>
        <v/>
      </c>
      <c r="AQ438" s="58" t="str">
        <f t="shared" si="163"/>
        <v/>
      </c>
    </row>
    <row r="439" spans="1:43" x14ac:dyDescent="0.25">
      <c r="A439" s="12" t="str">
        <f t="shared" si="149"/>
        <v>,139</v>
      </c>
      <c r="B439" s="12" t="str">
        <f t="shared" si="150"/>
        <v>,133</v>
      </c>
      <c r="C439" s="11">
        <f t="shared" si="171"/>
        <v>438</v>
      </c>
      <c r="D439" s="171"/>
      <c r="E439" s="12">
        <f t="shared" si="148"/>
        <v>0</v>
      </c>
      <c r="F439" s="12">
        <f>COUNTIF(H$2:H439,H439)</f>
        <v>139</v>
      </c>
      <c r="G439" s="12">
        <f>COUNTIF(J$2:J439,J439)</f>
        <v>133</v>
      </c>
      <c r="H439" s="12" t="str">
        <f t="shared" si="166"/>
        <v/>
      </c>
      <c r="I439" s="50" t="str">
        <f t="shared" si="167"/>
        <v/>
      </c>
      <c r="J439" s="50" t="str">
        <f t="shared" si="168"/>
        <v/>
      </c>
      <c r="K439" s="64" t="str">
        <f t="shared" si="169"/>
        <v/>
      </c>
      <c r="L439" s="64" t="str">
        <f t="shared" si="170"/>
        <v/>
      </c>
      <c r="M439" s="171"/>
      <c r="N439" s="178"/>
      <c r="O439" s="178"/>
      <c r="P439" s="138">
        <f t="shared" si="151"/>
        <v>0</v>
      </c>
      <c r="Q439" s="137">
        <f t="shared" si="152"/>
        <v>50</v>
      </c>
      <c r="R439" s="143"/>
      <c r="S439" s="143"/>
      <c r="T439" s="143"/>
      <c r="U439" s="144"/>
      <c r="V439" s="144"/>
      <c r="W439" s="144"/>
      <c r="X439" s="145"/>
      <c r="Y439" s="152" t="str">
        <f t="shared" si="153"/>
        <v xml:space="preserve">   50.00 </v>
      </c>
      <c r="Z439" s="136"/>
      <c r="AA439" s="50" t="str">
        <f t="shared" si="164"/>
        <v/>
      </c>
      <c r="AB439" s="129" t="str">
        <f t="shared" si="165"/>
        <v/>
      </c>
      <c r="AC439" s="58" t="str">
        <f t="shared" si="154"/>
        <v/>
      </c>
      <c r="AD439" s="58" t="str">
        <f t="shared" si="155"/>
        <v/>
      </c>
      <c r="AE439" s="60" t="str">
        <f>IF(AD439="","",COUNTIF($AD$2:AD439,AD439))</f>
        <v/>
      </c>
      <c r="AF439" s="62" t="str">
        <f>IF(AD439="","",SUMIF(AD$2:AD439,AD439,G$2:G439))</f>
        <v/>
      </c>
      <c r="AG439" s="62" t="str">
        <f>IF(AK439&lt;&gt;"",COUNTIF($AK$1:AK438,AK439)+AK439,IF(AL439&lt;&gt;"",COUNTIF($AL$1:AL438,AL439)+AL439,""))</f>
        <v/>
      </c>
      <c r="AH439" s="62" t="str">
        <f t="shared" si="156"/>
        <v/>
      </c>
      <c r="AI439" s="62" t="str">
        <f>IF(AND(J439="M", AH439&lt;&gt;"U/A",AE439=Prizewinners!$J$1),AF439,"")</f>
        <v/>
      </c>
      <c r="AJ439" s="58" t="str">
        <f>IF(AND(J439="F",  AH439&lt;&gt;"U/A",AE439=Prizewinners!$J$16),AF439,"")</f>
        <v/>
      </c>
      <c r="AK439" s="58" t="str">
        <f t="shared" si="157"/>
        <v/>
      </c>
      <c r="AL439" s="58" t="str">
        <f t="shared" si="158"/>
        <v/>
      </c>
      <c r="AM439" s="58" t="str">
        <f t="shared" si="159"/>
        <v/>
      </c>
      <c r="AN439" s="58" t="str">
        <f t="shared" si="160"/>
        <v/>
      </c>
      <c r="AO439" s="58" t="str">
        <f t="shared" si="161"/>
        <v/>
      </c>
      <c r="AP439" s="58" t="str">
        <f t="shared" si="162"/>
        <v/>
      </c>
      <c r="AQ439" s="58" t="str">
        <f t="shared" si="163"/>
        <v/>
      </c>
    </row>
    <row r="440" spans="1:43" x14ac:dyDescent="0.25">
      <c r="A440" s="12" t="str">
        <f t="shared" si="149"/>
        <v>,140</v>
      </c>
      <c r="B440" s="12" t="str">
        <f t="shared" si="150"/>
        <v>,134</v>
      </c>
      <c r="C440" s="11">
        <f t="shared" si="171"/>
        <v>439</v>
      </c>
      <c r="D440" s="171"/>
      <c r="E440" s="12">
        <f t="shared" si="148"/>
        <v>0</v>
      </c>
      <c r="F440" s="12">
        <f>COUNTIF(H$2:H440,H440)</f>
        <v>140</v>
      </c>
      <c r="G440" s="12">
        <f>COUNTIF(J$2:J440,J440)</f>
        <v>134</v>
      </c>
      <c r="H440" s="12" t="str">
        <f t="shared" si="166"/>
        <v/>
      </c>
      <c r="I440" s="50" t="str">
        <f t="shared" si="167"/>
        <v/>
      </c>
      <c r="J440" s="50" t="str">
        <f t="shared" si="168"/>
        <v/>
      </c>
      <c r="K440" s="64" t="str">
        <f t="shared" si="169"/>
        <v/>
      </c>
      <c r="L440" s="64" t="str">
        <f t="shared" si="170"/>
        <v/>
      </c>
      <c r="M440" s="171"/>
      <c r="N440" s="178"/>
      <c r="O440" s="178"/>
      <c r="P440" s="138">
        <f t="shared" si="151"/>
        <v>0</v>
      </c>
      <c r="Q440" s="137">
        <f t="shared" si="152"/>
        <v>50</v>
      </c>
      <c r="R440" s="143"/>
      <c r="S440" s="143"/>
      <c r="T440" s="143"/>
      <c r="U440" s="144"/>
      <c r="V440" s="144"/>
      <c r="W440" s="144"/>
      <c r="X440" s="145"/>
      <c r="Y440" s="152" t="str">
        <f t="shared" si="153"/>
        <v xml:space="preserve">   50.00 </v>
      </c>
      <c r="Z440" s="136"/>
      <c r="AA440" s="50" t="str">
        <f t="shared" si="164"/>
        <v/>
      </c>
      <c r="AB440" s="129" t="str">
        <f t="shared" si="165"/>
        <v/>
      </c>
      <c r="AC440" s="58" t="str">
        <f t="shared" si="154"/>
        <v/>
      </c>
      <c r="AD440" s="58" t="str">
        <f t="shared" si="155"/>
        <v/>
      </c>
      <c r="AE440" s="60" t="str">
        <f>IF(AD440="","",COUNTIF($AD$2:AD440,AD440))</f>
        <v/>
      </c>
      <c r="AF440" s="62" t="str">
        <f>IF(AD440="","",SUMIF(AD$2:AD440,AD440,G$2:G440))</f>
        <v/>
      </c>
      <c r="AG440" s="62" t="str">
        <f>IF(AK440&lt;&gt;"",COUNTIF($AK$1:AK439,AK440)+AK440,IF(AL440&lt;&gt;"",COUNTIF($AL$1:AL439,AL440)+AL440,""))</f>
        <v/>
      </c>
      <c r="AH440" s="62" t="str">
        <f t="shared" si="156"/>
        <v/>
      </c>
      <c r="AI440" s="62" t="str">
        <f>IF(AND(J440="M", AH440&lt;&gt;"U/A",AE440=Prizewinners!$J$1),AF440,"")</f>
        <v/>
      </c>
      <c r="AJ440" s="58" t="str">
        <f>IF(AND(J440="F",  AH440&lt;&gt;"U/A",AE440=Prizewinners!$J$16),AF440,"")</f>
        <v/>
      </c>
      <c r="AK440" s="58" t="str">
        <f t="shared" si="157"/>
        <v/>
      </c>
      <c r="AL440" s="58" t="str">
        <f t="shared" si="158"/>
        <v/>
      </c>
      <c r="AM440" s="58" t="str">
        <f t="shared" si="159"/>
        <v/>
      </c>
      <c r="AN440" s="58" t="str">
        <f t="shared" si="160"/>
        <v/>
      </c>
      <c r="AO440" s="58" t="str">
        <f t="shared" si="161"/>
        <v/>
      </c>
      <c r="AP440" s="58" t="str">
        <f t="shared" si="162"/>
        <v/>
      </c>
      <c r="AQ440" s="58" t="str">
        <f t="shared" si="163"/>
        <v/>
      </c>
    </row>
    <row r="441" spans="1:43" x14ac:dyDescent="0.25">
      <c r="A441" s="12" t="str">
        <f t="shared" si="149"/>
        <v>,141</v>
      </c>
      <c r="B441" s="12" t="str">
        <f t="shared" si="150"/>
        <v>,135</v>
      </c>
      <c r="C441" s="11">
        <f t="shared" si="171"/>
        <v>440</v>
      </c>
      <c r="D441" s="171"/>
      <c r="E441" s="12">
        <f t="shared" si="148"/>
        <v>0</v>
      </c>
      <c r="F441" s="12">
        <f>COUNTIF(H$2:H441,H441)</f>
        <v>141</v>
      </c>
      <c r="G441" s="12">
        <f>COUNTIF(J$2:J441,J441)</f>
        <v>135</v>
      </c>
      <c r="H441" s="12" t="str">
        <f t="shared" si="166"/>
        <v/>
      </c>
      <c r="I441" s="50" t="str">
        <f t="shared" si="167"/>
        <v/>
      </c>
      <c r="J441" s="50" t="str">
        <f t="shared" si="168"/>
        <v/>
      </c>
      <c r="K441" s="64" t="str">
        <f t="shared" si="169"/>
        <v/>
      </c>
      <c r="L441" s="64" t="str">
        <f t="shared" si="170"/>
        <v/>
      </c>
      <c r="M441" s="171"/>
      <c r="N441" s="178"/>
      <c r="O441" s="178"/>
      <c r="P441" s="138">
        <f t="shared" si="151"/>
        <v>0</v>
      </c>
      <c r="Q441" s="137">
        <f t="shared" si="152"/>
        <v>50</v>
      </c>
      <c r="R441" s="143"/>
      <c r="S441" s="143"/>
      <c r="T441" s="143"/>
      <c r="U441" s="144"/>
      <c r="V441" s="144"/>
      <c r="W441" s="144"/>
      <c r="X441" s="145"/>
      <c r="Y441" s="152" t="str">
        <f t="shared" si="153"/>
        <v xml:space="preserve">   50.00 </v>
      </c>
      <c r="Z441" s="136"/>
      <c r="AA441" s="50" t="str">
        <f t="shared" si="164"/>
        <v/>
      </c>
      <c r="AB441" s="129" t="str">
        <f t="shared" si="165"/>
        <v/>
      </c>
      <c r="AC441" s="58" t="str">
        <f t="shared" si="154"/>
        <v/>
      </c>
      <c r="AD441" s="58" t="str">
        <f t="shared" si="155"/>
        <v/>
      </c>
      <c r="AE441" s="60" t="str">
        <f>IF(AD441="","",COUNTIF($AD$2:AD441,AD441))</f>
        <v/>
      </c>
      <c r="AF441" s="62" t="str">
        <f>IF(AD441="","",SUMIF(AD$2:AD441,AD441,G$2:G441))</f>
        <v/>
      </c>
      <c r="AG441" s="62" t="str">
        <f>IF(AK441&lt;&gt;"",COUNTIF($AK$1:AK440,AK441)+AK441,IF(AL441&lt;&gt;"",COUNTIF($AL$1:AL440,AL441)+AL441,""))</f>
        <v/>
      </c>
      <c r="AH441" s="62" t="str">
        <f t="shared" si="156"/>
        <v/>
      </c>
      <c r="AI441" s="62" t="str">
        <f>IF(AND(J441="M", AH441&lt;&gt;"U/A",AE441=Prizewinners!$J$1),AF441,"")</f>
        <v/>
      </c>
      <c r="AJ441" s="58" t="str">
        <f>IF(AND(J441="F",  AH441&lt;&gt;"U/A",AE441=Prizewinners!$J$16),AF441,"")</f>
        <v/>
      </c>
      <c r="AK441" s="58" t="str">
        <f t="shared" si="157"/>
        <v/>
      </c>
      <c r="AL441" s="58" t="str">
        <f t="shared" si="158"/>
        <v/>
      </c>
      <c r="AM441" s="58" t="str">
        <f t="shared" si="159"/>
        <v/>
      </c>
      <c r="AN441" s="58" t="str">
        <f t="shared" si="160"/>
        <v/>
      </c>
      <c r="AO441" s="58" t="str">
        <f t="shared" si="161"/>
        <v/>
      </c>
      <c r="AP441" s="58" t="str">
        <f t="shared" si="162"/>
        <v/>
      </c>
      <c r="AQ441" s="58" t="str">
        <f t="shared" si="163"/>
        <v/>
      </c>
    </row>
    <row r="442" spans="1:43" x14ac:dyDescent="0.25">
      <c r="A442" s="12" t="str">
        <f t="shared" si="149"/>
        <v>,142</v>
      </c>
      <c r="B442" s="12" t="str">
        <f t="shared" si="150"/>
        <v>,136</v>
      </c>
      <c r="C442" s="11">
        <f t="shared" si="171"/>
        <v>441</v>
      </c>
      <c r="D442" s="171"/>
      <c r="E442" s="12">
        <f t="shared" si="148"/>
        <v>0</v>
      </c>
      <c r="F442" s="12">
        <f>COUNTIF(H$2:H442,H442)</f>
        <v>142</v>
      </c>
      <c r="G442" s="12">
        <f>COUNTIF(J$2:J442,J442)</f>
        <v>136</v>
      </c>
      <c r="H442" s="12" t="str">
        <f t="shared" si="166"/>
        <v/>
      </c>
      <c r="I442" s="50" t="str">
        <f t="shared" si="167"/>
        <v/>
      </c>
      <c r="J442" s="50" t="str">
        <f t="shared" si="168"/>
        <v/>
      </c>
      <c r="K442" s="64" t="str">
        <f t="shared" si="169"/>
        <v/>
      </c>
      <c r="L442" s="64" t="str">
        <f t="shared" si="170"/>
        <v/>
      </c>
      <c r="M442" s="171"/>
      <c r="N442" s="178"/>
      <c r="O442" s="178"/>
      <c r="P442" s="138">
        <f t="shared" si="151"/>
        <v>0</v>
      </c>
      <c r="Q442" s="137">
        <f t="shared" si="152"/>
        <v>50</v>
      </c>
      <c r="R442" s="143"/>
      <c r="S442" s="143"/>
      <c r="T442" s="143"/>
      <c r="U442" s="144"/>
      <c r="V442" s="144"/>
      <c r="W442" s="144"/>
      <c r="X442" s="145"/>
      <c r="Y442" s="152" t="str">
        <f t="shared" si="153"/>
        <v xml:space="preserve">   50.00 </v>
      </c>
      <c r="Z442" s="136"/>
      <c r="AA442" s="50" t="str">
        <f t="shared" si="164"/>
        <v/>
      </c>
      <c r="AB442" s="129" t="str">
        <f t="shared" si="165"/>
        <v/>
      </c>
      <c r="AC442" s="58" t="str">
        <f t="shared" si="154"/>
        <v/>
      </c>
      <c r="AD442" s="58" t="str">
        <f t="shared" si="155"/>
        <v/>
      </c>
      <c r="AE442" s="60" t="str">
        <f>IF(AD442="","",COUNTIF($AD$2:AD442,AD442))</f>
        <v/>
      </c>
      <c r="AF442" s="62" t="str">
        <f>IF(AD442="","",SUMIF(AD$2:AD442,AD442,G$2:G442))</f>
        <v/>
      </c>
      <c r="AG442" s="62" t="str">
        <f>IF(AK442&lt;&gt;"",COUNTIF($AK$1:AK441,AK442)+AK442,IF(AL442&lt;&gt;"",COUNTIF($AL$1:AL441,AL442)+AL442,""))</f>
        <v/>
      </c>
      <c r="AH442" s="62" t="str">
        <f t="shared" si="156"/>
        <v/>
      </c>
      <c r="AI442" s="62" t="str">
        <f>IF(AND(J442="M", AH442&lt;&gt;"U/A",AE442=Prizewinners!$J$1),AF442,"")</f>
        <v/>
      </c>
      <c r="AJ442" s="58" t="str">
        <f>IF(AND(J442="F",  AH442&lt;&gt;"U/A",AE442=Prizewinners!$J$16),AF442,"")</f>
        <v/>
      </c>
      <c r="AK442" s="58" t="str">
        <f t="shared" si="157"/>
        <v/>
      </c>
      <c r="AL442" s="58" t="str">
        <f t="shared" si="158"/>
        <v/>
      </c>
      <c r="AM442" s="58" t="str">
        <f t="shared" si="159"/>
        <v/>
      </c>
      <c r="AN442" s="58" t="str">
        <f t="shared" si="160"/>
        <v/>
      </c>
      <c r="AO442" s="58" t="str">
        <f t="shared" si="161"/>
        <v/>
      </c>
      <c r="AP442" s="58" t="str">
        <f t="shared" si="162"/>
        <v/>
      </c>
      <c r="AQ442" s="58" t="str">
        <f t="shared" si="163"/>
        <v/>
      </c>
    </row>
    <row r="443" spans="1:43" x14ac:dyDescent="0.25">
      <c r="A443" s="12" t="str">
        <f t="shared" si="149"/>
        <v>,143</v>
      </c>
      <c r="B443" s="12" t="str">
        <f t="shared" si="150"/>
        <v>,137</v>
      </c>
      <c r="C443" s="11">
        <f t="shared" si="171"/>
        <v>442</v>
      </c>
      <c r="D443" s="171"/>
      <c r="E443" s="12">
        <f t="shared" si="148"/>
        <v>0</v>
      </c>
      <c r="F443" s="12">
        <f>COUNTIF(H$2:H443,H443)</f>
        <v>143</v>
      </c>
      <c r="G443" s="12">
        <f>COUNTIF(J$2:J443,J443)</f>
        <v>137</v>
      </c>
      <c r="H443" s="12" t="str">
        <f t="shared" si="166"/>
        <v/>
      </c>
      <c r="I443" s="50" t="str">
        <f t="shared" si="167"/>
        <v/>
      </c>
      <c r="J443" s="50" t="str">
        <f t="shared" si="168"/>
        <v/>
      </c>
      <c r="K443" s="64" t="str">
        <f t="shared" si="169"/>
        <v/>
      </c>
      <c r="L443" s="64" t="str">
        <f t="shared" si="170"/>
        <v/>
      </c>
      <c r="M443" s="171"/>
      <c r="N443" s="178"/>
      <c r="O443" s="178"/>
      <c r="P443" s="138">
        <f t="shared" si="151"/>
        <v>0</v>
      </c>
      <c r="Q443" s="137">
        <f t="shared" si="152"/>
        <v>50</v>
      </c>
      <c r="R443" s="143"/>
      <c r="S443" s="143"/>
      <c r="T443" s="143"/>
      <c r="U443" s="144"/>
      <c r="V443" s="144"/>
      <c r="W443" s="144"/>
      <c r="X443" s="145"/>
      <c r="Y443" s="152" t="str">
        <f t="shared" si="153"/>
        <v xml:space="preserve">   50.00 </v>
      </c>
      <c r="Z443" s="136"/>
      <c r="AA443" s="50" t="str">
        <f t="shared" si="164"/>
        <v/>
      </c>
      <c r="AB443" s="129" t="str">
        <f t="shared" si="165"/>
        <v/>
      </c>
      <c r="AC443" s="58" t="str">
        <f t="shared" si="154"/>
        <v/>
      </c>
      <c r="AD443" s="58" t="str">
        <f t="shared" si="155"/>
        <v/>
      </c>
      <c r="AE443" s="60" t="str">
        <f>IF(AD443="","",COUNTIF($AD$2:AD443,AD443))</f>
        <v/>
      </c>
      <c r="AF443" s="62" t="str">
        <f>IF(AD443="","",SUMIF(AD$2:AD443,AD443,G$2:G443))</f>
        <v/>
      </c>
      <c r="AG443" s="62" t="str">
        <f>IF(AK443&lt;&gt;"",COUNTIF($AK$1:AK442,AK443)+AK443,IF(AL443&lt;&gt;"",COUNTIF($AL$1:AL442,AL443)+AL443,""))</f>
        <v/>
      </c>
      <c r="AH443" s="62" t="str">
        <f t="shared" si="156"/>
        <v/>
      </c>
      <c r="AI443" s="62" t="str">
        <f>IF(AND(J443="M", AH443&lt;&gt;"U/A",AE443=Prizewinners!$J$1),AF443,"")</f>
        <v/>
      </c>
      <c r="AJ443" s="58" t="str">
        <f>IF(AND(J443="F",  AH443&lt;&gt;"U/A",AE443=Prizewinners!$J$16),AF443,"")</f>
        <v/>
      </c>
      <c r="AK443" s="58" t="str">
        <f t="shared" si="157"/>
        <v/>
      </c>
      <c r="AL443" s="58" t="str">
        <f t="shared" si="158"/>
        <v/>
      </c>
      <c r="AM443" s="58" t="str">
        <f t="shared" si="159"/>
        <v/>
      </c>
      <c r="AN443" s="58" t="str">
        <f t="shared" si="160"/>
        <v/>
      </c>
      <c r="AO443" s="58" t="str">
        <f t="shared" si="161"/>
        <v/>
      </c>
      <c r="AP443" s="58" t="str">
        <f t="shared" si="162"/>
        <v/>
      </c>
      <c r="AQ443" s="58" t="str">
        <f t="shared" si="163"/>
        <v/>
      </c>
    </row>
    <row r="444" spans="1:43" x14ac:dyDescent="0.25">
      <c r="A444" s="12" t="str">
        <f t="shared" si="149"/>
        <v>,144</v>
      </c>
      <c r="B444" s="12" t="str">
        <f t="shared" si="150"/>
        <v>,138</v>
      </c>
      <c r="C444" s="11">
        <f t="shared" si="171"/>
        <v>443</v>
      </c>
      <c r="D444" s="171"/>
      <c r="E444" s="12">
        <f t="shared" si="148"/>
        <v>0</v>
      </c>
      <c r="F444" s="12">
        <f>COUNTIF(H$2:H444,H444)</f>
        <v>144</v>
      </c>
      <c r="G444" s="12">
        <f>COUNTIF(J$2:J444,J444)</f>
        <v>138</v>
      </c>
      <c r="H444" s="12" t="str">
        <f t="shared" si="166"/>
        <v/>
      </c>
      <c r="I444" s="50" t="str">
        <f t="shared" si="167"/>
        <v/>
      </c>
      <c r="J444" s="50" t="str">
        <f t="shared" si="168"/>
        <v/>
      </c>
      <c r="K444" s="64" t="str">
        <f t="shared" si="169"/>
        <v/>
      </c>
      <c r="L444" s="64" t="str">
        <f t="shared" si="170"/>
        <v/>
      </c>
      <c r="M444" s="171"/>
      <c r="N444" s="178"/>
      <c r="O444" s="178"/>
      <c r="P444" s="138">
        <f t="shared" si="151"/>
        <v>0</v>
      </c>
      <c r="Q444" s="137">
        <f t="shared" si="152"/>
        <v>50</v>
      </c>
      <c r="R444" s="143"/>
      <c r="S444" s="143"/>
      <c r="T444" s="143"/>
      <c r="U444" s="144"/>
      <c r="V444" s="144"/>
      <c r="W444" s="144"/>
      <c r="X444" s="145"/>
      <c r="Y444" s="152" t="str">
        <f t="shared" si="153"/>
        <v xml:space="preserve">   50.00 </v>
      </c>
      <c r="Z444" s="136"/>
      <c r="AA444" s="50" t="str">
        <f t="shared" si="164"/>
        <v/>
      </c>
      <c r="AB444" s="129" t="str">
        <f t="shared" si="165"/>
        <v/>
      </c>
      <c r="AC444" s="58" t="str">
        <f t="shared" si="154"/>
        <v/>
      </c>
      <c r="AD444" s="58" t="str">
        <f t="shared" si="155"/>
        <v/>
      </c>
      <c r="AE444" s="60" t="str">
        <f>IF(AD444="","",COUNTIF($AD$2:AD444,AD444))</f>
        <v/>
      </c>
      <c r="AF444" s="62" t="str">
        <f>IF(AD444="","",SUMIF(AD$2:AD444,AD444,G$2:G444))</f>
        <v/>
      </c>
      <c r="AG444" s="62" t="str">
        <f>IF(AK444&lt;&gt;"",COUNTIF($AK$1:AK443,AK444)+AK444,IF(AL444&lt;&gt;"",COUNTIF($AL$1:AL443,AL444)+AL444,""))</f>
        <v/>
      </c>
      <c r="AH444" s="62" t="str">
        <f t="shared" si="156"/>
        <v/>
      </c>
      <c r="AI444" s="62" t="str">
        <f>IF(AND(J444="M", AH444&lt;&gt;"U/A",AE444=Prizewinners!$J$1),AF444,"")</f>
        <v/>
      </c>
      <c r="AJ444" s="58" t="str">
        <f>IF(AND(J444="F",  AH444&lt;&gt;"U/A",AE444=Prizewinners!$J$16),AF444,"")</f>
        <v/>
      </c>
      <c r="AK444" s="58" t="str">
        <f t="shared" si="157"/>
        <v/>
      </c>
      <c r="AL444" s="58" t="str">
        <f t="shared" si="158"/>
        <v/>
      </c>
      <c r="AM444" s="58" t="str">
        <f t="shared" si="159"/>
        <v/>
      </c>
      <c r="AN444" s="58" t="str">
        <f t="shared" si="160"/>
        <v/>
      </c>
      <c r="AO444" s="58" t="str">
        <f t="shared" si="161"/>
        <v/>
      </c>
      <c r="AP444" s="58" t="str">
        <f t="shared" si="162"/>
        <v/>
      </c>
      <c r="AQ444" s="58" t="str">
        <f t="shared" si="163"/>
        <v/>
      </c>
    </row>
    <row r="445" spans="1:43" x14ac:dyDescent="0.25">
      <c r="A445" s="12" t="str">
        <f t="shared" si="149"/>
        <v>,145</v>
      </c>
      <c r="B445" s="12" t="str">
        <f t="shared" si="150"/>
        <v>,139</v>
      </c>
      <c r="C445" s="11">
        <f t="shared" si="171"/>
        <v>444</v>
      </c>
      <c r="D445" s="171"/>
      <c r="E445" s="12">
        <f t="shared" si="148"/>
        <v>0</v>
      </c>
      <c r="F445" s="12">
        <f>COUNTIF(H$2:H445,H445)</f>
        <v>145</v>
      </c>
      <c r="G445" s="12">
        <f>COUNTIF(J$2:J445,J445)</f>
        <v>139</v>
      </c>
      <c r="H445" s="12" t="str">
        <f t="shared" si="166"/>
        <v/>
      </c>
      <c r="I445" s="50" t="str">
        <f t="shared" si="167"/>
        <v/>
      </c>
      <c r="J445" s="50" t="str">
        <f t="shared" si="168"/>
        <v/>
      </c>
      <c r="K445" s="64" t="str">
        <f t="shared" si="169"/>
        <v/>
      </c>
      <c r="L445" s="64" t="str">
        <f t="shared" si="170"/>
        <v/>
      </c>
      <c r="M445" s="171"/>
      <c r="N445" s="178"/>
      <c r="O445" s="178"/>
      <c r="P445" s="138">
        <f t="shared" si="151"/>
        <v>0</v>
      </c>
      <c r="Q445" s="137">
        <f t="shared" si="152"/>
        <v>50</v>
      </c>
      <c r="R445" s="143"/>
      <c r="S445" s="143"/>
      <c r="T445" s="143"/>
      <c r="U445" s="144"/>
      <c r="V445" s="144"/>
      <c r="W445" s="144"/>
      <c r="X445" s="145"/>
      <c r="Y445" s="152" t="str">
        <f t="shared" si="153"/>
        <v xml:space="preserve">   50.00 </v>
      </c>
      <c r="Z445" s="136"/>
      <c r="AA445" s="50" t="str">
        <f t="shared" si="164"/>
        <v/>
      </c>
      <c r="AB445" s="129" t="str">
        <f t="shared" si="165"/>
        <v/>
      </c>
      <c r="AC445" s="58" t="str">
        <f t="shared" si="154"/>
        <v/>
      </c>
      <c r="AD445" s="58" t="str">
        <f t="shared" si="155"/>
        <v/>
      </c>
      <c r="AE445" s="60" t="str">
        <f>IF(AD445="","",COUNTIF($AD$2:AD445,AD445))</f>
        <v/>
      </c>
      <c r="AF445" s="62" t="str">
        <f>IF(AD445="","",SUMIF(AD$2:AD445,AD445,G$2:G445))</f>
        <v/>
      </c>
      <c r="AG445" s="62" t="str">
        <f>IF(AK445&lt;&gt;"",COUNTIF($AK$1:AK444,AK445)+AK445,IF(AL445&lt;&gt;"",COUNTIF($AL$1:AL444,AL445)+AL445,""))</f>
        <v/>
      </c>
      <c r="AH445" s="62" t="str">
        <f t="shared" si="156"/>
        <v/>
      </c>
      <c r="AI445" s="62" t="str">
        <f>IF(AND(J445="M", AH445&lt;&gt;"U/A",AE445=Prizewinners!$J$1),AF445,"")</f>
        <v/>
      </c>
      <c r="AJ445" s="58" t="str">
        <f>IF(AND(J445="F",  AH445&lt;&gt;"U/A",AE445=Prizewinners!$J$16),AF445,"")</f>
        <v/>
      </c>
      <c r="AK445" s="58" t="str">
        <f t="shared" si="157"/>
        <v/>
      </c>
      <c r="AL445" s="58" t="str">
        <f t="shared" si="158"/>
        <v/>
      </c>
      <c r="AM445" s="58" t="str">
        <f t="shared" si="159"/>
        <v/>
      </c>
      <c r="AN445" s="58" t="str">
        <f t="shared" si="160"/>
        <v/>
      </c>
      <c r="AO445" s="58" t="str">
        <f t="shared" si="161"/>
        <v/>
      </c>
      <c r="AP445" s="58" t="str">
        <f t="shared" si="162"/>
        <v/>
      </c>
      <c r="AQ445" s="58" t="str">
        <f t="shared" si="163"/>
        <v/>
      </c>
    </row>
    <row r="446" spans="1:43" x14ac:dyDescent="0.25">
      <c r="A446" s="12" t="str">
        <f t="shared" si="149"/>
        <v>,146</v>
      </c>
      <c r="B446" s="12" t="str">
        <f t="shared" si="150"/>
        <v>,140</v>
      </c>
      <c r="C446" s="11">
        <f t="shared" si="171"/>
        <v>445</v>
      </c>
      <c r="D446" s="171"/>
      <c r="E446" s="12">
        <f t="shared" si="148"/>
        <v>0</v>
      </c>
      <c r="F446" s="12">
        <f>COUNTIF(H$2:H446,H446)</f>
        <v>146</v>
      </c>
      <c r="G446" s="12">
        <f>COUNTIF(J$2:J446,J446)</f>
        <v>140</v>
      </c>
      <c r="H446" s="12" t="str">
        <f t="shared" si="166"/>
        <v/>
      </c>
      <c r="I446" s="50" t="str">
        <f t="shared" si="167"/>
        <v/>
      </c>
      <c r="J446" s="50" t="str">
        <f t="shared" si="168"/>
        <v/>
      </c>
      <c r="K446" s="64" t="str">
        <f t="shared" si="169"/>
        <v/>
      </c>
      <c r="L446" s="64" t="str">
        <f t="shared" si="170"/>
        <v/>
      </c>
      <c r="M446" s="171"/>
      <c r="N446" s="178"/>
      <c r="O446" s="178"/>
      <c r="P446" s="138">
        <f t="shared" si="151"/>
        <v>0</v>
      </c>
      <c r="Q446" s="137">
        <f t="shared" si="152"/>
        <v>50</v>
      </c>
      <c r="R446" s="143"/>
      <c r="S446" s="143"/>
      <c r="T446" s="143"/>
      <c r="U446" s="144"/>
      <c r="V446" s="144"/>
      <c r="W446" s="144"/>
      <c r="X446" s="145"/>
      <c r="Y446" s="152" t="str">
        <f t="shared" si="153"/>
        <v xml:space="preserve">   50.00 </v>
      </c>
      <c r="Z446" s="136"/>
      <c r="AA446" s="50" t="str">
        <f t="shared" si="164"/>
        <v/>
      </c>
      <c r="AB446" s="129" t="str">
        <f t="shared" si="165"/>
        <v/>
      </c>
      <c r="AC446" s="58" t="str">
        <f t="shared" si="154"/>
        <v/>
      </c>
      <c r="AD446" s="58" t="str">
        <f t="shared" si="155"/>
        <v/>
      </c>
      <c r="AE446" s="60" t="str">
        <f>IF(AD446="","",COUNTIF($AD$2:AD446,AD446))</f>
        <v/>
      </c>
      <c r="AF446" s="62" t="str">
        <f>IF(AD446="","",SUMIF(AD$2:AD446,AD446,G$2:G446))</f>
        <v/>
      </c>
      <c r="AG446" s="62" t="str">
        <f>IF(AK446&lt;&gt;"",COUNTIF($AK$1:AK445,AK446)+AK446,IF(AL446&lt;&gt;"",COUNTIF($AL$1:AL445,AL446)+AL446,""))</f>
        <v/>
      </c>
      <c r="AH446" s="62" t="str">
        <f t="shared" si="156"/>
        <v/>
      </c>
      <c r="AI446" s="62" t="str">
        <f>IF(AND(J446="M", AH446&lt;&gt;"U/A",AE446=Prizewinners!$J$1),AF446,"")</f>
        <v/>
      </c>
      <c r="AJ446" s="58" t="str">
        <f>IF(AND(J446="F",  AH446&lt;&gt;"U/A",AE446=Prizewinners!$J$16),AF446,"")</f>
        <v/>
      </c>
      <c r="AK446" s="58" t="str">
        <f t="shared" si="157"/>
        <v/>
      </c>
      <c r="AL446" s="58" t="str">
        <f t="shared" si="158"/>
        <v/>
      </c>
      <c r="AM446" s="58" t="str">
        <f t="shared" si="159"/>
        <v/>
      </c>
      <c r="AN446" s="58" t="str">
        <f t="shared" si="160"/>
        <v/>
      </c>
      <c r="AO446" s="58" t="str">
        <f t="shared" si="161"/>
        <v/>
      </c>
      <c r="AP446" s="58" t="str">
        <f t="shared" si="162"/>
        <v/>
      </c>
      <c r="AQ446" s="58" t="str">
        <f t="shared" si="163"/>
        <v/>
      </c>
    </row>
    <row r="447" spans="1:43" x14ac:dyDescent="0.25">
      <c r="A447" s="12" t="str">
        <f t="shared" si="149"/>
        <v>,147</v>
      </c>
      <c r="B447" s="12" t="str">
        <f t="shared" si="150"/>
        <v>,141</v>
      </c>
      <c r="C447" s="11">
        <f t="shared" si="171"/>
        <v>446</v>
      </c>
      <c r="D447" s="171"/>
      <c r="E447" s="12">
        <f t="shared" si="148"/>
        <v>0</v>
      </c>
      <c r="F447" s="12">
        <f>COUNTIF(H$2:H447,H447)</f>
        <v>147</v>
      </c>
      <c r="G447" s="12">
        <f>COUNTIF(J$2:J447,J447)</f>
        <v>141</v>
      </c>
      <c r="H447" s="12" t="str">
        <f t="shared" si="166"/>
        <v/>
      </c>
      <c r="I447" s="50" t="str">
        <f t="shared" si="167"/>
        <v/>
      </c>
      <c r="J447" s="50" t="str">
        <f t="shared" si="168"/>
        <v/>
      </c>
      <c r="K447" s="64" t="str">
        <f t="shared" si="169"/>
        <v/>
      </c>
      <c r="L447" s="64" t="str">
        <f t="shared" si="170"/>
        <v/>
      </c>
      <c r="M447" s="171"/>
      <c r="N447" s="178"/>
      <c r="O447" s="178"/>
      <c r="P447" s="138">
        <f t="shared" si="151"/>
        <v>0</v>
      </c>
      <c r="Q447" s="137">
        <f t="shared" si="152"/>
        <v>50</v>
      </c>
      <c r="R447" s="143"/>
      <c r="S447" s="143"/>
      <c r="T447" s="143"/>
      <c r="U447" s="144"/>
      <c r="V447" s="144"/>
      <c r="W447" s="144"/>
      <c r="X447" s="145"/>
      <c r="Y447" s="152" t="str">
        <f t="shared" si="153"/>
        <v xml:space="preserve">   50.00 </v>
      </c>
      <c r="Z447" s="136"/>
      <c r="AA447" s="50" t="str">
        <f t="shared" si="164"/>
        <v/>
      </c>
      <c r="AB447" s="129" t="str">
        <f t="shared" si="165"/>
        <v/>
      </c>
      <c r="AC447" s="58" t="str">
        <f t="shared" si="154"/>
        <v/>
      </c>
      <c r="AD447" s="58" t="str">
        <f t="shared" si="155"/>
        <v/>
      </c>
      <c r="AE447" s="60" t="str">
        <f>IF(AD447="","",COUNTIF($AD$2:AD447,AD447))</f>
        <v/>
      </c>
      <c r="AF447" s="62" t="str">
        <f>IF(AD447="","",SUMIF(AD$2:AD447,AD447,G$2:G447))</f>
        <v/>
      </c>
      <c r="AG447" s="62" t="str">
        <f>IF(AK447&lt;&gt;"",COUNTIF($AK$1:AK446,AK447)+AK447,IF(AL447&lt;&gt;"",COUNTIF($AL$1:AL446,AL447)+AL447,""))</f>
        <v/>
      </c>
      <c r="AH447" s="62" t="str">
        <f t="shared" si="156"/>
        <v/>
      </c>
      <c r="AI447" s="62" t="str">
        <f>IF(AND(J447="M", AH447&lt;&gt;"U/A",AE447=Prizewinners!$J$1),AF447,"")</f>
        <v/>
      </c>
      <c r="AJ447" s="58" t="str">
        <f>IF(AND(J447="F",  AH447&lt;&gt;"U/A",AE447=Prizewinners!$J$16),AF447,"")</f>
        <v/>
      </c>
      <c r="AK447" s="58" t="str">
        <f t="shared" si="157"/>
        <v/>
      </c>
      <c r="AL447" s="58" t="str">
        <f t="shared" si="158"/>
        <v/>
      </c>
      <c r="AM447" s="58" t="str">
        <f t="shared" si="159"/>
        <v/>
      </c>
      <c r="AN447" s="58" t="str">
        <f t="shared" si="160"/>
        <v/>
      </c>
      <c r="AO447" s="58" t="str">
        <f t="shared" si="161"/>
        <v/>
      </c>
      <c r="AP447" s="58" t="str">
        <f t="shared" si="162"/>
        <v/>
      </c>
      <c r="AQ447" s="58" t="str">
        <f t="shared" si="163"/>
        <v/>
      </c>
    </row>
    <row r="448" spans="1:43" x14ac:dyDescent="0.25">
      <c r="A448" s="12" t="str">
        <f t="shared" si="149"/>
        <v>,148</v>
      </c>
      <c r="B448" s="12" t="str">
        <f t="shared" si="150"/>
        <v>,142</v>
      </c>
      <c r="C448" s="11">
        <f t="shared" si="171"/>
        <v>447</v>
      </c>
      <c r="D448" s="171"/>
      <c r="E448" s="12">
        <f t="shared" si="148"/>
        <v>0</v>
      </c>
      <c r="F448" s="12">
        <f>COUNTIF(H$2:H448,H448)</f>
        <v>148</v>
      </c>
      <c r="G448" s="12">
        <f>COUNTIF(J$2:J448,J448)</f>
        <v>142</v>
      </c>
      <c r="H448" s="12" t="str">
        <f t="shared" si="166"/>
        <v/>
      </c>
      <c r="I448" s="50" t="str">
        <f t="shared" si="167"/>
        <v/>
      </c>
      <c r="J448" s="50" t="str">
        <f t="shared" si="168"/>
        <v/>
      </c>
      <c r="K448" s="64" t="str">
        <f t="shared" si="169"/>
        <v/>
      </c>
      <c r="L448" s="64" t="str">
        <f t="shared" si="170"/>
        <v/>
      </c>
      <c r="M448" s="171"/>
      <c r="N448" s="178"/>
      <c r="O448" s="178"/>
      <c r="P448" s="138">
        <f t="shared" si="151"/>
        <v>0</v>
      </c>
      <c r="Q448" s="137">
        <f t="shared" si="152"/>
        <v>50</v>
      </c>
      <c r="R448" s="143"/>
      <c r="S448" s="143"/>
      <c r="T448" s="143"/>
      <c r="U448" s="144"/>
      <c r="V448" s="144"/>
      <c r="W448" s="144"/>
      <c r="X448" s="145"/>
      <c r="Y448" s="152" t="str">
        <f t="shared" si="153"/>
        <v xml:space="preserve">   50.00 </v>
      </c>
      <c r="Z448" s="136"/>
      <c r="AA448" s="50" t="str">
        <f t="shared" si="164"/>
        <v/>
      </c>
      <c r="AB448" s="129" t="str">
        <f t="shared" si="165"/>
        <v/>
      </c>
      <c r="AC448" s="58" t="str">
        <f t="shared" si="154"/>
        <v/>
      </c>
      <c r="AD448" s="58" t="str">
        <f t="shared" si="155"/>
        <v/>
      </c>
      <c r="AE448" s="60" t="str">
        <f>IF(AD448="","",COUNTIF($AD$2:AD448,AD448))</f>
        <v/>
      </c>
      <c r="AF448" s="62" t="str">
        <f>IF(AD448="","",SUMIF(AD$2:AD448,AD448,G$2:G448))</f>
        <v/>
      </c>
      <c r="AG448" s="62" t="str">
        <f>IF(AK448&lt;&gt;"",COUNTIF($AK$1:AK447,AK448)+AK448,IF(AL448&lt;&gt;"",COUNTIF($AL$1:AL447,AL448)+AL448,""))</f>
        <v/>
      </c>
      <c r="AH448" s="62" t="str">
        <f t="shared" si="156"/>
        <v/>
      </c>
      <c r="AI448" s="62" t="str">
        <f>IF(AND(J448="M", AH448&lt;&gt;"U/A",AE448=Prizewinners!$J$1),AF448,"")</f>
        <v/>
      </c>
      <c r="AJ448" s="58" t="str">
        <f>IF(AND(J448="F",  AH448&lt;&gt;"U/A",AE448=Prizewinners!$J$16),AF448,"")</f>
        <v/>
      </c>
      <c r="AK448" s="58" t="str">
        <f t="shared" si="157"/>
        <v/>
      </c>
      <c r="AL448" s="58" t="str">
        <f t="shared" si="158"/>
        <v/>
      </c>
      <c r="AM448" s="58" t="str">
        <f t="shared" si="159"/>
        <v/>
      </c>
      <c r="AN448" s="58" t="str">
        <f t="shared" si="160"/>
        <v/>
      </c>
      <c r="AO448" s="58" t="str">
        <f t="shared" si="161"/>
        <v/>
      </c>
      <c r="AP448" s="58" t="str">
        <f t="shared" si="162"/>
        <v/>
      </c>
      <c r="AQ448" s="58" t="str">
        <f t="shared" si="163"/>
        <v/>
      </c>
    </row>
    <row r="449" spans="1:43" x14ac:dyDescent="0.25">
      <c r="A449" s="12" t="str">
        <f t="shared" si="149"/>
        <v>,149</v>
      </c>
      <c r="B449" s="12" t="str">
        <f t="shared" si="150"/>
        <v>,143</v>
      </c>
      <c r="C449" s="11">
        <f t="shared" si="171"/>
        <v>448</v>
      </c>
      <c r="D449" s="171"/>
      <c r="E449" s="12">
        <f t="shared" si="148"/>
        <v>0</v>
      </c>
      <c r="F449" s="12">
        <f>COUNTIF(H$2:H449,H449)</f>
        <v>149</v>
      </c>
      <c r="G449" s="12">
        <f>COUNTIF(J$2:J449,J449)</f>
        <v>143</v>
      </c>
      <c r="H449" s="12" t="str">
        <f t="shared" si="166"/>
        <v/>
      </c>
      <c r="I449" s="50" t="str">
        <f t="shared" si="167"/>
        <v/>
      </c>
      <c r="J449" s="50" t="str">
        <f t="shared" si="168"/>
        <v/>
      </c>
      <c r="K449" s="64" t="str">
        <f t="shared" si="169"/>
        <v/>
      </c>
      <c r="L449" s="64" t="str">
        <f t="shared" si="170"/>
        <v/>
      </c>
      <c r="M449" s="171"/>
      <c r="N449" s="178"/>
      <c r="O449" s="178"/>
      <c r="P449" s="138">
        <f t="shared" si="151"/>
        <v>0</v>
      </c>
      <c r="Q449" s="137">
        <f t="shared" si="152"/>
        <v>50</v>
      </c>
      <c r="R449" s="143"/>
      <c r="S449" s="143"/>
      <c r="T449" s="143"/>
      <c r="U449" s="144"/>
      <c r="V449" s="144"/>
      <c r="W449" s="144"/>
      <c r="X449" s="145"/>
      <c r="Y449" s="152" t="str">
        <f t="shared" si="153"/>
        <v xml:space="preserve">   50.00 </v>
      </c>
      <c r="Z449" s="136"/>
      <c r="AA449" s="50" t="str">
        <f t="shared" si="164"/>
        <v/>
      </c>
      <c r="AB449" s="129" t="str">
        <f t="shared" si="165"/>
        <v/>
      </c>
      <c r="AC449" s="58" t="str">
        <f t="shared" si="154"/>
        <v/>
      </c>
      <c r="AD449" s="58" t="str">
        <f t="shared" si="155"/>
        <v/>
      </c>
      <c r="AE449" s="60" t="str">
        <f>IF(AD449="","",COUNTIF($AD$2:AD449,AD449))</f>
        <v/>
      </c>
      <c r="AF449" s="62" t="str">
        <f>IF(AD449="","",SUMIF(AD$2:AD449,AD449,G$2:G449))</f>
        <v/>
      </c>
      <c r="AG449" s="62" t="str">
        <f>IF(AK449&lt;&gt;"",COUNTIF($AK$1:AK448,AK449)+AK449,IF(AL449&lt;&gt;"",COUNTIF($AL$1:AL448,AL449)+AL449,""))</f>
        <v/>
      </c>
      <c r="AH449" s="62" t="str">
        <f t="shared" si="156"/>
        <v/>
      </c>
      <c r="AI449" s="62" t="str">
        <f>IF(AND(J449="M", AH449&lt;&gt;"U/A",AE449=Prizewinners!$J$1),AF449,"")</f>
        <v/>
      </c>
      <c r="AJ449" s="58" t="str">
        <f>IF(AND(J449="F",  AH449&lt;&gt;"U/A",AE449=Prizewinners!$J$16),AF449,"")</f>
        <v/>
      </c>
      <c r="AK449" s="58" t="str">
        <f t="shared" si="157"/>
        <v/>
      </c>
      <c r="AL449" s="58" t="str">
        <f t="shared" si="158"/>
        <v/>
      </c>
      <c r="AM449" s="58" t="str">
        <f t="shared" si="159"/>
        <v/>
      </c>
      <c r="AN449" s="58" t="str">
        <f t="shared" si="160"/>
        <v/>
      </c>
      <c r="AO449" s="58" t="str">
        <f t="shared" si="161"/>
        <v/>
      </c>
      <c r="AP449" s="58" t="str">
        <f t="shared" si="162"/>
        <v/>
      </c>
      <c r="AQ449" s="58" t="str">
        <f t="shared" si="163"/>
        <v/>
      </c>
    </row>
    <row r="450" spans="1:43" x14ac:dyDescent="0.25">
      <c r="A450" s="12" t="str">
        <f t="shared" si="149"/>
        <v>,150</v>
      </c>
      <c r="B450" s="12" t="str">
        <f t="shared" si="150"/>
        <v>,144</v>
      </c>
      <c r="C450" s="11">
        <f t="shared" si="171"/>
        <v>449</v>
      </c>
      <c r="D450" s="171"/>
      <c r="E450" s="12">
        <f t="shared" ref="E450:E504" si="172">IF(D450="",0,COUNTIF(K:K,K450))</f>
        <v>0</v>
      </c>
      <c r="F450" s="12">
        <f>COUNTIF(H$2:H450,H450)</f>
        <v>150</v>
      </c>
      <c r="G450" s="12">
        <f>COUNTIF(J$2:J450,J450)</f>
        <v>144</v>
      </c>
      <c r="H450" s="12" t="str">
        <f t="shared" si="166"/>
        <v/>
      </c>
      <c r="I450" s="50" t="str">
        <f t="shared" si="167"/>
        <v/>
      </c>
      <c r="J450" s="50" t="str">
        <f t="shared" si="168"/>
        <v/>
      </c>
      <c r="K450" s="64" t="str">
        <f t="shared" si="169"/>
        <v/>
      </c>
      <c r="L450" s="64" t="str">
        <f t="shared" si="170"/>
        <v/>
      </c>
      <c r="M450" s="171"/>
      <c r="N450" s="178"/>
      <c r="O450" s="178"/>
      <c r="P450" s="138">
        <f t="shared" si="151"/>
        <v>0</v>
      </c>
      <c r="Q450" s="137">
        <f t="shared" si="152"/>
        <v>50</v>
      </c>
      <c r="R450" s="143"/>
      <c r="S450" s="143"/>
      <c r="T450" s="143"/>
      <c r="U450" s="144"/>
      <c r="V450" s="144"/>
      <c r="W450" s="144"/>
      <c r="X450" s="145"/>
      <c r="Y450" s="152" t="str">
        <f t="shared" si="153"/>
        <v xml:space="preserve">   50.00 </v>
      </c>
      <c r="Z450" s="136"/>
      <c r="AA450" s="50" t="str">
        <f t="shared" si="164"/>
        <v/>
      </c>
      <c r="AB450" s="129" t="str">
        <f t="shared" si="165"/>
        <v/>
      </c>
      <c r="AC450" s="58" t="str">
        <f t="shared" si="154"/>
        <v/>
      </c>
      <c r="AD450" s="58" t="str">
        <f t="shared" si="155"/>
        <v/>
      </c>
      <c r="AE450" s="60" t="str">
        <f>IF(AD450="","",COUNTIF($AD$2:AD450,AD450))</f>
        <v/>
      </c>
      <c r="AF450" s="62" t="str">
        <f>IF(AD450="","",SUMIF(AD$2:AD450,AD450,G$2:G450))</f>
        <v/>
      </c>
      <c r="AG450" s="62" t="str">
        <f>IF(AK450&lt;&gt;"",COUNTIF($AK$1:AK449,AK450)+AK450,IF(AL450&lt;&gt;"",COUNTIF($AL$1:AL449,AL450)+AL450,""))</f>
        <v/>
      </c>
      <c r="AH450" s="62" t="str">
        <f t="shared" si="156"/>
        <v/>
      </c>
      <c r="AI450" s="62" t="str">
        <f>IF(AND(J450="M", AH450&lt;&gt;"U/A",AE450=Prizewinners!$J$1),AF450,"")</f>
        <v/>
      </c>
      <c r="AJ450" s="58" t="str">
        <f>IF(AND(J450="F",  AH450&lt;&gt;"U/A",AE450=Prizewinners!$J$16),AF450,"")</f>
        <v/>
      </c>
      <c r="AK450" s="58" t="str">
        <f t="shared" si="157"/>
        <v/>
      </c>
      <c r="AL450" s="58" t="str">
        <f t="shared" si="158"/>
        <v/>
      </c>
      <c r="AM450" s="58" t="str">
        <f t="shared" si="159"/>
        <v/>
      </c>
      <c r="AN450" s="58" t="str">
        <f t="shared" si="160"/>
        <v/>
      </c>
      <c r="AO450" s="58" t="str">
        <f t="shared" si="161"/>
        <v/>
      </c>
      <c r="AP450" s="58" t="str">
        <f t="shared" si="162"/>
        <v/>
      </c>
      <c r="AQ450" s="58" t="str">
        <f t="shared" si="163"/>
        <v/>
      </c>
    </row>
    <row r="451" spans="1:43" x14ac:dyDescent="0.25">
      <c r="A451" s="12" t="str">
        <f t="shared" ref="A451:A504" si="173">IF(Z451="RESM",Z451,IF(Z451="RESF",Z451,CONCATENATE(H451,",",F451)))</f>
        <v>,151</v>
      </c>
      <c r="B451" s="12" t="str">
        <f t="shared" ref="B451:B504" si="174">CONCATENATE(J451,",",G451)</f>
        <v>,145</v>
      </c>
      <c r="C451" s="11">
        <f t="shared" si="171"/>
        <v>450</v>
      </c>
      <c r="D451" s="171"/>
      <c r="E451" s="12">
        <f t="shared" si="172"/>
        <v>0</v>
      </c>
      <c r="F451" s="12">
        <f>COUNTIF(H$2:H451,H451)</f>
        <v>151</v>
      </c>
      <c r="G451" s="12">
        <f>COUNTIF(J$2:J451,J451)</f>
        <v>145</v>
      </c>
      <c r="H451" s="12" t="str">
        <f t="shared" si="166"/>
        <v/>
      </c>
      <c r="I451" s="50" t="str">
        <f t="shared" si="167"/>
        <v/>
      </c>
      <c r="J451" s="50" t="str">
        <f t="shared" si="168"/>
        <v/>
      </c>
      <c r="K451" s="64" t="str">
        <f t="shared" si="169"/>
        <v/>
      </c>
      <c r="L451" s="64" t="str">
        <f t="shared" si="170"/>
        <v/>
      </c>
      <c r="M451" s="171"/>
      <c r="N451" s="178"/>
      <c r="O451" s="178"/>
      <c r="P451" s="138">
        <f t="shared" ref="P451:P502" si="175">IF(LEN(TRIM(M451))=0,P450,M451)</f>
        <v>0</v>
      </c>
      <c r="Q451" s="137">
        <f t="shared" ref="Q451:Q502" si="176">IF(N451="",Q450,N451)</f>
        <v>50</v>
      </c>
      <c r="R451" s="143"/>
      <c r="S451" s="143"/>
      <c r="T451" s="143"/>
      <c r="U451" s="144"/>
      <c r="V451" s="144"/>
      <c r="W451" s="144"/>
      <c r="X451" s="145"/>
      <c r="Y451" s="152" t="str">
        <f t="shared" ref="Y451:Y502" si="177">CONCATENATE(IF(P451=0,"  ",TEXT(P451,"#0")),IF(P451=0," ","."),IF(LEN(TRIM(Q451))=0,"  ",TEXT(Q451,"00")),IF(LEN(TRIM(Q451))=0,"","."),TEXT(O451,"00")," ")</f>
        <v xml:space="preserve">   50.00 </v>
      </c>
      <c r="Z451" s="136"/>
      <c r="AA451" s="50" t="str">
        <f t="shared" si="164"/>
        <v/>
      </c>
      <c r="AB451" s="129" t="str">
        <f t="shared" si="165"/>
        <v/>
      </c>
      <c r="AC451" s="58" t="str">
        <f t="shared" ref="AC451:AC502" si="178">IF(AG451&lt;&gt;"",CONCATENATE(J451,AG451),"")</f>
        <v/>
      </c>
      <c r="AD451" s="58" t="str">
        <f t="shared" ref="AD451:AD502" si="179">CONCATENATE(J451,L451)</f>
        <v/>
      </c>
      <c r="AE451" s="60" t="str">
        <f>IF(AD451="","",COUNTIF($AD$2:AD451,AD451))</f>
        <v/>
      </c>
      <c r="AF451" s="62" t="str">
        <f>IF(AD451="","",SUMIF(AD$2:AD451,AD451,G$2:G451))</f>
        <v/>
      </c>
      <c r="AG451" s="62" t="str">
        <f>IF(AK451&lt;&gt;"",COUNTIF($AK$1:AK450,AK451)+AK451,IF(AL451&lt;&gt;"",COUNTIF($AL$1:AL450,AL451)+AL451,""))</f>
        <v/>
      </c>
      <c r="AH451" s="62" t="str">
        <f t="shared" ref="AH451:AH502" si="180">L451</f>
        <v/>
      </c>
      <c r="AI451" s="62" t="str">
        <f>IF(AND(J451="M", AH451&lt;&gt;"U/A",AE451=Prizewinners!$J$1),AF451,"")</f>
        <v/>
      </c>
      <c r="AJ451" s="58" t="str">
        <f>IF(AND(J451="F",  AH451&lt;&gt;"U/A",AE451=Prizewinners!$J$16),AF451,"")</f>
        <v/>
      </c>
      <c r="AK451" s="58" t="str">
        <f t="shared" ref="AK451:AK502" si="181">IF(AI451&lt;&gt;"",RANK(AI451,AI$2:AI$504,1),"")</f>
        <v/>
      </c>
      <c r="AL451" s="58" t="str">
        <f t="shared" ref="AL451:AL502" si="182">IF(AJ451&lt;&gt;"",RANK(AJ451,AJ$2:AJ$504,1),"")</f>
        <v/>
      </c>
      <c r="AM451" s="58" t="str">
        <f t="shared" ref="AM451:AM502" si="183">CONCATENATE(AD451,AE451)</f>
        <v/>
      </c>
      <c r="AN451" s="58" t="str">
        <f t="shared" ref="AN451:AN502" si="184">IF(AG451&lt;&gt;"",VLOOKUP(CONCATENATE(AD451,"1"),Scoring_Team,5,FALSE),"")</f>
        <v/>
      </c>
      <c r="AO451" s="58" t="str">
        <f t="shared" ref="AO451:AO502" si="185">IF(AG451&lt;&gt;"",VLOOKUP(CONCATENATE(AD451,"2"),Scoring_Team,5,FALSE),"")</f>
        <v/>
      </c>
      <c r="AP451" s="58" t="str">
        <f t="shared" ref="AP451:AP502" si="186">IF(AG451&lt;&gt;"",VLOOKUP(CONCATENATE(AD451,"3"),Scoring_Team,5,FALSE),"")</f>
        <v/>
      </c>
      <c r="AQ451" s="58" t="str">
        <f t="shared" ref="AQ451:AQ502" si="187">K451</f>
        <v/>
      </c>
    </row>
    <row r="452" spans="1:43" x14ac:dyDescent="0.25">
      <c r="A452" s="12" t="str">
        <f t="shared" si="173"/>
        <v>,152</v>
      </c>
      <c r="B452" s="12" t="str">
        <f t="shared" si="174"/>
        <v>,146</v>
      </c>
      <c r="C452" s="11">
        <f t="shared" si="171"/>
        <v>451</v>
      </c>
      <c r="D452" s="171"/>
      <c r="E452" s="12">
        <f t="shared" si="172"/>
        <v>0</v>
      </c>
      <c r="F452" s="12">
        <f>COUNTIF(H$2:H452,H452)</f>
        <v>152</v>
      </c>
      <c r="G452" s="12">
        <f>COUNTIF(J$2:J452,J452)</f>
        <v>146</v>
      </c>
      <c r="H452" s="12" t="str">
        <f t="shared" si="166"/>
        <v/>
      </c>
      <c r="I452" s="50" t="str">
        <f t="shared" si="167"/>
        <v/>
      </c>
      <c r="J452" s="50" t="str">
        <f t="shared" si="168"/>
        <v/>
      </c>
      <c r="K452" s="64" t="str">
        <f t="shared" si="169"/>
        <v/>
      </c>
      <c r="L452" s="64" t="str">
        <f t="shared" si="170"/>
        <v/>
      </c>
      <c r="M452" s="171"/>
      <c r="N452" s="178"/>
      <c r="O452" s="178"/>
      <c r="P452" s="138">
        <f t="shared" si="175"/>
        <v>0</v>
      </c>
      <c r="Q452" s="137">
        <f t="shared" si="176"/>
        <v>50</v>
      </c>
      <c r="R452" s="143"/>
      <c r="S452" s="143"/>
      <c r="T452" s="143"/>
      <c r="U452" s="144"/>
      <c r="V452" s="144"/>
      <c r="W452" s="144"/>
      <c r="X452" s="145"/>
      <c r="Y452" s="152" t="str">
        <f t="shared" si="177"/>
        <v xml:space="preserve">   50.00 </v>
      </c>
      <c r="Z452" s="136"/>
      <c r="AA452" s="50" t="str">
        <f t="shared" ref="AA452:AA502" si="188">IF(ISNA(VLOOKUP($D452,Runner,6,FALSE)),"",VLOOKUP($D452,Runner,6,FALSE))</f>
        <v/>
      </c>
      <c r="AB452" s="129" t="str">
        <f t="shared" ref="AB452:AB502" si="189">IF(ISNA(VLOOKUP($D452,Runner,8,FALSE)),"",IF(VLOOKUP($D452,Runner,8,FALSE)=0,"",VLOOKUP($D452,Runner,8,FALSE)))</f>
        <v/>
      </c>
      <c r="AC452" s="58" t="str">
        <f t="shared" si="178"/>
        <v/>
      </c>
      <c r="AD452" s="58" t="str">
        <f t="shared" si="179"/>
        <v/>
      </c>
      <c r="AE452" s="60" t="str">
        <f>IF(AD452="","",COUNTIF($AD$2:AD452,AD452))</f>
        <v/>
      </c>
      <c r="AF452" s="62" t="str">
        <f>IF(AD452="","",SUMIF(AD$2:AD452,AD452,G$2:G452))</f>
        <v/>
      </c>
      <c r="AG452" s="62" t="str">
        <f>IF(AK452&lt;&gt;"",COUNTIF($AK$1:AK451,AK452)+AK452,IF(AL452&lt;&gt;"",COUNTIF($AL$1:AL451,AL452)+AL452,""))</f>
        <v/>
      </c>
      <c r="AH452" s="62" t="str">
        <f t="shared" si="180"/>
        <v/>
      </c>
      <c r="AI452" s="62" t="str">
        <f>IF(AND(J452="M", AH452&lt;&gt;"U/A",AE452=Prizewinners!$J$1),AF452,"")</f>
        <v/>
      </c>
      <c r="AJ452" s="58" t="str">
        <f>IF(AND(J452="F",  AH452&lt;&gt;"U/A",AE452=Prizewinners!$J$16),AF452,"")</f>
        <v/>
      </c>
      <c r="AK452" s="58" t="str">
        <f t="shared" si="181"/>
        <v/>
      </c>
      <c r="AL452" s="58" t="str">
        <f t="shared" si="182"/>
        <v/>
      </c>
      <c r="AM452" s="58" t="str">
        <f t="shared" si="183"/>
        <v/>
      </c>
      <c r="AN452" s="58" t="str">
        <f t="shared" si="184"/>
        <v/>
      </c>
      <c r="AO452" s="58" t="str">
        <f t="shared" si="185"/>
        <v/>
      </c>
      <c r="AP452" s="58" t="str">
        <f t="shared" si="186"/>
        <v/>
      </c>
      <c r="AQ452" s="58" t="str">
        <f t="shared" si="187"/>
        <v/>
      </c>
    </row>
    <row r="453" spans="1:43" x14ac:dyDescent="0.25">
      <c r="A453" s="12" t="str">
        <f t="shared" si="173"/>
        <v>,153</v>
      </c>
      <c r="B453" s="12" t="str">
        <f t="shared" si="174"/>
        <v>,147</v>
      </c>
      <c r="C453" s="11">
        <f t="shared" si="171"/>
        <v>452</v>
      </c>
      <c r="D453" s="171"/>
      <c r="E453" s="12">
        <f t="shared" si="172"/>
        <v>0</v>
      </c>
      <c r="F453" s="12">
        <f>COUNTIF(H$2:H453,H453)</f>
        <v>153</v>
      </c>
      <c r="G453" s="12">
        <f>COUNTIF(J$2:J453,J453)</f>
        <v>147</v>
      </c>
      <c r="H453" s="12" t="str">
        <f t="shared" ref="H453:H504" si="190">IF(G453&gt;3,I453,"")</f>
        <v/>
      </c>
      <c r="I453" s="50" t="str">
        <f t="shared" ref="I453:I504" si="191">IF(ISNA(VLOOKUP($D453,Runner,3,FALSE)),IF(ISNA(VLOOKUP($D453,Code,3,FALSE)),"",VLOOKUP($D453,Code,3,FALSE)),VLOOKUP($D453,Runner,3,FALSE))</f>
        <v/>
      </c>
      <c r="J453" s="50" t="str">
        <f t="shared" ref="J453:J504" si="192">IF(ISNA(VLOOKUP($D453,Runner,5,FALSE)),IF(ISNA(VLOOKUP($D453,Code,5,FALSE)),"",VLOOKUP($D453,Code,5,FALSE)),VLOOKUP($D453,Runner,5,FALSE))</f>
        <v/>
      </c>
      <c r="K453" s="64" t="str">
        <f t="shared" ref="K453:K504" si="193">TRIM(IF(ISNA(VLOOKUP($D453,Runner,2,FALSE)),IF(ISNA(VLOOKUP($D453,Code,2,FALSE)),"",VLOOKUP($D453,Code,2,FALSE)),VLOOKUP($D453,Runner,2,FALSE)))</f>
        <v/>
      </c>
      <c r="L453" s="64" t="str">
        <f t="shared" ref="L453:L504" si="194">IF(ISNA(VLOOKUP($D453,Runner,4,FALSE)),IF(ISNA(VLOOKUP($D453,Code,4,FALSE)),"",VLOOKUP($D453,Code,4,FALSE)),VLOOKUP($D453,Runner,4,FALSE))</f>
        <v/>
      </c>
      <c r="M453" s="171"/>
      <c r="N453" s="178"/>
      <c r="O453" s="178"/>
      <c r="P453" s="138">
        <f t="shared" si="175"/>
        <v>0</v>
      </c>
      <c r="Q453" s="137">
        <f t="shared" si="176"/>
        <v>50</v>
      </c>
      <c r="R453" s="143"/>
      <c r="S453" s="143"/>
      <c r="T453" s="143"/>
      <c r="U453" s="144"/>
      <c r="V453" s="144"/>
      <c r="W453" s="144"/>
      <c r="X453" s="145"/>
      <c r="Y453" s="152" t="str">
        <f t="shared" si="177"/>
        <v xml:space="preserve">   50.00 </v>
      </c>
      <c r="Z453" s="136"/>
      <c r="AA453" s="50" t="str">
        <f t="shared" si="188"/>
        <v/>
      </c>
      <c r="AB453" s="129" t="str">
        <f t="shared" si="189"/>
        <v/>
      </c>
      <c r="AC453" s="58" t="str">
        <f t="shared" si="178"/>
        <v/>
      </c>
      <c r="AD453" s="58" t="str">
        <f t="shared" si="179"/>
        <v/>
      </c>
      <c r="AE453" s="60" t="str">
        <f>IF(AD453="","",COUNTIF($AD$2:AD453,AD453))</f>
        <v/>
      </c>
      <c r="AF453" s="62" t="str">
        <f>IF(AD453="","",SUMIF(AD$2:AD453,AD453,G$2:G453))</f>
        <v/>
      </c>
      <c r="AG453" s="62" t="str">
        <f>IF(AK453&lt;&gt;"",COUNTIF($AK$1:AK452,AK453)+AK453,IF(AL453&lt;&gt;"",COUNTIF($AL$1:AL452,AL453)+AL453,""))</f>
        <v/>
      </c>
      <c r="AH453" s="62" t="str">
        <f t="shared" si="180"/>
        <v/>
      </c>
      <c r="AI453" s="62" t="str">
        <f>IF(AND(J453="M", AH453&lt;&gt;"U/A",AE453=Prizewinners!$J$1),AF453,"")</f>
        <v/>
      </c>
      <c r="AJ453" s="58" t="str">
        <f>IF(AND(J453="F",  AH453&lt;&gt;"U/A",AE453=Prizewinners!$J$16),AF453,"")</f>
        <v/>
      </c>
      <c r="AK453" s="58" t="str">
        <f t="shared" si="181"/>
        <v/>
      </c>
      <c r="AL453" s="58" t="str">
        <f t="shared" si="182"/>
        <v/>
      </c>
      <c r="AM453" s="58" t="str">
        <f t="shared" si="183"/>
        <v/>
      </c>
      <c r="AN453" s="58" t="str">
        <f t="shared" si="184"/>
        <v/>
      </c>
      <c r="AO453" s="58" t="str">
        <f t="shared" si="185"/>
        <v/>
      </c>
      <c r="AP453" s="58" t="str">
        <f t="shared" si="186"/>
        <v/>
      </c>
      <c r="AQ453" s="58" t="str">
        <f t="shared" si="187"/>
        <v/>
      </c>
    </row>
    <row r="454" spans="1:43" x14ac:dyDescent="0.25">
      <c r="A454" s="12" t="str">
        <f t="shared" si="173"/>
        <v>,154</v>
      </c>
      <c r="B454" s="12" t="str">
        <f t="shared" si="174"/>
        <v>,148</v>
      </c>
      <c r="C454" s="11">
        <f t="shared" ref="C454:C504" si="195">C453+1</f>
        <v>453</v>
      </c>
      <c r="D454" s="171"/>
      <c r="E454" s="12">
        <f t="shared" si="172"/>
        <v>0</v>
      </c>
      <c r="F454" s="12">
        <f>COUNTIF(H$2:H454,H454)</f>
        <v>154</v>
      </c>
      <c r="G454" s="12">
        <f>COUNTIF(J$2:J454,J454)</f>
        <v>148</v>
      </c>
      <c r="H454" s="12" t="str">
        <f t="shared" si="190"/>
        <v/>
      </c>
      <c r="I454" s="50" t="str">
        <f t="shared" si="191"/>
        <v/>
      </c>
      <c r="J454" s="50" t="str">
        <f t="shared" si="192"/>
        <v/>
      </c>
      <c r="K454" s="64" t="str">
        <f t="shared" si="193"/>
        <v/>
      </c>
      <c r="L454" s="64" t="str">
        <f t="shared" si="194"/>
        <v/>
      </c>
      <c r="M454" s="171"/>
      <c r="N454" s="178"/>
      <c r="O454" s="178"/>
      <c r="P454" s="138">
        <f t="shared" si="175"/>
        <v>0</v>
      </c>
      <c r="Q454" s="137">
        <f t="shared" si="176"/>
        <v>50</v>
      </c>
      <c r="R454" s="143"/>
      <c r="S454" s="143"/>
      <c r="T454" s="143"/>
      <c r="U454" s="144"/>
      <c r="V454" s="144"/>
      <c r="W454" s="144"/>
      <c r="X454" s="145"/>
      <c r="Y454" s="152" t="str">
        <f t="shared" si="177"/>
        <v xml:space="preserve">   50.00 </v>
      </c>
      <c r="Z454" s="136"/>
      <c r="AA454" s="50" t="str">
        <f t="shared" si="188"/>
        <v/>
      </c>
      <c r="AB454" s="129" t="str">
        <f t="shared" si="189"/>
        <v/>
      </c>
      <c r="AC454" s="58" t="str">
        <f t="shared" si="178"/>
        <v/>
      </c>
      <c r="AD454" s="58" t="str">
        <f t="shared" si="179"/>
        <v/>
      </c>
      <c r="AE454" s="60" t="str">
        <f>IF(AD454="","",COUNTIF($AD$2:AD454,AD454))</f>
        <v/>
      </c>
      <c r="AF454" s="62" t="str">
        <f>IF(AD454="","",SUMIF(AD$2:AD454,AD454,G$2:G454))</f>
        <v/>
      </c>
      <c r="AG454" s="62" t="str">
        <f>IF(AK454&lt;&gt;"",COUNTIF($AK$1:AK453,AK454)+AK454,IF(AL454&lt;&gt;"",COUNTIF($AL$1:AL453,AL454)+AL454,""))</f>
        <v/>
      </c>
      <c r="AH454" s="62" t="str">
        <f t="shared" si="180"/>
        <v/>
      </c>
      <c r="AI454" s="62" t="str">
        <f>IF(AND(J454="M", AH454&lt;&gt;"U/A",AE454=Prizewinners!$J$1),AF454,"")</f>
        <v/>
      </c>
      <c r="AJ454" s="58" t="str">
        <f>IF(AND(J454="F",  AH454&lt;&gt;"U/A",AE454=Prizewinners!$J$16),AF454,"")</f>
        <v/>
      </c>
      <c r="AK454" s="58" t="str">
        <f t="shared" si="181"/>
        <v/>
      </c>
      <c r="AL454" s="58" t="str">
        <f t="shared" si="182"/>
        <v/>
      </c>
      <c r="AM454" s="58" t="str">
        <f t="shared" si="183"/>
        <v/>
      </c>
      <c r="AN454" s="58" t="str">
        <f t="shared" si="184"/>
        <v/>
      </c>
      <c r="AO454" s="58" t="str">
        <f t="shared" si="185"/>
        <v/>
      </c>
      <c r="AP454" s="58" t="str">
        <f t="shared" si="186"/>
        <v/>
      </c>
      <c r="AQ454" s="58" t="str">
        <f t="shared" si="187"/>
        <v/>
      </c>
    </row>
    <row r="455" spans="1:43" x14ac:dyDescent="0.25">
      <c r="A455" s="12" t="str">
        <f t="shared" si="173"/>
        <v>,155</v>
      </c>
      <c r="B455" s="12" t="str">
        <f t="shared" si="174"/>
        <v>,149</v>
      </c>
      <c r="C455" s="11">
        <f t="shared" si="195"/>
        <v>454</v>
      </c>
      <c r="D455" s="171"/>
      <c r="E455" s="12">
        <f t="shared" si="172"/>
        <v>0</v>
      </c>
      <c r="F455" s="12">
        <f>COUNTIF(H$2:H455,H455)</f>
        <v>155</v>
      </c>
      <c r="G455" s="12">
        <f>COUNTIF(J$2:J455,J455)</f>
        <v>149</v>
      </c>
      <c r="H455" s="12" t="str">
        <f t="shared" si="190"/>
        <v/>
      </c>
      <c r="I455" s="50" t="str">
        <f t="shared" si="191"/>
        <v/>
      </c>
      <c r="J455" s="50" t="str">
        <f t="shared" si="192"/>
        <v/>
      </c>
      <c r="K455" s="64" t="str">
        <f t="shared" si="193"/>
        <v/>
      </c>
      <c r="L455" s="64" t="str">
        <f t="shared" si="194"/>
        <v/>
      </c>
      <c r="M455" s="171"/>
      <c r="N455" s="178"/>
      <c r="O455" s="178"/>
      <c r="P455" s="138">
        <f t="shared" si="175"/>
        <v>0</v>
      </c>
      <c r="Q455" s="137">
        <f t="shared" si="176"/>
        <v>50</v>
      </c>
      <c r="R455" s="143"/>
      <c r="S455" s="143"/>
      <c r="T455" s="143"/>
      <c r="U455" s="144"/>
      <c r="V455" s="144"/>
      <c r="W455" s="144"/>
      <c r="X455" s="145"/>
      <c r="Y455" s="152" t="str">
        <f t="shared" si="177"/>
        <v xml:space="preserve">   50.00 </v>
      </c>
      <c r="Z455" s="136"/>
      <c r="AA455" s="50" t="str">
        <f t="shared" si="188"/>
        <v/>
      </c>
      <c r="AB455" s="129" t="str">
        <f t="shared" si="189"/>
        <v/>
      </c>
      <c r="AC455" s="58" t="str">
        <f t="shared" si="178"/>
        <v/>
      </c>
      <c r="AD455" s="58" t="str">
        <f t="shared" si="179"/>
        <v/>
      </c>
      <c r="AE455" s="60" t="str">
        <f>IF(AD455="","",COUNTIF($AD$2:AD455,AD455))</f>
        <v/>
      </c>
      <c r="AF455" s="62" t="str">
        <f>IF(AD455="","",SUMIF(AD$2:AD455,AD455,G$2:G455))</f>
        <v/>
      </c>
      <c r="AG455" s="62" t="str">
        <f>IF(AK455&lt;&gt;"",COUNTIF($AK$1:AK454,AK455)+AK455,IF(AL455&lt;&gt;"",COUNTIF($AL$1:AL454,AL455)+AL455,""))</f>
        <v/>
      </c>
      <c r="AH455" s="62" t="str">
        <f t="shared" si="180"/>
        <v/>
      </c>
      <c r="AI455" s="62" t="str">
        <f>IF(AND(J455="M", AH455&lt;&gt;"U/A",AE455=Prizewinners!$J$1),AF455,"")</f>
        <v/>
      </c>
      <c r="AJ455" s="58" t="str">
        <f>IF(AND(J455="F",  AH455&lt;&gt;"U/A",AE455=Prizewinners!$J$16),AF455,"")</f>
        <v/>
      </c>
      <c r="AK455" s="58" t="str">
        <f t="shared" si="181"/>
        <v/>
      </c>
      <c r="AL455" s="58" t="str">
        <f t="shared" si="182"/>
        <v/>
      </c>
      <c r="AM455" s="58" t="str">
        <f t="shared" si="183"/>
        <v/>
      </c>
      <c r="AN455" s="58" t="str">
        <f t="shared" si="184"/>
        <v/>
      </c>
      <c r="AO455" s="58" t="str">
        <f t="shared" si="185"/>
        <v/>
      </c>
      <c r="AP455" s="58" t="str">
        <f t="shared" si="186"/>
        <v/>
      </c>
      <c r="AQ455" s="58" t="str">
        <f t="shared" si="187"/>
        <v/>
      </c>
    </row>
    <row r="456" spans="1:43" x14ac:dyDescent="0.25">
      <c r="A456" s="12" t="str">
        <f t="shared" si="173"/>
        <v>,156</v>
      </c>
      <c r="B456" s="12" t="str">
        <f t="shared" si="174"/>
        <v>,150</v>
      </c>
      <c r="C456" s="11">
        <f t="shared" si="195"/>
        <v>455</v>
      </c>
      <c r="D456" s="171"/>
      <c r="E456" s="12">
        <f t="shared" si="172"/>
        <v>0</v>
      </c>
      <c r="F456" s="12">
        <f>COUNTIF(H$2:H456,H456)</f>
        <v>156</v>
      </c>
      <c r="G456" s="12">
        <f>COUNTIF(J$2:J456,J456)</f>
        <v>150</v>
      </c>
      <c r="H456" s="12" t="str">
        <f t="shared" si="190"/>
        <v/>
      </c>
      <c r="I456" s="50" t="str">
        <f t="shared" si="191"/>
        <v/>
      </c>
      <c r="J456" s="50" t="str">
        <f t="shared" si="192"/>
        <v/>
      </c>
      <c r="K456" s="64" t="str">
        <f t="shared" si="193"/>
        <v/>
      </c>
      <c r="L456" s="64" t="str">
        <f t="shared" si="194"/>
        <v/>
      </c>
      <c r="M456" s="171"/>
      <c r="N456" s="178"/>
      <c r="O456" s="178"/>
      <c r="P456" s="138">
        <f t="shared" si="175"/>
        <v>0</v>
      </c>
      <c r="Q456" s="137">
        <f t="shared" si="176"/>
        <v>50</v>
      </c>
      <c r="R456" s="143"/>
      <c r="S456" s="143"/>
      <c r="T456" s="143"/>
      <c r="U456" s="144"/>
      <c r="V456" s="144"/>
      <c r="W456" s="144"/>
      <c r="X456" s="145"/>
      <c r="Y456" s="152" t="str">
        <f t="shared" si="177"/>
        <v xml:space="preserve">   50.00 </v>
      </c>
      <c r="Z456" s="136"/>
      <c r="AA456" s="50" t="str">
        <f t="shared" si="188"/>
        <v/>
      </c>
      <c r="AB456" s="129" t="str">
        <f t="shared" si="189"/>
        <v/>
      </c>
      <c r="AC456" s="58" t="str">
        <f t="shared" si="178"/>
        <v/>
      </c>
      <c r="AD456" s="58" t="str">
        <f t="shared" si="179"/>
        <v/>
      </c>
      <c r="AE456" s="60" t="str">
        <f>IF(AD456="","",COUNTIF($AD$2:AD456,AD456))</f>
        <v/>
      </c>
      <c r="AF456" s="62" t="str">
        <f>IF(AD456="","",SUMIF(AD$2:AD456,AD456,G$2:G456))</f>
        <v/>
      </c>
      <c r="AG456" s="62" t="str">
        <f>IF(AK456&lt;&gt;"",COUNTIF($AK$1:AK455,AK456)+AK456,IF(AL456&lt;&gt;"",COUNTIF($AL$1:AL455,AL456)+AL456,""))</f>
        <v/>
      </c>
      <c r="AH456" s="62" t="str">
        <f t="shared" si="180"/>
        <v/>
      </c>
      <c r="AI456" s="62" t="str">
        <f>IF(AND(J456="M", AH456&lt;&gt;"U/A",AE456=Prizewinners!$J$1),AF456,"")</f>
        <v/>
      </c>
      <c r="AJ456" s="58" t="str">
        <f>IF(AND(J456="F",  AH456&lt;&gt;"U/A",AE456=Prizewinners!$J$16),AF456,"")</f>
        <v/>
      </c>
      <c r="AK456" s="58" t="str">
        <f t="shared" si="181"/>
        <v/>
      </c>
      <c r="AL456" s="58" t="str">
        <f t="shared" si="182"/>
        <v/>
      </c>
      <c r="AM456" s="58" t="str">
        <f t="shared" si="183"/>
        <v/>
      </c>
      <c r="AN456" s="58" t="str">
        <f t="shared" si="184"/>
        <v/>
      </c>
      <c r="AO456" s="58" t="str">
        <f t="shared" si="185"/>
        <v/>
      </c>
      <c r="AP456" s="58" t="str">
        <f t="shared" si="186"/>
        <v/>
      </c>
      <c r="AQ456" s="58" t="str">
        <f t="shared" si="187"/>
        <v/>
      </c>
    </row>
    <row r="457" spans="1:43" x14ac:dyDescent="0.25">
      <c r="A457" s="12" t="str">
        <f t="shared" si="173"/>
        <v>,157</v>
      </c>
      <c r="B457" s="12" t="str">
        <f t="shared" si="174"/>
        <v>,151</v>
      </c>
      <c r="C457" s="11">
        <f t="shared" si="195"/>
        <v>456</v>
      </c>
      <c r="D457" s="171"/>
      <c r="E457" s="12">
        <f t="shared" si="172"/>
        <v>0</v>
      </c>
      <c r="F457" s="12">
        <f>COUNTIF(H$2:H457,H457)</f>
        <v>157</v>
      </c>
      <c r="G457" s="12">
        <f>COUNTIF(J$2:J457,J457)</f>
        <v>151</v>
      </c>
      <c r="H457" s="12" t="str">
        <f t="shared" si="190"/>
        <v/>
      </c>
      <c r="I457" s="50" t="str">
        <f t="shared" si="191"/>
        <v/>
      </c>
      <c r="J457" s="50" t="str">
        <f t="shared" si="192"/>
        <v/>
      </c>
      <c r="K457" s="64" t="str">
        <f t="shared" si="193"/>
        <v/>
      </c>
      <c r="L457" s="64" t="str">
        <f t="shared" si="194"/>
        <v/>
      </c>
      <c r="M457" s="171"/>
      <c r="N457" s="178"/>
      <c r="O457" s="178"/>
      <c r="P457" s="138">
        <f t="shared" si="175"/>
        <v>0</v>
      </c>
      <c r="Q457" s="137">
        <f t="shared" si="176"/>
        <v>50</v>
      </c>
      <c r="R457" s="143"/>
      <c r="S457" s="143"/>
      <c r="T457" s="143"/>
      <c r="U457" s="144"/>
      <c r="V457" s="144"/>
      <c r="W457" s="144"/>
      <c r="X457" s="145"/>
      <c r="Y457" s="152" t="str">
        <f t="shared" si="177"/>
        <v xml:space="preserve">   50.00 </v>
      </c>
      <c r="Z457" s="136"/>
      <c r="AA457" s="50" t="str">
        <f t="shared" si="188"/>
        <v/>
      </c>
      <c r="AB457" s="129" t="str">
        <f t="shared" si="189"/>
        <v/>
      </c>
      <c r="AC457" s="58" t="str">
        <f t="shared" si="178"/>
        <v/>
      </c>
      <c r="AD457" s="58" t="str">
        <f t="shared" si="179"/>
        <v/>
      </c>
      <c r="AE457" s="60" t="str">
        <f>IF(AD457="","",COUNTIF($AD$2:AD457,AD457))</f>
        <v/>
      </c>
      <c r="AF457" s="62" t="str">
        <f>IF(AD457="","",SUMIF(AD$2:AD457,AD457,G$2:G457))</f>
        <v/>
      </c>
      <c r="AG457" s="62" t="str">
        <f>IF(AK457&lt;&gt;"",COUNTIF($AK$1:AK456,AK457)+AK457,IF(AL457&lt;&gt;"",COUNTIF($AL$1:AL456,AL457)+AL457,""))</f>
        <v/>
      </c>
      <c r="AH457" s="62" t="str">
        <f t="shared" si="180"/>
        <v/>
      </c>
      <c r="AI457" s="62" t="str">
        <f>IF(AND(J457="M", AH457&lt;&gt;"U/A",AE457=Prizewinners!$J$1),AF457,"")</f>
        <v/>
      </c>
      <c r="AJ457" s="58" t="str">
        <f>IF(AND(J457="F",  AH457&lt;&gt;"U/A",AE457=Prizewinners!$J$16),AF457,"")</f>
        <v/>
      </c>
      <c r="AK457" s="58" t="str">
        <f t="shared" si="181"/>
        <v/>
      </c>
      <c r="AL457" s="58" t="str">
        <f t="shared" si="182"/>
        <v/>
      </c>
      <c r="AM457" s="58" t="str">
        <f t="shared" si="183"/>
        <v/>
      </c>
      <c r="AN457" s="58" t="str">
        <f t="shared" si="184"/>
        <v/>
      </c>
      <c r="AO457" s="58" t="str">
        <f t="shared" si="185"/>
        <v/>
      </c>
      <c r="AP457" s="58" t="str">
        <f t="shared" si="186"/>
        <v/>
      </c>
      <c r="AQ457" s="58" t="str">
        <f t="shared" si="187"/>
        <v/>
      </c>
    </row>
    <row r="458" spans="1:43" x14ac:dyDescent="0.25">
      <c r="A458" s="12" t="str">
        <f t="shared" si="173"/>
        <v>,158</v>
      </c>
      <c r="B458" s="12" t="str">
        <f t="shared" si="174"/>
        <v>,152</v>
      </c>
      <c r="C458" s="11">
        <f t="shared" si="195"/>
        <v>457</v>
      </c>
      <c r="D458" s="171"/>
      <c r="E458" s="12">
        <f t="shared" si="172"/>
        <v>0</v>
      </c>
      <c r="F458" s="12">
        <f>COUNTIF(H$2:H458,H458)</f>
        <v>158</v>
      </c>
      <c r="G458" s="12">
        <f>COUNTIF(J$2:J458,J458)</f>
        <v>152</v>
      </c>
      <c r="H458" s="12" t="str">
        <f t="shared" si="190"/>
        <v/>
      </c>
      <c r="I458" s="50" t="str">
        <f t="shared" si="191"/>
        <v/>
      </c>
      <c r="J458" s="50" t="str">
        <f t="shared" si="192"/>
        <v/>
      </c>
      <c r="K458" s="64" t="str">
        <f t="shared" si="193"/>
        <v/>
      </c>
      <c r="L458" s="64" t="str">
        <f t="shared" si="194"/>
        <v/>
      </c>
      <c r="M458" s="171"/>
      <c r="N458" s="178"/>
      <c r="O458" s="178"/>
      <c r="P458" s="138">
        <f t="shared" si="175"/>
        <v>0</v>
      </c>
      <c r="Q458" s="137">
        <f t="shared" si="176"/>
        <v>50</v>
      </c>
      <c r="R458" s="143"/>
      <c r="S458" s="143"/>
      <c r="T458" s="143"/>
      <c r="U458" s="144"/>
      <c r="V458" s="144"/>
      <c r="W458" s="144"/>
      <c r="X458" s="145"/>
      <c r="Y458" s="152" t="str">
        <f t="shared" si="177"/>
        <v xml:space="preserve">   50.00 </v>
      </c>
      <c r="Z458" s="136"/>
      <c r="AA458" s="50" t="str">
        <f t="shared" si="188"/>
        <v/>
      </c>
      <c r="AB458" s="129" t="str">
        <f t="shared" si="189"/>
        <v/>
      </c>
      <c r="AC458" s="58" t="str">
        <f t="shared" si="178"/>
        <v/>
      </c>
      <c r="AD458" s="58" t="str">
        <f t="shared" si="179"/>
        <v/>
      </c>
      <c r="AE458" s="60" t="str">
        <f>IF(AD458="","",COUNTIF($AD$2:AD458,AD458))</f>
        <v/>
      </c>
      <c r="AF458" s="62" t="str">
        <f>IF(AD458="","",SUMIF(AD$2:AD458,AD458,G$2:G458))</f>
        <v/>
      </c>
      <c r="AG458" s="62" t="str">
        <f>IF(AK458&lt;&gt;"",COUNTIF($AK$1:AK457,AK458)+AK458,IF(AL458&lt;&gt;"",COUNTIF($AL$1:AL457,AL458)+AL458,""))</f>
        <v/>
      </c>
      <c r="AH458" s="62" t="str">
        <f t="shared" si="180"/>
        <v/>
      </c>
      <c r="AI458" s="62" t="str">
        <f>IF(AND(J458="M", AH458&lt;&gt;"U/A",AE458=Prizewinners!$J$1),AF458,"")</f>
        <v/>
      </c>
      <c r="AJ458" s="58" t="str">
        <f>IF(AND(J458="F",  AH458&lt;&gt;"U/A",AE458=Prizewinners!$J$16),AF458,"")</f>
        <v/>
      </c>
      <c r="AK458" s="58" t="str">
        <f t="shared" si="181"/>
        <v/>
      </c>
      <c r="AL458" s="58" t="str">
        <f t="shared" si="182"/>
        <v/>
      </c>
      <c r="AM458" s="58" t="str">
        <f t="shared" si="183"/>
        <v/>
      </c>
      <c r="AN458" s="58" t="str">
        <f t="shared" si="184"/>
        <v/>
      </c>
      <c r="AO458" s="58" t="str">
        <f t="shared" si="185"/>
        <v/>
      </c>
      <c r="AP458" s="58" t="str">
        <f t="shared" si="186"/>
        <v/>
      </c>
      <c r="AQ458" s="58" t="str">
        <f t="shared" si="187"/>
        <v/>
      </c>
    </row>
    <row r="459" spans="1:43" x14ac:dyDescent="0.25">
      <c r="A459" s="12" t="str">
        <f t="shared" si="173"/>
        <v>,159</v>
      </c>
      <c r="B459" s="12" t="str">
        <f t="shared" si="174"/>
        <v>,153</v>
      </c>
      <c r="C459" s="11">
        <f t="shared" si="195"/>
        <v>458</v>
      </c>
      <c r="D459" s="171"/>
      <c r="E459" s="12">
        <f t="shared" si="172"/>
        <v>0</v>
      </c>
      <c r="F459" s="12">
        <f>COUNTIF(H$2:H459,H459)</f>
        <v>159</v>
      </c>
      <c r="G459" s="12">
        <f>COUNTIF(J$2:J459,J459)</f>
        <v>153</v>
      </c>
      <c r="H459" s="12" t="str">
        <f t="shared" si="190"/>
        <v/>
      </c>
      <c r="I459" s="50" t="str">
        <f t="shared" si="191"/>
        <v/>
      </c>
      <c r="J459" s="50" t="str">
        <f t="shared" si="192"/>
        <v/>
      </c>
      <c r="K459" s="64" t="str">
        <f t="shared" si="193"/>
        <v/>
      </c>
      <c r="L459" s="64" t="str">
        <f t="shared" si="194"/>
        <v/>
      </c>
      <c r="M459" s="171"/>
      <c r="N459" s="178"/>
      <c r="O459" s="178"/>
      <c r="P459" s="138">
        <f t="shared" si="175"/>
        <v>0</v>
      </c>
      <c r="Q459" s="137">
        <f t="shared" si="176"/>
        <v>50</v>
      </c>
      <c r="R459" s="143"/>
      <c r="S459" s="143"/>
      <c r="T459" s="143"/>
      <c r="U459" s="144"/>
      <c r="V459" s="144"/>
      <c r="W459" s="144"/>
      <c r="X459" s="145"/>
      <c r="Y459" s="152" t="str">
        <f t="shared" si="177"/>
        <v xml:space="preserve">   50.00 </v>
      </c>
      <c r="Z459" s="136"/>
      <c r="AA459" s="50" t="str">
        <f t="shared" si="188"/>
        <v/>
      </c>
      <c r="AB459" s="129" t="str">
        <f t="shared" si="189"/>
        <v/>
      </c>
      <c r="AC459" s="58" t="str">
        <f t="shared" si="178"/>
        <v/>
      </c>
      <c r="AD459" s="58" t="str">
        <f t="shared" si="179"/>
        <v/>
      </c>
      <c r="AE459" s="60" t="str">
        <f>IF(AD459="","",COUNTIF($AD$2:AD459,AD459))</f>
        <v/>
      </c>
      <c r="AF459" s="62" t="str">
        <f>IF(AD459="","",SUMIF(AD$2:AD459,AD459,G$2:G459))</f>
        <v/>
      </c>
      <c r="AG459" s="62" t="str">
        <f>IF(AK459&lt;&gt;"",COUNTIF($AK$1:AK458,AK459)+AK459,IF(AL459&lt;&gt;"",COUNTIF($AL$1:AL458,AL459)+AL459,""))</f>
        <v/>
      </c>
      <c r="AH459" s="62" t="str">
        <f t="shared" si="180"/>
        <v/>
      </c>
      <c r="AI459" s="62" t="str">
        <f>IF(AND(J459="M", AH459&lt;&gt;"U/A",AE459=Prizewinners!$J$1),AF459,"")</f>
        <v/>
      </c>
      <c r="AJ459" s="58" t="str">
        <f>IF(AND(J459="F",  AH459&lt;&gt;"U/A",AE459=Prizewinners!$J$16),AF459,"")</f>
        <v/>
      </c>
      <c r="AK459" s="58" t="str">
        <f t="shared" si="181"/>
        <v/>
      </c>
      <c r="AL459" s="58" t="str">
        <f t="shared" si="182"/>
        <v/>
      </c>
      <c r="AM459" s="58" t="str">
        <f t="shared" si="183"/>
        <v/>
      </c>
      <c r="AN459" s="58" t="str">
        <f t="shared" si="184"/>
        <v/>
      </c>
      <c r="AO459" s="58" t="str">
        <f t="shared" si="185"/>
        <v/>
      </c>
      <c r="AP459" s="58" t="str">
        <f t="shared" si="186"/>
        <v/>
      </c>
      <c r="AQ459" s="58" t="str">
        <f t="shared" si="187"/>
        <v/>
      </c>
    </row>
    <row r="460" spans="1:43" x14ac:dyDescent="0.25">
      <c r="A460" s="12" t="str">
        <f t="shared" si="173"/>
        <v>,160</v>
      </c>
      <c r="B460" s="12" t="str">
        <f t="shared" si="174"/>
        <v>,154</v>
      </c>
      <c r="C460" s="11">
        <f t="shared" si="195"/>
        <v>459</v>
      </c>
      <c r="D460" s="171"/>
      <c r="E460" s="12">
        <f t="shared" si="172"/>
        <v>0</v>
      </c>
      <c r="F460" s="12">
        <f>COUNTIF(H$2:H460,H460)</f>
        <v>160</v>
      </c>
      <c r="G460" s="12">
        <f>COUNTIF(J$2:J460,J460)</f>
        <v>154</v>
      </c>
      <c r="H460" s="12" t="str">
        <f t="shared" si="190"/>
        <v/>
      </c>
      <c r="I460" s="50" t="str">
        <f t="shared" si="191"/>
        <v/>
      </c>
      <c r="J460" s="50" t="str">
        <f t="shared" si="192"/>
        <v/>
      </c>
      <c r="K460" s="64" t="str">
        <f t="shared" si="193"/>
        <v/>
      </c>
      <c r="L460" s="64" t="str">
        <f t="shared" si="194"/>
        <v/>
      </c>
      <c r="M460" s="171"/>
      <c r="N460" s="178"/>
      <c r="O460" s="178"/>
      <c r="P460" s="138">
        <f t="shared" si="175"/>
        <v>0</v>
      </c>
      <c r="Q460" s="137">
        <f t="shared" si="176"/>
        <v>50</v>
      </c>
      <c r="R460" s="143"/>
      <c r="S460" s="143"/>
      <c r="T460" s="143"/>
      <c r="U460" s="144"/>
      <c r="V460" s="144"/>
      <c r="W460" s="144"/>
      <c r="X460" s="145"/>
      <c r="Y460" s="152" t="str">
        <f t="shared" si="177"/>
        <v xml:space="preserve">   50.00 </v>
      </c>
      <c r="Z460" s="136"/>
      <c r="AA460" s="50" t="str">
        <f t="shared" si="188"/>
        <v/>
      </c>
      <c r="AB460" s="129" t="str">
        <f t="shared" si="189"/>
        <v/>
      </c>
      <c r="AC460" s="58" t="str">
        <f t="shared" si="178"/>
        <v/>
      </c>
      <c r="AD460" s="58" t="str">
        <f t="shared" si="179"/>
        <v/>
      </c>
      <c r="AE460" s="60" t="str">
        <f>IF(AD460="","",COUNTIF($AD$2:AD460,AD460))</f>
        <v/>
      </c>
      <c r="AF460" s="62" t="str">
        <f>IF(AD460="","",SUMIF(AD$2:AD460,AD460,G$2:G460))</f>
        <v/>
      </c>
      <c r="AG460" s="62" t="str">
        <f>IF(AK460&lt;&gt;"",COUNTIF($AK$1:AK459,AK460)+AK460,IF(AL460&lt;&gt;"",COUNTIF($AL$1:AL459,AL460)+AL460,""))</f>
        <v/>
      </c>
      <c r="AH460" s="62" t="str">
        <f t="shared" si="180"/>
        <v/>
      </c>
      <c r="AI460" s="62" t="str">
        <f>IF(AND(J460="M", AH460&lt;&gt;"U/A",AE460=Prizewinners!$J$1),AF460,"")</f>
        <v/>
      </c>
      <c r="AJ460" s="58" t="str">
        <f>IF(AND(J460="F",  AH460&lt;&gt;"U/A",AE460=Prizewinners!$J$16),AF460,"")</f>
        <v/>
      </c>
      <c r="AK460" s="58" t="str">
        <f t="shared" si="181"/>
        <v/>
      </c>
      <c r="AL460" s="58" t="str">
        <f t="shared" si="182"/>
        <v/>
      </c>
      <c r="AM460" s="58" t="str">
        <f t="shared" si="183"/>
        <v/>
      </c>
      <c r="AN460" s="58" t="str">
        <f t="shared" si="184"/>
        <v/>
      </c>
      <c r="AO460" s="58" t="str">
        <f t="shared" si="185"/>
        <v/>
      </c>
      <c r="AP460" s="58" t="str">
        <f t="shared" si="186"/>
        <v/>
      </c>
      <c r="AQ460" s="58" t="str">
        <f t="shared" si="187"/>
        <v/>
      </c>
    </row>
    <row r="461" spans="1:43" x14ac:dyDescent="0.25">
      <c r="A461" s="12" t="str">
        <f t="shared" si="173"/>
        <v>,161</v>
      </c>
      <c r="B461" s="12" t="str">
        <f t="shared" si="174"/>
        <v>,155</v>
      </c>
      <c r="C461" s="11">
        <f t="shared" si="195"/>
        <v>460</v>
      </c>
      <c r="D461" s="171"/>
      <c r="E461" s="12">
        <f t="shared" si="172"/>
        <v>0</v>
      </c>
      <c r="F461" s="12">
        <f>COUNTIF(H$2:H461,H461)</f>
        <v>161</v>
      </c>
      <c r="G461" s="12">
        <f>COUNTIF(J$2:J461,J461)</f>
        <v>155</v>
      </c>
      <c r="H461" s="12" t="str">
        <f t="shared" si="190"/>
        <v/>
      </c>
      <c r="I461" s="50" t="str">
        <f t="shared" si="191"/>
        <v/>
      </c>
      <c r="J461" s="50" t="str">
        <f t="shared" si="192"/>
        <v/>
      </c>
      <c r="K461" s="64" t="str">
        <f t="shared" si="193"/>
        <v/>
      </c>
      <c r="L461" s="64" t="str">
        <f t="shared" si="194"/>
        <v/>
      </c>
      <c r="M461" s="171"/>
      <c r="N461" s="178"/>
      <c r="O461" s="178"/>
      <c r="P461" s="138">
        <f t="shared" si="175"/>
        <v>0</v>
      </c>
      <c r="Q461" s="137">
        <f t="shared" si="176"/>
        <v>50</v>
      </c>
      <c r="R461" s="143"/>
      <c r="S461" s="143"/>
      <c r="T461" s="143"/>
      <c r="U461" s="144"/>
      <c r="V461" s="144"/>
      <c r="W461" s="144"/>
      <c r="X461" s="145"/>
      <c r="Y461" s="152" t="str">
        <f t="shared" si="177"/>
        <v xml:space="preserve">   50.00 </v>
      </c>
      <c r="Z461" s="136"/>
      <c r="AA461" s="50" t="str">
        <f t="shared" si="188"/>
        <v/>
      </c>
      <c r="AB461" s="129" t="str">
        <f t="shared" si="189"/>
        <v/>
      </c>
      <c r="AC461" s="58" t="str">
        <f t="shared" si="178"/>
        <v/>
      </c>
      <c r="AD461" s="58" t="str">
        <f t="shared" si="179"/>
        <v/>
      </c>
      <c r="AE461" s="60" t="str">
        <f>IF(AD461="","",COUNTIF($AD$2:AD461,AD461))</f>
        <v/>
      </c>
      <c r="AF461" s="62" t="str">
        <f>IF(AD461="","",SUMIF(AD$2:AD461,AD461,G$2:G461))</f>
        <v/>
      </c>
      <c r="AG461" s="62" t="str">
        <f>IF(AK461&lt;&gt;"",COUNTIF($AK$1:AK460,AK461)+AK461,IF(AL461&lt;&gt;"",COUNTIF($AL$1:AL460,AL461)+AL461,""))</f>
        <v/>
      </c>
      <c r="AH461" s="62" t="str">
        <f t="shared" si="180"/>
        <v/>
      </c>
      <c r="AI461" s="62" t="str">
        <f>IF(AND(J461="M", AH461&lt;&gt;"U/A",AE461=Prizewinners!$J$1),AF461,"")</f>
        <v/>
      </c>
      <c r="AJ461" s="58" t="str">
        <f>IF(AND(J461="F",  AH461&lt;&gt;"U/A",AE461=Prizewinners!$J$16),AF461,"")</f>
        <v/>
      </c>
      <c r="AK461" s="58" t="str">
        <f t="shared" si="181"/>
        <v/>
      </c>
      <c r="AL461" s="58" t="str">
        <f t="shared" si="182"/>
        <v/>
      </c>
      <c r="AM461" s="58" t="str">
        <f t="shared" si="183"/>
        <v/>
      </c>
      <c r="AN461" s="58" t="str">
        <f t="shared" si="184"/>
        <v/>
      </c>
      <c r="AO461" s="58" t="str">
        <f t="shared" si="185"/>
        <v/>
      </c>
      <c r="AP461" s="58" t="str">
        <f t="shared" si="186"/>
        <v/>
      </c>
      <c r="AQ461" s="58" t="str">
        <f t="shared" si="187"/>
        <v/>
      </c>
    </row>
    <row r="462" spans="1:43" x14ac:dyDescent="0.25">
      <c r="A462" s="12" t="str">
        <f t="shared" si="173"/>
        <v>,162</v>
      </c>
      <c r="B462" s="12" t="str">
        <f t="shared" si="174"/>
        <v>,156</v>
      </c>
      <c r="C462" s="11">
        <f t="shared" si="195"/>
        <v>461</v>
      </c>
      <c r="D462" s="171"/>
      <c r="E462" s="12">
        <f t="shared" si="172"/>
        <v>0</v>
      </c>
      <c r="F462" s="12">
        <f>COUNTIF(H$2:H462,H462)</f>
        <v>162</v>
      </c>
      <c r="G462" s="12">
        <f>COUNTIF(J$2:J462,J462)</f>
        <v>156</v>
      </c>
      <c r="H462" s="12" t="str">
        <f t="shared" si="190"/>
        <v/>
      </c>
      <c r="I462" s="50" t="str">
        <f t="shared" si="191"/>
        <v/>
      </c>
      <c r="J462" s="50" t="str">
        <f t="shared" si="192"/>
        <v/>
      </c>
      <c r="K462" s="64" t="str">
        <f t="shared" si="193"/>
        <v/>
      </c>
      <c r="L462" s="64" t="str">
        <f t="shared" si="194"/>
        <v/>
      </c>
      <c r="M462" s="171"/>
      <c r="N462" s="178"/>
      <c r="O462" s="178"/>
      <c r="P462" s="138">
        <f t="shared" si="175"/>
        <v>0</v>
      </c>
      <c r="Q462" s="137">
        <f t="shared" si="176"/>
        <v>50</v>
      </c>
      <c r="R462" s="143"/>
      <c r="S462" s="143"/>
      <c r="T462" s="143"/>
      <c r="U462" s="144"/>
      <c r="V462" s="144"/>
      <c r="W462" s="144"/>
      <c r="X462" s="145"/>
      <c r="Y462" s="152" t="str">
        <f t="shared" si="177"/>
        <v xml:space="preserve">   50.00 </v>
      </c>
      <c r="Z462" s="136"/>
      <c r="AA462" s="50" t="str">
        <f t="shared" si="188"/>
        <v/>
      </c>
      <c r="AB462" s="129" t="str">
        <f t="shared" si="189"/>
        <v/>
      </c>
      <c r="AC462" s="58" t="str">
        <f t="shared" si="178"/>
        <v/>
      </c>
      <c r="AD462" s="58" t="str">
        <f t="shared" si="179"/>
        <v/>
      </c>
      <c r="AE462" s="60" t="str">
        <f>IF(AD462="","",COUNTIF($AD$2:AD462,AD462))</f>
        <v/>
      </c>
      <c r="AF462" s="62" t="str">
        <f>IF(AD462="","",SUMIF(AD$2:AD462,AD462,G$2:G462))</f>
        <v/>
      </c>
      <c r="AG462" s="62" t="str">
        <f>IF(AK462&lt;&gt;"",COUNTIF($AK$1:AK461,AK462)+AK462,IF(AL462&lt;&gt;"",COUNTIF($AL$1:AL461,AL462)+AL462,""))</f>
        <v/>
      </c>
      <c r="AH462" s="62" t="str">
        <f t="shared" si="180"/>
        <v/>
      </c>
      <c r="AI462" s="62" t="str">
        <f>IF(AND(J462="M", AH462&lt;&gt;"U/A",AE462=Prizewinners!$J$1),AF462,"")</f>
        <v/>
      </c>
      <c r="AJ462" s="58" t="str">
        <f>IF(AND(J462="F",  AH462&lt;&gt;"U/A",AE462=Prizewinners!$J$16),AF462,"")</f>
        <v/>
      </c>
      <c r="AK462" s="58" t="str">
        <f t="shared" si="181"/>
        <v/>
      </c>
      <c r="AL462" s="58" t="str">
        <f t="shared" si="182"/>
        <v/>
      </c>
      <c r="AM462" s="58" t="str">
        <f t="shared" si="183"/>
        <v/>
      </c>
      <c r="AN462" s="58" t="str">
        <f t="shared" si="184"/>
        <v/>
      </c>
      <c r="AO462" s="58" t="str">
        <f t="shared" si="185"/>
        <v/>
      </c>
      <c r="AP462" s="58" t="str">
        <f t="shared" si="186"/>
        <v/>
      </c>
      <c r="AQ462" s="58" t="str">
        <f t="shared" si="187"/>
        <v/>
      </c>
    </row>
    <row r="463" spans="1:43" x14ac:dyDescent="0.25">
      <c r="A463" s="12" t="str">
        <f t="shared" si="173"/>
        <v>,163</v>
      </c>
      <c r="B463" s="12" t="str">
        <f t="shared" si="174"/>
        <v>,157</v>
      </c>
      <c r="C463" s="11">
        <f t="shared" si="195"/>
        <v>462</v>
      </c>
      <c r="D463" s="171"/>
      <c r="E463" s="12">
        <f t="shared" si="172"/>
        <v>0</v>
      </c>
      <c r="F463" s="12">
        <f>COUNTIF(H$2:H463,H463)</f>
        <v>163</v>
      </c>
      <c r="G463" s="12">
        <f>COUNTIF(J$2:J463,J463)</f>
        <v>157</v>
      </c>
      <c r="H463" s="12" t="str">
        <f t="shared" si="190"/>
        <v/>
      </c>
      <c r="I463" s="50" t="str">
        <f t="shared" si="191"/>
        <v/>
      </c>
      <c r="J463" s="50" t="str">
        <f t="shared" si="192"/>
        <v/>
      </c>
      <c r="K463" s="64" t="str">
        <f t="shared" si="193"/>
        <v/>
      </c>
      <c r="L463" s="64" t="str">
        <f t="shared" si="194"/>
        <v/>
      </c>
      <c r="M463" s="171"/>
      <c r="N463" s="178"/>
      <c r="O463" s="178"/>
      <c r="P463" s="138">
        <f t="shared" si="175"/>
        <v>0</v>
      </c>
      <c r="Q463" s="137">
        <f t="shared" si="176"/>
        <v>50</v>
      </c>
      <c r="R463" s="143"/>
      <c r="S463" s="143"/>
      <c r="T463" s="143"/>
      <c r="U463" s="144"/>
      <c r="V463" s="144"/>
      <c r="W463" s="144"/>
      <c r="X463" s="145"/>
      <c r="Y463" s="152" t="str">
        <f t="shared" si="177"/>
        <v xml:space="preserve">   50.00 </v>
      </c>
      <c r="Z463" s="136"/>
      <c r="AA463" s="50" t="str">
        <f t="shared" si="188"/>
        <v/>
      </c>
      <c r="AB463" s="129" t="str">
        <f t="shared" si="189"/>
        <v/>
      </c>
      <c r="AC463" s="58" t="str">
        <f t="shared" si="178"/>
        <v/>
      </c>
      <c r="AD463" s="58" t="str">
        <f t="shared" si="179"/>
        <v/>
      </c>
      <c r="AE463" s="60" t="str">
        <f>IF(AD463="","",COUNTIF($AD$2:AD463,AD463))</f>
        <v/>
      </c>
      <c r="AF463" s="62" t="str">
        <f>IF(AD463="","",SUMIF(AD$2:AD463,AD463,G$2:G463))</f>
        <v/>
      </c>
      <c r="AG463" s="62" t="str">
        <f>IF(AK463&lt;&gt;"",COUNTIF($AK$1:AK462,AK463)+AK463,IF(AL463&lt;&gt;"",COUNTIF($AL$1:AL462,AL463)+AL463,""))</f>
        <v/>
      </c>
      <c r="AH463" s="62" t="str">
        <f t="shared" si="180"/>
        <v/>
      </c>
      <c r="AI463" s="62" t="str">
        <f>IF(AND(J463="M", AH463&lt;&gt;"U/A",AE463=Prizewinners!$J$1),AF463,"")</f>
        <v/>
      </c>
      <c r="AJ463" s="58" t="str">
        <f>IF(AND(J463="F",  AH463&lt;&gt;"U/A",AE463=Prizewinners!$J$16),AF463,"")</f>
        <v/>
      </c>
      <c r="AK463" s="58" t="str">
        <f t="shared" si="181"/>
        <v/>
      </c>
      <c r="AL463" s="58" t="str">
        <f t="shared" si="182"/>
        <v/>
      </c>
      <c r="AM463" s="58" t="str">
        <f t="shared" si="183"/>
        <v/>
      </c>
      <c r="AN463" s="58" t="str">
        <f t="shared" si="184"/>
        <v/>
      </c>
      <c r="AO463" s="58" t="str">
        <f t="shared" si="185"/>
        <v/>
      </c>
      <c r="AP463" s="58" t="str">
        <f t="shared" si="186"/>
        <v/>
      </c>
      <c r="AQ463" s="58" t="str">
        <f t="shared" si="187"/>
        <v/>
      </c>
    </row>
    <row r="464" spans="1:43" x14ac:dyDescent="0.25">
      <c r="A464" s="12" t="str">
        <f t="shared" si="173"/>
        <v>,164</v>
      </c>
      <c r="B464" s="12" t="str">
        <f t="shared" si="174"/>
        <v>,158</v>
      </c>
      <c r="C464" s="11">
        <f t="shared" si="195"/>
        <v>463</v>
      </c>
      <c r="D464" s="171"/>
      <c r="E464" s="12">
        <f t="shared" si="172"/>
        <v>0</v>
      </c>
      <c r="F464" s="12">
        <f>COUNTIF(H$2:H464,H464)</f>
        <v>164</v>
      </c>
      <c r="G464" s="12">
        <f>COUNTIF(J$2:J464,J464)</f>
        <v>158</v>
      </c>
      <c r="H464" s="12" t="str">
        <f t="shared" si="190"/>
        <v/>
      </c>
      <c r="I464" s="50" t="str">
        <f t="shared" si="191"/>
        <v/>
      </c>
      <c r="J464" s="50" t="str">
        <f t="shared" si="192"/>
        <v/>
      </c>
      <c r="K464" s="64" t="str">
        <f t="shared" si="193"/>
        <v/>
      </c>
      <c r="L464" s="64" t="str">
        <f t="shared" si="194"/>
        <v/>
      </c>
      <c r="M464" s="171"/>
      <c r="N464" s="178"/>
      <c r="O464" s="178"/>
      <c r="P464" s="138">
        <f t="shared" si="175"/>
        <v>0</v>
      </c>
      <c r="Q464" s="137">
        <f t="shared" si="176"/>
        <v>50</v>
      </c>
      <c r="R464" s="143"/>
      <c r="S464" s="143"/>
      <c r="T464" s="143"/>
      <c r="U464" s="144"/>
      <c r="V464" s="144"/>
      <c r="W464" s="144"/>
      <c r="X464" s="145"/>
      <c r="Y464" s="152" t="str">
        <f t="shared" si="177"/>
        <v xml:space="preserve">   50.00 </v>
      </c>
      <c r="Z464" s="136"/>
      <c r="AA464" s="50" t="str">
        <f t="shared" si="188"/>
        <v/>
      </c>
      <c r="AB464" s="129" t="str">
        <f t="shared" si="189"/>
        <v/>
      </c>
      <c r="AC464" s="58" t="str">
        <f t="shared" si="178"/>
        <v/>
      </c>
      <c r="AD464" s="58" t="str">
        <f t="shared" si="179"/>
        <v/>
      </c>
      <c r="AE464" s="60" t="str">
        <f>IF(AD464="","",COUNTIF($AD$2:AD464,AD464))</f>
        <v/>
      </c>
      <c r="AF464" s="62" t="str">
        <f>IF(AD464="","",SUMIF(AD$2:AD464,AD464,G$2:G464))</f>
        <v/>
      </c>
      <c r="AG464" s="62" t="str">
        <f>IF(AK464&lt;&gt;"",COUNTIF($AK$1:AK463,AK464)+AK464,IF(AL464&lt;&gt;"",COUNTIF($AL$1:AL463,AL464)+AL464,""))</f>
        <v/>
      </c>
      <c r="AH464" s="62" t="str">
        <f t="shared" si="180"/>
        <v/>
      </c>
      <c r="AI464" s="62" t="str">
        <f>IF(AND(J464="M", AH464&lt;&gt;"U/A",AE464=Prizewinners!$J$1),AF464,"")</f>
        <v/>
      </c>
      <c r="AJ464" s="58" t="str">
        <f>IF(AND(J464="F",  AH464&lt;&gt;"U/A",AE464=Prizewinners!$J$16),AF464,"")</f>
        <v/>
      </c>
      <c r="AK464" s="58" t="str">
        <f t="shared" si="181"/>
        <v/>
      </c>
      <c r="AL464" s="58" t="str">
        <f t="shared" si="182"/>
        <v/>
      </c>
      <c r="AM464" s="58" t="str">
        <f t="shared" si="183"/>
        <v/>
      </c>
      <c r="AN464" s="58" t="str">
        <f t="shared" si="184"/>
        <v/>
      </c>
      <c r="AO464" s="58" t="str">
        <f t="shared" si="185"/>
        <v/>
      </c>
      <c r="AP464" s="58" t="str">
        <f t="shared" si="186"/>
        <v/>
      </c>
      <c r="AQ464" s="58" t="str">
        <f t="shared" si="187"/>
        <v/>
      </c>
    </row>
    <row r="465" spans="1:43" x14ac:dyDescent="0.25">
      <c r="A465" s="12" t="str">
        <f t="shared" si="173"/>
        <v>,165</v>
      </c>
      <c r="B465" s="12" t="str">
        <f t="shared" si="174"/>
        <v>,159</v>
      </c>
      <c r="C465" s="11">
        <f t="shared" si="195"/>
        <v>464</v>
      </c>
      <c r="D465" s="171"/>
      <c r="E465" s="12">
        <f t="shared" si="172"/>
        <v>0</v>
      </c>
      <c r="F465" s="12">
        <f>COUNTIF(H$2:H465,H465)</f>
        <v>165</v>
      </c>
      <c r="G465" s="12">
        <f>COUNTIF(J$2:J465,J465)</f>
        <v>159</v>
      </c>
      <c r="H465" s="12" t="str">
        <f t="shared" si="190"/>
        <v/>
      </c>
      <c r="I465" s="50" t="str">
        <f t="shared" si="191"/>
        <v/>
      </c>
      <c r="J465" s="50" t="str">
        <f t="shared" si="192"/>
        <v/>
      </c>
      <c r="K465" s="64" t="str">
        <f t="shared" si="193"/>
        <v/>
      </c>
      <c r="L465" s="64" t="str">
        <f t="shared" si="194"/>
        <v/>
      </c>
      <c r="M465" s="171"/>
      <c r="N465" s="178"/>
      <c r="O465" s="178"/>
      <c r="P465" s="138">
        <f t="shared" si="175"/>
        <v>0</v>
      </c>
      <c r="Q465" s="137">
        <f t="shared" si="176"/>
        <v>50</v>
      </c>
      <c r="R465" s="143"/>
      <c r="S465" s="143"/>
      <c r="T465" s="143"/>
      <c r="U465" s="144"/>
      <c r="V465" s="144"/>
      <c r="W465" s="144"/>
      <c r="X465" s="145"/>
      <c r="Y465" s="152" t="str">
        <f t="shared" si="177"/>
        <v xml:space="preserve">   50.00 </v>
      </c>
      <c r="Z465" s="136"/>
      <c r="AA465" s="50" t="str">
        <f t="shared" si="188"/>
        <v/>
      </c>
      <c r="AB465" s="129" t="str">
        <f t="shared" si="189"/>
        <v/>
      </c>
      <c r="AC465" s="58" t="str">
        <f t="shared" si="178"/>
        <v/>
      </c>
      <c r="AD465" s="58" t="str">
        <f t="shared" si="179"/>
        <v/>
      </c>
      <c r="AE465" s="60" t="str">
        <f>IF(AD465="","",COUNTIF($AD$2:AD465,AD465))</f>
        <v/>
      </c>
      <c r="AF465" s="62" t="str">
        <f>IF(AD465="","",SUMIF(AD$2:AD465,AD465,G$2:G465))</f>
        <v/>
      </c>
      <c r="AG465" s="62" t="str">
        <f>IF(AK465&lt;&gt;"",COUNTIF($AK$1:AK464,AK465)+AK465,IF(AL465&lt;&gt;"",COUNTIF($AL$1:AL464,AL465)+AL465,""))</f>
        <v/>
      </c>
      <c r="AH465" s="62" t="str">
        <f t="shared" si="180"/>
        <v/>
      </c>
      <c r="AI465" s="62" t="str">
        <f>IF(AND(J465="M", AH465&lt;&gt;"U/A",AE465=Prizewinners!$J$1),AF465,"")</f>
        <v/>
      </c>
      <c r="AJ465" s="58" t="str">
        <f>IF(AND(J465="F",  AH465&lt;&gt;"U/A",AE465=Prizewinners!$J$16),AF465,"")</f>
        <v/>
      </c>
      <c r="AK465" s="58" t="str">
        <f t="shared" si="181"/>
        <v/>
      </c>
      <c r="AL465" s="58" t="str">
        <f t="shared" si="182"/>
        <v/>
      </c>
      <c r="AM465" s="58" t="str">
        <f t="shared" si="183"/>
        <v/>
      </c>
      <c r="AN465" s="58" t="str">
        <f t="shared" si="184"/>
        <v/>
      </c>
      <c r="AO465" s="58" t="str">
        <f t="shared" si="185"/>
        <v/>
      </c>
      <c r="AP465" s="58" t="str">
        <f t="shared" si="186"/>
        <v/>
      </c>
      <c r="AQ465" s="58" t="str">
        <f t="shared" si="187"/>
        <v/>
      </c>
    </row>
    <row r="466" spans="1:43" x14ac:dyDescent="0.25">
      <c r="A466" s="12" t="str">
        <f t="shared" si="173"/>
        <v>,166</v>
      </c>
      <c r="B466" s="12" t="str">
        <f t="shared" si="174"/>
        <v>,160</v>
      </c>
      <c r="C466" s="11">
        <f t="shared" si="195"/>
        <v>465</v>
      </c>
      <c r="D466" s="171"/>
      <c r="E466" s="12">
        <f t="shared" si="172"/>
        <v>0</v>
      </c>
      <c r="F466" s="12">
        <f>COUNTIF(H$2:H466,H466)</f>
        <v>166</v>
      </c>
      <c r="G466" s="12">
        <f>COUNTIF(J$2:J466,J466)</f>
        <v>160</v>
      </c>
      <c r="H466" s="12" t="str">
        <f t="shared" si="190"/>
        <v/>
      </c>
      <c r="I466" s="50" t="str">
        <f t="shared" si="191"/>
        <v/>
      </c>
      <c r="J466" s="50" t="str">
        <f t="shared" si="192"/>
        <v/>
      </c>
      <c r="K466" s="64" t="str">
        <f t="shared" si="193"/>
        <v/>
      </c>
      <c r="L466" s="64" t="str">
        <f t="shared" si="194"/>
        <v/>
      </c>
      <c r="M466" s="171"/>
      <c r="N466" s="178"/>
      <c r="O466" s="178"/>
      <c r="P466" s="138">
        <f t="shared" si="175"/>
        <v>0</v>
      </c>
      <c r="Q466" s="137">
        <f t="shared" si="176"/>
        <v>50</v>
      </c>
      <c r="R466" s="143"/>
      <c r="S466" s="143"/>
      <c r="T466" s="143"/>
      <c r="U466" s="144"/>
      <c r="V466" s="144"/>
      <c r="W466" s="144"/>
      <c r="X466" s="145"/>
      <c r="Y466" s="152" t="str">
        <f t="shared" si="177"/>
        <v xml:space="preserve">   50.00 </v>
      </c>
      <c r="Z466" s="136"/>
      <c r="AA466" s="50" t="str">
        <f t="shared" si="188"/>
        <v/>
      </c>
      <c r="AB466" s="129" t="str">
        <f t="shared" si="189"/>
        <v/>
      </c>
      <c r="AC466" s="58" t="str">
        <f t="shared" si="178"/>
        <v/>
      </c>
      <c r="AD466" s="58" t="str">
        <f t="shared" si="179"/>
        <v/>
      </c>
      <c r="AE466" s="60" t="str">
        <f>IF(AD466="","",COUNTIF($AD$2:AD466,AD466))</f>
        <v/>
      </c>
      <c r="AF466" s="62" t="str">
        <f>IF(AD466="","",SUMIF(AD$2:AD466,AD466,G$2:G466))</f>
        <v/>
      </c>
      <c r="AG466" s="62" t="str">
        <f>IF(AK466&lt;&gt;"",COUNTIF($AK$1:AK465,AK466)+AK466,IF(AL466&lt;&gt;"",COUNTIF($AL$1:AL465,AL466)+AL466,""))</f>
        <v/>
      </c>
      <c r="AH466" s="62" t="str">
        <f t="shared" si="180"/>
        <v/>
      </c>
      <c r="AI466" s="62" t="str">
        <f>IF(AND(J466="M", AH466&lt;&gt;"U/A",AE466=Prizewinners!$J$1),AF466,"")</f>
        <v/>
      </c>
      <c r="AJ466" s="58" t="str">
        <f>IF(AND(J466="F",  AH466&lt;&gt;"U/A",AE466=Prizewinners!$J$16),AF466,"")</f>
        <v/>
      </c>
      <c r="AK466" s="58" t="str">
        <f t="shared" si="181"/>
        <v/>
      </c>
      <c r="AL466" s="58" t="str">
        <f t="shared" si="182"/>
        <v/>
      </c>
      <c r="AM466" s="58" t="str">
        <f t="shared" si="183"/>
        <v/>
      </c>
      <c r="AN466" s="58" t="str">
        <f t="shared" si="184"/>
        <v/>
      </c>
      <c r="AO466" s="58" t="str">
        <f t="shared" si="185"/>
        <v/>
      </c>
      <c r="AP466" s="58" t="str">
        <f t="shared" si="186"/>
        <v/>
      </c>
      <c r="AQ466" s="58" t="str">
        <f t="shared" si="187"/>
        <v/>
      </c>
    </row>
    <row r="467" spans="1:43" x14ac:dyDescent="0.25">
      <c r="A467" s="12" t="str">
        <f t="shared" si="173"/>
        <v>,167</v>
      </c>
      <c r="B467" s="12" t="str">
        <f t="shared" si="174"/>
        <v>,161</v>
      </c>
      <c r="C467" s="11">
        <f t="shared" si="195"/>
        <v>466</v>
      </c>
      <c r="D467" s="171"/>
      <c r="E467" s="12">
        <f t="shared" si="172"/>
        <v>0</v>
      </c>
      <c r="F467" s="12">
        <f>COUNTIF(H$2:H467,H467)</f>
        <v>167</v>
      </c>
      <c r="G467" s="12">
        <f>COUNTIF(J$2:J467,J467)</f>
        <v>161</v>
      </c>
      <c r="H467" s="12" t="str">
        <f t="shared" si="190"/>
        <v/>
      </c>
      <c r="I467" s="50" t="str">
        <f t="shared" si="191"/>
        <v/>
      </c>
      <c r="J467" s="50" t="str">
        <f t="shared" si="192"/>
        <v/>
      </c>
      <c r="K467" s="64" t="str">
        <f t="shared" si="193"/>
        <v/>
      </c>
      <c r="L467" s="64" t="str">
        <f t="shared" si="194"/>
        <v/>
      </c>
      <c r="M467" s="171"/>
      <c r="N467" s="178"/>
      <c r="O467" s="178"/>
      <c r="P467" s="138">
        <f t="shared" si="175"/>
        <v>0</v>
      </c>
      <c r="Q467" s="137">
        <f t="shared" si="176"/>
        <v>50</v>
      </c>
      <c r="R467" s="143"/>
      <c r="S467" s="143"/>
      <c r="T467" s="143"/>
      <c r="U467" s="144"/>
      <c r="V467" s="144"/>
      <c r="W467" s="144"/>
      <c r="X467" s="145"/>
      <c r="Y467" s="152" t="str">
        <f t="shared" si="177"/>
        <v xml:space="preserve">   50.00 </v>
      </c>
      <c r="Z467" s="136"/>
      <c r="AA467" s="50" t="str">
        <f t="shared" si="188"/>
        <v/>
      </c>
      <c r="AB467" s="129" t="str">
        <f t="shared" si="189"/>
        <v/>
      </c>
      <c r="AC467" s="58" t="str">
        <f t="shared" si="178"/>
        <v/>
      </c>
      <c r="AD467" s="58" t="str">
        <f t="shared" si="179"/>
        <v/>
      </c>
      <c r="AE467" s="60" t="str">
        <f>IF(AD467="","",COUNTIF($AD$2:AD467,AD467))</f>
        <v/>
      </c>
      <c r="AF467" s="62" t="str">
        <f>IF(AD467="","",SUMIF(AD$2:AD467,AD467,G$2:G467))</f>
        <v/>
      </c>
      <c r="AG467" s="62" t="str">
        <f>IF(AK467&lt;&gt;"",COUNTIF($AK$1:AK466,AK467)+AK467,IF(AL467&lt;&gt;"",COUNTIF($AL$1:AL466,AL467)+AL467,""))</f>
        <v/>
      </c>
      <c r="AH467" s="62" t="str">
        <f t="shared" si="180"/>
        <v/>
      </c>
      <c r="AI467" s="62" t="str">
        <f>IF(AND(J467="M", AH467&lt;&gt;"U/A",AE467=Prizewinners!$J$1),AF467,"")</f>
        <v/>
      </c>
      <c r="AJ467" s="58" t="str">
        <f>IF(AND(J467="F",  AH467&lt;&gt;"U/A",AE467=Prizewinners!$J$16),AF467,"")</f>
        <v/>
      </c>
      <c r="AK467" s="58" t="str">
        <f t="shared" si="181"/>
        <v/>
      </c>
      <c r="AL467" s="58" t="str">
        <f t="shared" si="182"/>
        <v/>
      </c>
      <c r="AM467" s="58" t="str">
        <f t="shared" si="183"/>
        <v/>
      </c>
      <c r="AN467" s="58" t="str">
        <f t="shared" si="184"/>
        <v/>
      </c>
      <c r="AO467" s="58" t="str">
        <f t="shared" si="185"/>
        <v/>
      </c>
      <c r="AP467" s="58" t="str">
        <f t="shared" si="186"/>
        <v/>
      </c>
      <c r="AQ467" s="58" t="str">
        <f t="shared" si="187"/>
        <v/>
      </c>
    </row>
    <row r="468" spans="1:43" x14ac:dyDescent="0.25">
      <c r="A468" s="12" t="str">
        <f t="shared" si="173"/>
        <v>,168</v>
      </c>
      <c r="B468" s="12" t="str">
        <f t="shared" si="174"/>
        <v>,162</v>
      </c>
      <c r="C468" s="11">
        <f t="shared" si="195"/>
        <v>467</v>
      </c>
      <c r="D468" s="171"/>
      <c r="E468" s="12">
        <f t="shared" si="172"/>
        <v>0</v>
      </c>
      <c r="F468" s="12">
        <f>COUNTIF(H$2:H468,H468)</f>
        <v>168</v>
      </c>
      <c r="G468" s="12">
        <f>COUNTIF(J$2:J468,J468)</f>
        <v>162</v>
      </c>
      <c r="H468" s="12" t="str">
        <f t="shared" si="190"/>
        <v/>
      </c>
      <c r="I468" s="50" t="str">
        <f t="shared" si="191"/>
        <v/>
      </c>
      <c r="J468" s="50" t="str">
        <f t="shared" si="192"/>
        <v/>
      </c>
      <c r="K468" s="64" t="str">
        <f t="shared" si="193"/>
        <v/>
      </c>
      <c r="L468" s="64" t="str">
        <f t="shared" si="194"/>
        <v/>
      </c>
      <c r="M468" s="171"/>
      <c r="N468" s="178"/>
      <c r="O468" s="178"/>
      <c r="P468" s="138">
        <f t="shared" si="175"/>
        <v>0</v>
      </c>
      <c r="Q468" s="137">
        <f t="shared" si="176"/>
        <v>50</v>
      </c>
      <c r="R468" s="143"/>
      <c r="S468" s="143"/>
      <c r="T468" s="143"/>
      <c r="U468" s="144"/>
      <c r="V468" s="144"/>
      <c r="W468" s="144"/>
      <c r="X468" s="145"/>
      <c r="Y468" s="152" t="str">
        <f t="shared" si="177"/>
        <v xml:space="preserve">   50.00 </v>
      </c>
      <c r="Z468" s="136"/>
      <c r="AA468" s="50" t="str">
        <f t="shared" si="188"/>
        <v/>
      </c>
      <c r="AB468" s="129" t="str">
        <f t="shared" si="189"/>
        <v/>
      </c>
      <c r="AC468" s="58" t="str">
        <f t="shared" si="178"/>
        <v/>
      </c>
      <c r="AD468" s="58" t="str">
        <f t="shared" si="179"/>
        <v/>
      </c>
      <c r="AE468" s="60" t="str">
        <f>IF(AD468="","",COUNTIF($AD$2:AD468,AD468))</f>
        <v/>
      </c>
      <c r="AF468" s="62" t="str">
        <f>IF(AD468="","",SUMIF(AD$2:AD468,AD468,G$2:G468))</f>
        <v/>
      </c>
      <c r="AG468" s="62" t="str">
        <f>IF(AK468&lt;&gt;"",COUNTIF($AK$1:AK467,AK468)+AK468,IF(AL468&lt;&gt;"",COUNTIF($AL$1:AL467,AL468)+AL468,""))</f>
        <v/>
      </c>
      <c r="AH468" s="62" t="str">
        <f t="shared" si="180"/>
        <v/>
      </c>
      <c r="AI468" s="62" t="str">
        <f>IF(AND(J468="M", AH468&lt;&gt;"U/A",AE468=Prizewinners!$J$1),AF468,"")</f>
        <v/>
      </c>
      <c r="AJ468" s="58" t="str">
        <f>IF(AND(J468="F",  AH468&lt;&gt;"U/A",AE468=Prizewinners!$J$16),AF468,"")</f>
        <v/>
      </c>
      <c r="AK468" s="58" t="str">
        <f t="shared" si="181"/>
        <v/>
      </c>
      <c r="AL468" s="58" t="str">
        <f t="shared" si="182"/>
        <v/>
      </c>
      <c r="AM468" s="58" t="str">
        <f t="shared" si="183"/>
        <v/>
      </c>
      <c r="AN468" s="58" t="str">
        <f t="shared" si="184"/>
        <v/>
      </c>
      <c r="AO468" s="58" t="str">
        <f t="shared" si="185"/>
        <v/>
      </c>
      <c r="AP468" s="58" t="str">
        <f t="shared" si="186"/>
        <v/>
      </c>
      <c r="AQ468" s="58" t="str">
        <f t="shared" si="187"/>
        <v/>
      </c>
    </row>
    <row r="469" spans="1:43" x14ac:dyDescent="0.25">
      <c r="A469" s="12" t="str">
        <f t="shared" si="173"/>
        <v>,169</v>
      </c>
      <c r="B469" s="12" t="str">
        <f t="shared" si="174"/>
        <v>,163</v>
      </c>
      <c r="C469" s="11">
        <f t="shared" si="195"/>
        <v>468</v>
      </c>
      <c r="D469" s="171"/>
      <c r="E469" s="12">
        <f t="shared" si="172"/>
        <v>0</v>
      </c>
      <c r="F469" s="12">
        <f>COUNTIF(H$2:H469,H469)</f>
        <v>169</v>
      </c>
      <c r="G469" s="12">
        <f>COUNTIF(J$2:J469,J469)</f>
        <v>163</v>
      </c>
      <c r="H469" s="12" t="str">
        <f t="shared" si="190"/>
        <v/>
      </c>
      <c r="I469" s="50" t="str">
        <f t="shared" si="191"/>
        <v/>
      </c>
      <c r="J469" s="50" t="str">
        <f t="shared" si="192"/>
        <v/>
      </c>
      <c r="K469" s="64" t="str">
        <f t="shared" si="193"/>
        <v/>
      </c>
      <c r="L469" s="64" t="str">
        <f t="shared" si="194"/>
        <v/>
      </c>
      <c r="M469" s="171"/>
      <c r="N469" s="178"/>
      <c r="O469" s="178"/>
      <c r="P469" s="138">
        <f t="shared" si="175"/>
        <v>0</v>
      </c>
      <c r="Q469" s="137">
        <f t="shared" si="176"/>
        <v>50</v>
      </c>
      <c r="R469" s="143"/>
      <c r="S469" s="143"/>
      <c r="T469" s="143"/>
      <c r="U469" s="144"/>
      <c r="V469" s="144"/>
      <c r="W469" s="144"/>
      <c r="X469" s="145"/>
      <c r="Y469" s="152" t="str">
        <f t="shared" si="177"/>
        <v xml:space="preserve">   50.00 </v>
      </c>
      <c r="Z469" s="136"/>
      <c r="AA469" s="50" t="str">
        <f t="shared" si="188"/>
        <v/>
      </c>
      <c r="AB469" s="129" t="str">
        <f t="shared" si="189"/>
        <v/>
      </c>
      <c r="AC469" s="58" t="str">
        <f t="shared" si="178"/>
        <v/>
      </c>
      <c r="AD469" s="58" t="str">
        <f t="shared" si="179"/>
        <v/>
      </c>
      <c r="AE469" s="60" t="str">
        <f>IF(AD469="","",COUNTIF($AD$2:AD469,AD469))</f>
        <v/>
      </c>
      <c r="AF469" s="62" t="str">
        <f>IF(AD469="","",SUMIF(AD$2:AD469,AD469,G$2:G469))</f>
        <v/>
      </c>
      <c r="AG469" s="62" t="str">
        <f>IF(AK469&lt;&gt;"",COUNTIF($AK$1:AK468,AK469)+AK469,IF(AL469&lt;&gt;"",COUNTIF($AL$1:AL468,AL469)+AL469,""))</f>
        <v/>
      </c>
      <c r="AH469" s="62" t="str">
        <f t="shared" si="180"/>
        <v/>
      </c>
      <c r="AI469" s="62" t="str">
        <f>IF(AND(J469="M", AH469&lt;&gt;"U/A",AE469=Prizewinners!$J$1),AF469,"")</f>
        <v/>
      </c>
      <c r="AJ469" s="58" t="str">
        <f>IF(AND(J469="F",  AH469&lt;&gt;"U/A",AE469=Prizewinners!$J$16),AF469,"")</f>
        <v/>
      </c>
      <c r="AK469" s="58" t="str">
        <f t="shared" si="181"/>
        <v/>
      </c>
      <c r="AL469" s="58" t="str">
        <f t="shared" si="182"/>
        <v/>
      </c>
      <c r="AM469" s="58" t="str">
        <f t="shared" si="183"/>
        <v/>
      </c>
      <c r="AN469" s="58" t="str">
        <f t="shared" si="184"/>
        <v/>
      </c>
      <c r="AO469" s="58" t="str">
        <f t="shared" si="185"/>
        <v/>
      </c>
      <c r="AP469" s="58" t="str">
        <f t="shared" si="186"/>
        <v/>
      </c>
      <c r="AQ469" s="58" t="str">
        <f t="shared" si="187"/>
        <v/>
      </c>
    </row>
    <row r="470" spans="1:43" x14ac:dyDescent="0.25">
      <c r="A470" s="12" t="str">
        <f t="shared" si="173"/>
        <v>,170</v>
      </c>
      <c r="B470" s="12" t="str">
        <f t="shared" si="174"/>
        <v>,164</v>
      </c>
      <c r="C470" s="11">
        <f t="shared" si="195"/>
        <v>469</v>
      </c>
      <c r="D470" s="171"/>
      <c r="E470" s="12">
        <f t="shared" si="172"/>
        <v>0</v>
      </c>
      <c r="F470" s="12">
        <f>COUNTIF(H$2:H470,H470)</f>
        <v>170</v>
      </c>
      <c r="G470" s="12">
        <f>COUNTIF(J$2:J470,J470)</f>
        <v>164</v>
      </c>
      <c r="H470" s="12" t="str">
        <f t="shared" si="190"/>
        <v/>
      </c>
      <c r="I470" s="50" t="str">
        <f t="shared" si="191"/>
        <v/>
      </c>
      <c r="J470" s="50" t="str">
        <f t="shared" si="192"/>
        <v/>
      </c>
      <c r="K470" s="64" t="str">
        <f t="shared" si="193"/>
        <v/>
      </c>
      <c r="L470" s="64" t="str">
        <f t="shared" si="194"/>
        <v/>
      </c>
      <c r="M470" s="171"/>
      <c r="N470" s="178"/>
      <c r="O470" s="178"/>
      <c r="P470" s="138">
        <f t="shared" si="175"/>
        <v>0</v>
      </c>
      <c r="Q470" s="137">
        <f t="shared" si="176"/>
        <v>50</v>
      </c>
      <c r="R470" s="143"/>
      <c r="S470" s="143"/>
      <c r="T470" s="143"/>
      <c r="U470" s="144"/>
      <c r="V470" s="144"/>
      <c r="W470" s="144"/>
      <c r="X470" s="145"/>
      <c r="Y470" s="152" t="str">
        <f t="shared" si="177"/>
        <v xml:space="preserve">   50.00 </v>
      </c>
      <c r="Z470" s="136"/>
      <c r="AA470" s="50" t="str">
        <f t="shared" si="188"/>
        <v/>
      </c>
      <c r="AB470" s="129" t="str">
        <f t="shared" si="189"/>
        <v/>
      </c>
      <c r="AC470" s="58" t="str">
        <f t="shared" si="178"/>
        <v/>
      </c>
      <c r="AD470" s="58" t="str">
        <f t="shared" si="179"/>
        <v/>
      </c>
      <c r="AE470" s="60" t="str">
        <f>IF(AD470="","",COUNTIF($AD$2:AD470,AD470))</f>
        <v/>
      </c>
      <c r="AF470" s="62" t="str">
        <f>IF(AD470="","",SUMIF(AD$2:AD470,AD470,G$2:G470))</f>
        <v/>
      </c>
      <c r="AG470" s="62" t="str">
        <f>IF(AK470&lt;&gt;"",COUNTIF($AK$1:AK469,AK470)+AK470,IF(AL470&lt;&gt;"",COUNTIF($AL$1:AL469,AL470)+AL470,""))</f>
        <v/>
      </c>
      <c r="AH470" s="62" t="str">
        <f t="shared" si="180"/>
        <v/>
      </c>
      <c r="AI470" s="62" t="str">
        <f>IF(AND(J470="M", AH470&lt;&gt;"U/A",AE470=Prizewinners!$J$1),AF470,"")</f>
        <v/>
      </c>
      <c r="AJ470" s="58" t="str">
        <f>IF(AND(J470="F",  AH470&lt;&gt;"U/A",AE470=Prizewinners!$J$16),AF470,"")</f>
        <v/>
      </c>
      <c r="AK470" s="58" t="str">
        <f t="shared" si="181"/>
        <v/>
      </c>
      <c r="AL470" s="58" t="str">
        <f t="shared" si="182"/>
        <v/>
      </c>
      <c r="AM470" s="58" t="str">
        <f t="shared" si="183"/>
        <v/>
      </c>
      <c r="AN470" s="58" t="str">
        <f t="shared" si="184"/>
        <v/>
      </c>
      <c r="AO470" s="58" t="str">
        <f t="shared" si="185"/>
        <v/>
      </c>
      <c r="AP470" s="58" t="str">
        <f t="shared" si="186"/>
        <v/>
      </c>
      <c r="AQ470" s="58" t="str">
        <f t="shared" si="187"/>
        <v/>
      </c>
    </row>
    <row r="471" spans="1:43" x14ac:dyDescent="0.25">
      <c r="A471" s="12" t="str">
        <f t="shared" si="173"/>
        <v>,171</v>
      </c>
      <c r="B471" s="12" t="str">
        <f t="shared" si="174"/>
        <v>,165</v>
      </c>
      <c r="C471" s="11">
        <f t="shared" si="195"/>
        <v>470</v>
      </c>
      <c r="D471" s="171"/>
      <c r="E471" s="12">
        <f t="shared" si="172"/>
        <v>0</v>
      </c>
      <c r="F471" s="12">
        <f>COUNTIF(H$2:H471,H471)</f>
        <v>171</v>
      </c>
      <c r="G471" s="12">
        <f>COUNTIF(J$2:J471,J471)</f>
        <v>165</v>
      </c>
      <c r="H471" s="12" t="str">
        <f t="shared" si="190"/>
        <v/>
      </c>
      <c r="I471" s="50" t="str">
        <f t="shared" si="191"/>
        <v/>
      </c>
      <c r="J471" s="50" t="str">
        <f t="shared" si="192"/>
        <v/>
      </c>
      <c r="K471" s="64" t="str">
        <f t="shared" si="193"/>
        <v/>
      </c>
      <c r="L471" s="64" t="str">
        <f t="shared" si="194"/>
        <v/>
      </c>
      <c r="M471" s="171"/>
      <c r="N471" s="178"/>
      <c r="O471" s="178"/>
      <c r="P471" s="138">
        <f t="shared" si="175"/>
        <v>0</v>
      </c>
      <c r="Q471" s="137">
        <f t="shared" si="176"/>
        <v>50</v>
      </c>
      <c r="R471" s="143"/>
      <c r="S471" s="143"/>
      <c r="T471" s="143"/>
      <c r="U471" s="144"/>
      <c r="V471" s="144"/>
      <c r="W471" s="144"/>
      <c r="X471" s="145"/>
      <c r="Y471" s="152" t="str">
        <f t="shared" si="177"/>
        <v xml:space="preserve">   50.00 </v>
      </c>
      <c r="Z471" s="136"/>
      <c r="AA471" s="50" t="str">
        <f t="shared" si="188"/>
        <v/>
      </c>
      <c r="AB471" s="129" t="str">
        <f t="shared" si="189"/>
        <v/>
      </c>
      <c r="AC471" s="58" t="str">
        <f t="shared" si="178"/>
        <v/>
      </c>
      <c r="AD471" s="58" t="str">
        <f t="shared" si="179"/>
        <v/>
      </c>
      <c r="AE471" s="60" t="str">
        <f>IF(AD471="","",COUNTIF($AD$2:AD471,AD471))</f>
        <v/>
      </c>
      <c r="AF471" s="62" t="str">
        <f>IF(AD471="","",SUMIF(AD$2:AD471,AD471,G$2:G471))</f>
        <v/>
      </c>
      <c r="AG471" s="62" t="str">
        <f>IF(AK471&lt;&gt;"",COUNTIF($AK$1:AK470,AK471)+AK471,IF(AL471&lt;&gt;"",COUNTIF($AL$1:AL470,AL471)+AL471,""))</f>
        <v/>
      </c>
      <c r="AH471" s="62" t="str">
        <f t="shared" si="180"/>
        <v/>
      </c>
      <c r="AI471" s="62" t="str">
        <f>IF(AND(J471="M", AH471&lt;&gt;"U/A",AE471=Prizewinners!$J$1),AF471,"")</f>
        <v/>
      </c>
      <c r="AJ471" s="58" t="str">
        <f>IF(AND(J471="F",  AH471&lt;&gt;"U/A",AE471=Prizewinners!$J$16),AF471,"")</f>
        <v/>
      </c>
      <c r="AK471" s="58" t="str">
        <f t="shared" si="181"/>
        <v/>
      </c>
      <c r="AL471" s="58" t="str">
        <f t="shared" si="182"/>
        <v/>
      </c>
      <c r="AM471" s="58" t="str">
        <f t="shared" si="183"/>
        <v/>
      </c>
      <c r="AN471" s="58" t="str">
        <f t="shared" si="184"/>
        <v/>
      </c>
      <c r="AO471" s="58" t="str">
        <f t="shared" si="185"/>
        <v/>
      </c>
      <c r="AP471" s="58" t="str">
        <f t="shared" si="186"/>
        <v/>
      </c>
      <c r="AQ471" s="58" t="str">
        <f t="shared" si="187"/>
        <v/>
      </c>
    </row>
    <row r="472" spans="1:43" x14ac:dyDescent="0.25">
      <c r="A472" s="12" t="str">
        <f t="shared" si="173"/>
        <v>,172</v>
      </c>
      <c r="B472" s="12" t="str">
        <f t="shared" si="174"/>
        <v>,166</v>
      </c>
      <c r="C472" s="11">
        <f t="shared" si="195"/>
        <v>471</v>
      </c>
      <c r="D472" s="171"/>
      <c r="E472" s="12">
        <f t="shared" si="172"/>
        <v>0</v>
      </c>
      <c r="F472" s="12">
        <f>COUNTIF(H$2:H472,H472)</f>
        <v>172</v>
      </c>
      <c r="G472" s="12">
        <f>COUNTIF(J$2:J472,J472)</f>
        <v>166</v>
      </c>
      <c r="H472" s="12" t="str">
        <f t="shared" si="190"/>
        <v/>
      </c>
      <c r="I472" s="50" t="str">
        <f t="shared" si="191"/>
        <v/>
      </c>
      <c r="J472" s="50" t="str">
        <f t="shared" si="192"/>
        <v/>
      </c>
      <c r="K472" s="64" t="str">
        <f t="shared" si="193"/>
        <v/>
      </c>
      <c r="L472" s="64" t="str">
        <f t="shared" si="194"/>
        <v/>
      </c>
      <c r="M472" s="171"/>
      <c r="N472" s="178"/>
      <c r="O472" s="178"/>
      <c r="P472" s="138">
        <f t="shared" si="175"/>
        <v>0</v>
      </c>
      <c r="Q472" s="137">
        <f t="shared" si="176"/>
        <v>50</v>
      </c>
      <c r="R472" s="143"/>
      <c r="S472" s="143"/>
      <c r="T472" s="143"/>
      <c r="U472" s="144"/>
      <c r="V472" s="144"/>
      <c r="W472" s="144"/>
      <c r="X472" s="145"/>
      <c r="Y472" s="152" t="str">
        <f t="shared" si="177"/>
        <v xml:space="preserve">   50.00 </v>
      </c>
      <c r="Z472" s="136"/>
      <c r="AA472" s="50" t="str">
        <f t="shared" si="188"/>
        <v/>
      </c>
      <c r="AB472" s="129" t="str">
        <f t="shared" si="189"/>
        <v/>
      </c>
      <c r="AC472" s="58" t="str">
        <f t="shared" si="178"/>
        <v/>
      </c>
      <c r="AD472" s="58" t="str">
        <f t="shared" si="179"/>
        <v/>
      </c>
      <c r="AE472" s="60" t="str">
        <f>IF(AD472="","",COUNTIF($AD$2:AD472,AD472))</f>
        <v/>
      </c>
      <c r="AF472" s="62" t="str">
        <f>IF(AD472="","",SUMIF(AD$2:AD472,AD472,G$2:G472))</f>
        <v/>
      </c>
      <c r="AG472" s="62" t="str">
        <f>IF(AK472&lt;&gt;"",COUNTIF($AK$1:AK471,AK472)+AK472,IF(AL472&lt;&gt;"",COUNTIF($AL$1:AL471,AL472)+AL472,""))</f>
        <v/>
      </c>
      <c r="AH472" s="62" t="str">
        <f t="shared" si="180"/>
        <v/>
      </c>
      <c r="AI472" s="62" t="str">
        <f>IF(AND(J472="M", AH472&lt;&gt;"U/A",AE472=Prizewinners!$J$1),AF472,"")</f>
        <v/>
      </c>
      <c r="AJ472" s="58" t="str">
        <f>IF(AND(J472="F",  AH472&lt;&gt;"U/A",AE472=Prizewinners!$J$16),AF472,"")</f>
        <v/>
      </c>
      <c r="AK472" s="58" t="str">
        <f t="shared" si="181"/>
        <v/>
      </c>
      <c r="AL472" s="58" t="str">
        <f t="shared" si="182"/>
        <v/>
      </c>
      <c r="AM472" s="58" t="str">
        <f t="shared" si="183"/>
        <v/>
      </c>
      <c r="AN472" s="58" t="str">
        <f t="shared" si="184"/>
        <v/>
      </c>
      <c r="AO472" s="58" t="str">
        <f t="shared" si="185"/>
        <v/>
      </c>
      <c r="AP472" s="58" t="str">
        <f t="shared" si="186"/>
        <v/>
      </c>
      <c r="AQ472" s="58" t="str">
        <f t="shared" si="187"/>
        <v/>
      </c>
    </row>
    <row r="473" spans="1:43" x14ac:dyDescent="0.25">
      <c r="A473" s="12" t="str">
        <f t="shared" si="173"/>
        <v>,173</v>
      </c>
      <c r="B473" s="12" t="str">
        <f t="shared" si="174"/>
        <v>,167</v>
      </c>
      <c r="C473" s="11">
        <f t="shared" si="195"/>
        <v>472</v>
      </c>
      <c r="D473" s="171"/>
      <c r="E473" s="12">
        <f t="shared" si="172"/>
        <v>0</v>
      </c>
      <c r="F473" s="12">
        <f>COUNTIF(H$2:H473,H473)</f>
        <v>173</v>
      </c>
      <c r="G473" s="12">
        <f>COUNTIF(J$2:J473,J473)</f>
        <v>167</v>
      </c>
      <c r="H473" s="12" t="str">
        <f t="shared" si="190"/>
        <v/>
      </c>
      <c r="I473" s="50" t="str">
        <f t="shared" si="191"/>
        <v/>
      </c>
      <c r="J473" s="50" t="str">
        <f t="shared" si="192"/>
        <v/>
      </c>
      <c r="K473" s="64" t="str">
        <f t="shared" si="193"/>
        <v/>
      </c>
      <c r="L473" s="64" t="str">
        <f t="shared" si="194"/>
        <v/>
      </c>
      <c r="M473" s="171"/>
      <c r="N473" s="178"/>
      <c r="O473" s="178"/>
      <c r="P473" s="138">
        <f t="shared" si="175"/>
        <v>0</v>
      </c>
      <c r="Q473" s="137">
        <f t="shared" si="176"/>
        <v>50</v>
      </c>
      <c r="R473" s="143"/>
      <c r="S473" s="143"/>
      <c r="T473" s="143"/>
      <c r="U473" s="144"/>
      <c r="V473" s="144"/>
      <c r="W473" s="144"/>
      <c r="X473" s="145"/>
      <c r="Y473" s="152" t="str">
        <f t="shared" si="177"/>
        <v xml:space="preserve">   50.00 </v>
      </c>
      <c r="Z473" s="136"/>
      <c r="AA473" s="50" t="str">
        <f t="shared" si="188"/>
        <v/>
      </c>
      <c r="AB473" s="129" t="str">
        <f t="shared" si="189"/>
        <v/>
      </c>
      <c r="AC473" s="58" t="str">
        <f t="shared" si="178"/>
        <v/>
      </c>
      <c r="AD473" s="58" t="str">
        <f t="shared" si="179"/>
        <v/>
      </c>
      <c r="AE473" s="60" t="str">
        <f>IF(AD473="","",COUNTIF($AD$2:AD473,AD473))</f>
        <v/>
      </c>
      <c r="AF473" s="62" t="str">
        <f>IF(AD473="","",SUMIF(AD$2:AD473,AD473,G$2:G473))</f>
        <v/>
      </c>
      <c r="AG473" s="62" t="str">
        <f>IF(AK473&lt;&gt;"",COUNTIF($AK$1:AK472,AK473)+AK473,IF(AL473&lt;&gt;"",COUNTIF($AL$1:AL472,AL473)+AL473,""))</f>
        <v/>
      </c>
      <c r="AH473" s="62" t="str">
        <f t="shared" si="180"/>
        <v/>
      </c>
      <c r="AI473" s="62" t="str">
        <f>IF(AND(J473="M", AH473&lt;&gt;"U/A",AE473=Prizewinners!$J$1),AF473,"")</f>
        <v/>
      </c>
      <c r="AJ473" s="58" t="str">
        <f>IF(AND(J473="F",  AH473&lt;&gt;"U/A",AE473=Prizewinners!$J$16),AF473,"")</f>
        <v/>
      </c>
      <c r="AK473" s="58" t="str">
        <f t="shared" si="181"/>
        <v/>
      </c>
      <c r="AL473" s="58" t="str">
        <f t="shared" si="182"/>
        <v/>
      </c>
      <c r="AM473" s="58" t="str">
        <f t="shared" si="183"/>
        <v/>
      </c>
      <c r="AN473" s="58" t="str">
        <f t="shared" si="184"/>
        <v/>
      </c>
      <c r="AO473" s="58" t="str">
        <f t="shared" si="185"/>
        <v/>
      </c>
      <c r="AP473" s="58" t="str">
        <f t="shared" si="186"/>
        <v/>
      </c>
      <c r="AQ473" s="58" t="str">
        <f t="shared" si="187"/>
        <v/>
      </c>
    </row>
    <row r="474" spans="1:43" x14ac:dyDescent="0.25">
      <c r="A474" s="12" t="str">
        <f t="shared" si="173"/>
        <v>,174</v>
      </c>
      <c r="B474" s="12" t="str">
        <f t="shared" si="174"/>
        <v>,168</v>
      </c>
      <c r="C474" s="11">
        <f t="shared" si="195"/>
        <v>473</v>
      </c>
      <c r="D474" s="171"/>
      <c r="E474" s="12">
        <f t="shared" si="172"/>
        <v>0</v>
      </c>
      <c r="F474" s="12">
        <f>COUNTIF(H$2:H474,H474)</f>
        <v>174</v>
      </c>
      <c r="G474" s="12">
        <f>COUNTIF(J$2:J474,J474)</f>
        <v>168</v>
      </c>
      <c r="H474" s="12" t="str">
        <f t="shared" si="190"/>
        <v/>
      </c>
      <c r="I474" s="50" t="str">
        <f t="shared" si="191"/>
        <v/>
      </c>
      <c r="J474" s="50" t="str">
        <f t="shared" si="192"/>
        <v/>
      </c>
      <c r="K474" s="64" t="str">
        <f t="shared" si="193"/>
        <v/>
      </c>
      <c r="L474" s="64" t="str">
        <f t="shared" si="194"/>
        <v/>
      </c>
      <c r="M474" s="171"/>
      <c r="N474" s="178"/>
      <c r="O474" s="178"/>
      <c r="P474" s="138">
        <f t="shared" si="175"/>
        <v>0</v>
      </c>
      <c r="Q474" s="137">
        <f t="shared" si="176"/>
        <v>50</v>
      </c>
      <c r="R474" s="143"/>
      <c r="S474" s="143"/>
      <c r="T474" s="143"/>
      <c r="U474" s="144"/>
      <c r="V474" s="144"/>
      <c r="W474" s="144"/>
      <c r="X474" s="145"/>
      <c r="Y474" s="152" t="str">
        <f t="shared" si="177"/>
        <v xml:space="preserve">   50.00 </v>
      </c>
      <c r="Z474" s="136"/>
      <c r="AA474" s="50" t="str">
        <f t="shared" si="188"/>
        <v/>
      </c>
      <c r="AB474" s="129" t="str">
        <f t="shared" si="189"/>
        <v/>
      </c>
      <c r="AC474" s="58" t="str">
        <f t="shared" si="178"/>
        <v/>
      </c>
      <c r="AD474" s="58" t="str">
        <f t="shared" si="179"/>
        <v/>
      </c>
      <c r="AE474" s="60" t="str">
        <f>IF(AD474="","",COUNTIF($AD$2:AD474,AD474))</f>
        <v/>
      </c>
      <c r="AF474" s="62" t="str">
        <f>IF(AD474="","",SUMIF(AD$2:AD474,AD474,G$2:G474))</f>
        <v/>
      </c>
      <c r="AG474" s="62" t="str">
        <f>IF(AK474&lt;&gt;"",COUNTIF($AK$1:AK473,AK474)+AK474,IF(AL474&lt;&gt;"",COUNTIF($AL$1:AL473,AL474)+AL474,""))</f>
        <v/>
      </c>
      <c r="AH474" s="62" t="str">
        <f t="shared" si="180"/>
        <v/>
      </c>
      <c r="AI474" s="62" t="str">
        <f>IF(AND(J474="M", AH474&lt;&gt;"U/A",AE474=Prizewinners!$J$1),AF474,"")</f>
        <v/>
      </c>
      <c r="AJ474" s="58" t="str">
        <f>IF(AND(J474="F",  AH474&lt;&gt;"U/A",AE474=Prizewinners!$J$16),AF474,"")</f>
        <v/>
      </c>
      <c r="AK474" s="58" t="str">
        <f t="shared" si="181"/>
        <v/>
      </c>
      <c r="AL474" s="58" t="str">
        <f t="shared" si="182"/>
        <v/>
      </c>
      <c r="AM474" s="58" t="str">
        <f t="shared" si="183"/>
        <v/>
      </c>
      <c r="AN474" s="58" t="str">
        <f t="shared" si="184"/>
        <v/>
      </c>
      <c r="AO474" s="58" t="str">
        <f t="shared" si="185"/>
        <v/>
      </c>
      <c r="AP474" s="58" t="str">
        <f t="shared" si="186"/>
        <v/>
      </c>
      <c r="AQ474" s="58" t="str">
        <f t="shared" si="187"/>
        <v/>
      </c>
    </row>
    <row r="475" spans="1:43" x14ac:dyDescent="0.25">
      <c r="A475" s="12" t="str">
        <f t="shared" si="173"/>
        <v>,175</v>
      </c>
      <c r="B475" s="12" t="str">
        <f t="shared" si="174"/>
        <v>,169</v>
      </c>
      <c r="C475" s="11">
        <f t="shared" si="195"/>
        <v>474</v>
      </c>
      <c r="D475" s="171"/>
      <c r="E475" s="12">
        <f t="shared" si="172"/>
        <v>0</v>
      </c>
      <c r="F475" s="12">
        <f>COUNTIF(H$2:H475,H475)</f>
        <v>175</v>
      </c>
      <c r="G475" s="12">
        <f>COUNTIF(J$2:J475,J475)</f>
        <v>169</v>
      </c>
      <c r="H475" s="12" t="str">
        <f t="shared" si="190"/>
        <v/>
      </c>
      <c r="I475" s="50" t="str">
        <f t="shared" si="191"/>
        <v/>
      </c>
      <c r="J475" s="50" t="str">
        <f t="shared" si="192"/>
        <v/>
      </c>
      <c r="K475" s="64" t="str">
        <f t="shared" si="193"/>
        <v/>
      </c>
      <c r="L475" s="64" t="str">
        <f t="shared" si="194"/>
        <v/>
      </c>
      <c r="M475" s="171"/>
      <c r="N475" s="178"/>
      <c r="O475" s="178"/>
      <c r="P475" s="138">
        <f t="shared" si="175"/>
        <v>0</v>
      </c>
      <c r="Q475" s="137">
        <f t="shared" si="176"/>
        <v>50</v>
      </c>
      <c r="R475" s="143"/>
      <c r="S475" s="143"/>
      <c r="T475" s="143"/>
      <c r="U475" s="144"/>
      <c r="V475" s="144"/>
      <c r="W475" s="144"/>
      <c r="X475" s="145"/>
      <c r="Y475" s="152" t="str">
        <f t="shared" si="177"/>
        <v xml:space="preserve">   50.00 </v>
      </c>
      <c r="Z475" s="136"/>
      <c r="AA475" s="50" t="str">
        <f t="shared" si="188"/>
        <v/>
      </c>
      <c r="AB475" s="129" t="str">
        <f t="shared" si="189"/>
        <v/>
      </c>
      <c r="AC475" s="58" t="str">
        <f t="shared" si="178"/>
        <v/>
      </c>
      <c r="AD475" s="58" t="str">
        <f t="shared" si="179"/>
        <v/>
      </c>
      <c r="AE475" s="60" t="str">
        <f>IF(AD475="","",COUNTIF($AD$2:AD475,AD475))</f>
        <v/>
      </c>
      <c r="AF475" s="62" t="str">
        <f>IF(AD475="","",SUMIF(AD$2:AD475,AD475,G$2:G475))</f>
        <v/>
      </c>
      <c r="AG475" s="62" t="str">
        <f>IF(AK475&lt;&gt;"",COUNTIF($AK$1:AK474,AK475)+AK475,IF(AL475&lt;&gt;"",COUNTIF($AL$1:AL474,AL475)+AL475,""))</f>
        <v/>
      </c>
      <c r="AH475" s="62" t="str">
        <f t="shared" si="180"/>
        <v/>
      </c>
      <c r="AI475" s="62" t="str">
        <f>IF(AND(J475="M", AH475&lt;&gt;"U/A",AE475=Prizewinners!$J$1),AF475,"")</f>
        <v/>
      </c>
      <c r="AJ475" s="58" t="str">
        <f>IF(AND(J475="F",  AH475&lt;&gt;"U/A",AE475=Prizewinners!$J$16),AF475,"")</f>
        <v/>
      </c>
      <c r="AK475" s="58" t="str">
        <f t="shared" si="181"/>
        <v/>
      </c>
      <c r="AL475" s="58" t="str">
        <f t="shared" si="182"/>
        <v/>
      </c>
      <c r="AM475" s="58" t="str">
        <f t="shared" si="183"/>
        <v/>
      </c>
      <c r="AN475" s="58" t="str">
        <f t="shared" si="184"/>
        <v/>
      </c>
      <c r="AO475" s="58" t="str">
        <f t="shared" si="185"/>
        <v/>
      </c>
      <c r="AP475" s="58" t="str">
        <f t="shared" si="186"/>
        <v/>
      </c>
      <c r="AQ475" s="58" t="str">
        <f t="shared" si="187"/>
        <v/>
      </c>
    </row>
    <row r="476" spans="1:43" x14ac:dyDescent="0.25">
      <c r="A476" s="12" t="str">
        <f t="shared" si="173"/>
        <v>,176</v>
      </c>
      <c r="B476" s="12" t="str">
        <f t="shared" si="174"/>
        <v>,170</v>
      </c>
      <c r="C476" s="11">
        <f t="shared" si="195"/>
        <v>475</v>
      </c>
      <c r="D476" s="171"/>
      <c r="E476" s="12">
        <f t="shared" si="172"/>
        <v>0</v>
      </c>
      <c r="F476" s="12">
        <f>COUNTIF(H$2:H476,H476)</f>
        <v>176</v>
      </c>
      <c r="G476" s="12">
        <f>COUNTIF(J$2:J476,J476)</f>
        <v>170</v>
      </c>
      <c r="H476" s="12" t="str">
        <f t="shared" si="190"/>
        <v/>
      </c>
      <c r="I476" s="50" t="str">
        <f t="shared" si="191"/>
        <v/>
      </c>
      <c r="J476" s="50" t="str">
        <f t="shared" si="192"/>
        <v/>
      </c>
      <c r="K476" s="64" t="str">
        <f t="shared" si="193"/>
        <v/>
      </c>
      <c r="L476" s="64" t="str">
        <f t="shared" si="194"/>
        <v/>
      </c>
      <c r="M476" s="171"/>
      <c r="N476" s="178"/>
      <c r="O476" s="178"/>
      <c r="P476" s="138">
        <f t="shared" si="175"/>
        <v>0</v>
      </c>
      <c r="Q476" s="137">
        <f t="shared" si="176"/>
        <v>50</v>
      </c>
      <c r="R476" s="143"/>
      <c r="S476" s="143"/>
      <c r="T476" s="143"/>
      <c r="U476" s="144"/>
      <c r="V476" s="144"/>
      <c r="W476" s="144"/>
      <c r="X476" s="145"/>
      <c r="Y476" s="152" t="str">
        <f t="shared" si="177"/>
        <v xml:space="preserve">   50.00 </v>
      </c>
      <c r="Z476" s="136"/>
      <c r="AA476" s="50" t="str">
        <f t="shared" si="188"/>
        <v/>
      </c>
      <c r="AB476" s="129" t="str">
        <f t="shared" si="189"/>
        <v/>
      </c>
      <c r="AC476" s="58" t="str">
        <f t="shared" si="178"/>
        <v/>
      </c>
      <c r="AD476" s="58" t="str">
        <f t="shared" si="179"/>
        <v/>
      </c>
      <c r="AE476" s="60" t="str">
        <f>IF(AD476="","",COUNTIF($AD$2:AD476,AD476))</f>
        <v/>
      </c>
      <c r="AF476" s="62" t="str">
        <f>IF(AD476="","",SUMIF(AD$2:AD476,AD476,G$2:G476))</f>
        <v/>
      </c>
      <c r="AG476" s="62" t="str">
        <f>IF(AK476&lt;&gt;"",COUNTIF($AK$1:AK475,AK476)+AK476,IF(AL476&lt;&gt;"",COUNTIF($AL$1:AL475,AL476)+AL476,""))</f>
        <v/>
      </c>
      <c r="AH476" s="62" t="str">
        <f t="shared" si="180"/>
        <v/>
      </c>
      <c r="AI476" s="62" t="str">
        <f>IF(AND(J476="M", AH476&lt;&gt;"U/A",AE476=Prizewinners!$J$1),AF476,"")</f>
        <v/>
      </c>
      <c r="AJ476" s="58" t="str">
        <f>IF(AND(J476="F",  AH476&lt;&gt;"U/A",AE476=Prizewinners!$J$16),AF476,"")</f>
        <v/>
      </c>
      <c r="AK476" s="58" t="str">
        <f t="shared" si="181"/>
        <v/>
      </c>
      <c r="AL476" s="58" t="str">
        <f t="shared" si="182"/>
        <v/>
      </c>
      <c r="AM476" s="58" t="str">
        <f t="shared" si="183"/>
        <v/>
      </c>
      <c r="AN476" s="58" t="str">
        <f t="shared" si="184"/>
        <v/>
      </c>
      <c r="AO476" s="58" t="str">
        <f t="shared" si="185"/>
        <v/>
      </c>
      <c r="AP476" s="58" t="str">
        <f t="shared" si="186"/>
        <v/>
      </c>
      <c r="AQ476" s="58" t="str">
        <f t="shared" si="187"/>
        <v/>
      </c>
    </row>
    <row r="477" spans="1:43" x14ac:dyDescent="0.25">
      <c r="A477" s="12" t="str">
        <f t="shared" si="173"/>
        <v>,177</v>
      </c>
      <c r="B477" s="12" t="str">
        <f t="shared" si="174"/>
        <v>,171</v>
      </c>
      <c r="C477" s="11">
        <f t="shared" si="195"/>
        <v>476</v>
      </c>
      <c r="D477" s="171"/>
      <c r="E477" s="12">
        <f t="shared" si="172"/>
        <v>0</v>
      </c>
      <c r="F477" s="12">
        <f>COUNTIF(H$2:H477,H477)</f>
        <v>177</v>
      </c>
      <c r="G477" s="12">
        <f>COUNTIF(J$2:J477,J477)</f>
        <v>171</v>
      </c>
      <c r="H477" s="12" t="str">
        <f t="shared" si="190"/>
        <v/>
      </c>
      <c r="I477" s="50" t="str">
        <f t="shared" si="191"/>
        <v/>
      </c>
      <c r="J477" s="50" t="str">
        <f t="shared" si="192"/>
        <v/>
      </c>
      <c r="K477" s="64" t="str">
        <f t="shared" si="193"/>
        <v/>
      </c>
      <c r="L477" s="64" t="str">
        <f t="shared" si="194"/>
        <v/>
      </c>
      <c r="M477" s="171"/>
      <c r="N477" s="178"/>
      <c r="O477" s="178"/>
      <c r="P477" s="138">
        <f t="shared" si="175"/>
        <v>0</v>
      </c>
      <c r="Q477" s="137">
        <f t="shared" si="176"/>
        <v>50</v>
      </c>
      <c r="R477" s="143"/>
      <c r="S477" s="143"/>
      <c r="T477" s="143"/>
      <c r="U477" s="144"/>
      <c r="V477" s="144"/>
      <c r="W477" s="144"/>
      <c r="X477" s="145"/>
      <c r="Y477" s="152" t="str">
        <f t="shared" si="177"/>
        <v xml:space="preserve">   50.00 </v>
      </c>
      <c r="Z477" s="136"/>
      <c r="AA477" s="50" t="str">
        <f t="shared" si="188"/>
        <v/>
      </c>
      <c r="AB477" s="129" t="str">
        <f t="shared" si="189"/>
        <v/>
      </c>
      <c r="AC477" s="58" t="str">
        <f t="shared" si="178"/>
        <v/>
      </c>
      <c r="AD477" s="58" t="str">
        <f t="shared" si="179"/>
        <v/>
      </c>
      <c r="AE477" s="60" t="str">
        <f>IF(AD477="","",COUNTIF($AD$2:AD477,AD477))</f>
        <v/>
      </c>
      <c r="AF477" s="62" t="str">
        <f>IF(AD477="","",SUMIF(AD$2:AD477,AD477,G$2:G477))</f>
        <v/>
      </c>
      <c r="AG477" s="62" t="str">
        <f>IF(AK477&lt;&gt;"",COUNTIF($AK$1:AK476,AK477)+AK477,IF(AL477&lt;&gt;"",COUNTIF($AL$1:AL476,AL477)+AL477,""))</f>
        <v/>
      </c>
      <c r="AH477" s="62" t="str">
        <f t="shared" si="180"/>
        <v/>
      </c>
      <c r="AI477" s="62" t="str">
        <f>IF(AND(J477="M", AH477&lt;&gt;"U/A",AE477=Prizewinners!$J$1),AF477,"")</f>
        <v/>
      </c>
      <c r="AJ477" s="58" t="str">
        <f>IF(AND(J477="F",  AH477&lt;&gt;"U/A",AE477=Prizewinners!$J$16),AF477,"")</f>
        <v/>
      </c>
      <c r="AK477" s="58" t="str">
        <f t="shared" si="181"/>
        <v/>
      </c>
      <c r="AL477" s="58" t="str">
        <f t="shared" si="182"/>
        <v/>
      </c>
      <c r="AM477" s="58" t="str">
        <f t="shared" si="183"/>
        <v/>
      </c>
      <c r="AN477" s="58" t="str">
        <f t="shared" si="184"/>
        <v/>
      </c>
      <c r="AO477" s="58" t="str">
        <f t="shared" si="185"/>
        <v/>
      </c>
      <c r="AP477" s="58" t="str">
        <f t="shared" si="186"/>
        <v/>
      </c>
      <c r="AQ477" s="58" t="str">
        <f t="shared" si="187"/>
        <v/>
      </c>
    </row>
    <row r="478" spans="1:43" x14ac:dyDescent="0.25">
      <c r="A478" s="12" t="str">
        <f t="shared" si="173"/>
        <v>,178</v>
      </c>
      <c r="B478" s="12" t="str">
        <f t="shared" si="174"/>
        <v>,172</v>
      </c>
      <c r="C478" s="11">
        <f t="shared" si="195"/>
        <v>477</v>
      </c>
      <c r="D478" s="171"/>
      <c r="E478" s="12">
        <f t="shared" si="172"/>
        <v>0</v>
      </c>
      <c r="F478" s="12">
        <f>COUNTIF(H$2:H478,H478)</f>
        <v>178</v>
      </c>
      <c r="G478" s="12">
        <f>COUNTIF(J$2:J478,J478)</f>
        <v>172</v>
      </c>
      <c r="H478" s="12" t="str">
        <f t="shared" si="190"/>
        <v/>
      </c>
      <c r="I478" s="50" t="str">
        <f t="shared" si="191"/>
        <v/>
      </c>
      <c r="J478" s="50" t="str">
        <f t="shared" si="192"/>
        <v/>
      </c>
      <c r="K478" s="64" t="str">
        <f t="shared" si="193"/>
        <v/>
      </c>
      <c r="L478" s="64" t="str">
        <f t="shared" si="194"/>
        <v/>
      </c>
      <c r="M478" s="171"/>
      <c r="N478" s="178"/>
      <c r="O478" s="178"/>
      <c r="P478" s="138">
        <f t="shared" si="175"/>
        <v>0</v>
      </c>
      <c r="Q478" s="137">
        <f t="shared" si="176"/>
        <v>50</v>
      </c>
      <c r="R478" s="143"/>
      <c r="S478" s="143"/>
      <c r="T478" s="143"/>
      <c r="U478" s="144"/>
      <c r="V478" s="144"/>
      <c r="W478" s="144"/>
      <c r="X478" s="145"/>
      <c r="Y478" s="152" t="str">
        <f t="shared" si="177"/>
        <v xml:space="preserve">   50.00 </v>
      </c>
      <c r="Z478" s="136"/>
      <c r="AA478" s="50" t="str">
        <f t="shared" si="188"/>
        <v/>
      </c>
      <c r="AB478" s="129" t="str">
        <f t="shared" si="189"/>
        <v/>
      </c>
      <c r="AC478" s="58" t="str">
        <f t="shared" si="178"/>
        <v/>
      </c>
      <c r="AD478" s="58" t="str">
        <f t="shared" si="179"/>
        <v/>
      </c>
      <c r="AE478" s="60" t="str">
        <f>IF(AD478="","",COUNTIF($AD$2:AD478,AD478))</f>
        <v/>
      </c>
      <c r="AF478" s="62" t="str">
        <f>IF(AD478="","",SUMIF(AD$2:AD478,AD478,G$2:G478))</f>
        <v/>
      </c>
      <c r="AG478" s="62" t="str">
        <f>IF(AK478&lt;&gt;"",COUNTIF($AK$1:AK477,AK478)+AK478,IF(AL478&lt;&gt;"",COUNTIF($AL$1:AL477,AL478)+AL478,""))</f>
        <v/>
      </c>
      <c r="AH478" s="62" t="str">
        <f t="shared" si="180"/>
        <v/>
      </c>
      <c r="AI478" s="62" t="str">
        <f>IF(AND(J478="M", AH478&lt;&gt;"U/A",AE478=Prizewinners!$J$1),AF478,"")</f>
        <v/>
      </c>
      <c r="AJ478" s="58" t="str">
        <f>IF(AND(J478="F",  AH478&lt;&gt;"U/A",AE478=Prizewinners!$J$16),AF478,"")</f>
        <v/>
      </c>
      <c r="AK478" s="58" t="str">
        <f t="shared" si="181"/>
        <v/>
      </c>
      <c r="AL478" s="58" t="str">
        <f t="shared" si="182"/>
        <v/>
      </c>
      <c r="AM478" s="58" t="str">
        <f t="shared" si="183"/>
        <v/>
      </c>
      <c r="AN478" s="58" t="str">
        <f t="shared" si="184"/>
        <v/>
      </c>
      <c r="AO478" s="58" t="str">
        <f t="shared" si="185"/>
        <v/>
      </c>
      <c r="AP478" s="58" t="str">
        <f t="shared" si="186"/>
        <v/>
      </c>
      <c r="AQ478" s="58" t="str">
        <f t="shared" si="187"/>
        <v/>
      </c>
    </row>
    <row r="479" spans="1:43" x14ac:dyDescent="0.25">
      <c r="A479" s="12" t="str">
        <f t="shared" si="173"/>
        <v>,179</v>
      </c>
      <c r="B479" s="12" t="str">
        <f t="shared" si="174"/>
        <v>,173</v>
      </c>
      <c r="C479" s="11">
        <f t="shared" si="195"/>
        <v>478</v>
      </c>
      <c r="D479" s="171"/>
      <c r="E479" s="12">
        <f t="shared" si="172"/>
        <v>0</v>
      </c>
      <c r="F479" s="12">
        <f>COUNTIF(H$2:H479,H479)</f>
        <v>179</v>
      </c>
      <c r="G479" s="12">
        <f>COUNTIF(J$2:J479,J479)</f>
        <v>173</v>
      </c>
      <c r="H479" s="12" t="str">
        <f t="shared" si="190"/>
        <v/>
      </c>
      <c r="I479" s="50" t="str">
        <f t="shared" si="191"/>
        <v/>
      </c>
      <c r="J479" s="50" t="str">
        <f t="shared" si="192"/>
        <v/>
      </c>
      <c r="K479" s="64" t="str">
        <f t="shared" si="193"/>
        <v/>
      </c>
      <c r="L479" s="64" t="str">
        <f t="shared" si="194"/>
        <v/>
      </c>
      <c r="M479" s="171"/>
      <c r="N479" s="178"/>
      <c r="O479" s="178"/>
      <c r="P479" s="138">
        <f t="shared" si="175"/>
        <v>0</v>
      </c>
      <c r="Q479" s="137">
        <f t="shared" si="176"/>
        <v>50</v>
      </c>
      <c r="R479" s="143"/>
      <c r="S479" s="143"/>
      <c r="T479" s="143"/>
      <c r="U479" s="144"/>
      <c r="V479" s="144"/>
      <c r="W479" s="144"/>
      <c r="X479" s="145"/>
      <c r="Y479" s="152" t="str">
        <f t="shared" si="177"/>
        <v xml:space="preserve">   50.00 </v>
      </c>
      <c r="Z479" s="136"/>
      <c r="AA479" s="50" t="str">
        <f t="shared" si="188"/>
        <v/>
      </c>
      <c r="AB479" s="129" t="str">
        <f t="shared" si="189"/>
        <v/>
      </c>
      <c r="AC479" s="58" t="str">
        <f t="shared" si="178"/>
        <v/>
      </c>
      <c r="AD479" s="58" t="str">
        <f t="shared" si="179"/>
        <v/>
      </c>
      <c r="AE479" s="60" t="str">
        <f>IF(AD479="","",COUNTIF($AD$2:AD479,AD479))</f>
        <v/>
      </c>
      <c r="AF479" s="62" t="str">
        <f>IF(AD479="","",SUMIF(AD$2:AD479,AD479,G$2:G479))</f>
        <v/>
      </c>
      <c r="AG479" s="62" t="str">
        <f>IF(AK479&lt;&gt;"",COUNTIF($AK$1:AK478,AK479)+AK479,IF(AL479&lt;&gt;"",COUNTIF($AL$1:AL478,AL479)+AL479,""))</f>
        <v/>
      </c>
      <c r="AH479" s="62" t="str">
        <f t="shared" si="180"/>
        <v/>
      </c>
      <c r="AI479" s="62" t="str">
        <f>IF(AND(J479="M", AH479&lt;&gt;"U/A",AE479=Prizewinners!$J$1),AF479,"")</f>
        <v/>
      </c>
      <c r="AJ479" s="58" t="str">
        <f>IF(AND(J479="F",  AH479&lt;&gt;"U/A",AE479=Prizewinners!$J$16),AF479,"")</f>
        <v/>
      </c>
      <c r="AK479" s="58" t="str">
        <f t="shared" si="181"/>
        <v/>
      </c>
      <c r="AL479" s="58" t="str">
        <f t="shared" si="182"/>
        <v/>
      </c>
      <c r="AM479" s="58" t="str">
        <f t="shared" si="183"/>
        <v/>
      </c>
      <c r="AN479" s="58" t="str">
        <f t="shared" si="184"/>
        <v/>
      </c>
      <c r="AO479" s="58" t="str">
        <f t="shared" si="185"/>
        <v/>
      </c>
      <c r="AP479" s="58" t="str">
        <f t="shared" si="186"/>
        <v/>
      </c>
      <c r="AQ479" s="58" t="str">
        <f t="shared" si="187"/>
        <v/>
      </c>
    </row>
    <row r="480" spans="1:43" x14ac:dyDescent="0.25">
      <c r="A480" s="12" t="str">
        <f t="shared" si="173"/>
        <v>,180</v>
      </c>
      <c r="B480" s="12" t="str">
        <f t="shared" si="174"/>
        <v>,174</v>
      </c>
      <c r="C480" s="11">
        <f t="shared" si="195"/>
        <v>479</v>
      </c>
      <c r="D480" s="171"/>
      <c r="E480" s="12">
        <f t="shared" si="172"/>
        <v>0</v>
      </c>
      <c r="F480" s="12">
        <f>COUNTIF(H$2:H480,H480)</f>
        <v>180</v>
      </c>
      <c r="G480" s="12">
        <f>COUNTIF(J$2:J480,J480)</f>
        <v>174</v>
      </c>
      <c r="H480" s="12" t="str">
        <f t="shared" si="190"/>
        <v/>
      </c>
      <c r="I480" s="50" t="str">
        <f t="shared" si="191"/>
        <v/>
      </c>
      <c r="J480" s="50" t="str">
        <f t="shared" si="192"/>
        <v/>
      </c>
      <c r="K480" s="64" t="str">
        <f t="shared" si="193"/>
        <v/>
      </c>
      <c r="L480" s="64" t="str">
        <f t="shared" si="194"/>
        <v/>
      </c>
      <c r="M480" s="171"/>
      <c r="N480" s="178"/>
      <c r="O480" s="178"/>
      <c r="P480" s="138">
        <f t="shared" si="175"/>
        <v>0</v>
      </c>
      <c r="Q480" s="137">
        <f t="shared" si="176"/>
        <v>50</v>
      </c>
      <c r="R480" s="143"/>
      <c r="S480" s="143"/>
      <c r="T480" s="143"/>
      <c r="U480" s="144"/>
      <c r="V480" s="144"/>
      <c r="W480" s="144"/>
      <c r="X480" s="145"/>
      <c r="Y480" s="152" t="str">
        <f t="shared" si="177"/>
        <v xml:space="preserve">   50.00 </v>
      </c>
      <c r="Z480" s="136"/>
      <c r="AA480" s="50" t="str">
        <f t="shared" si="188"/>
        <v/>
      </c>
      <c r="AB480" s="129" t="str">
        <f t="shared" si="189"/>
        <v/>
      </c>
      <c r="AC480" s="58" t="str">
        <f t="shared" si="178"/>
        <v/>
      </c>
      <c r="AD480" s="58" t="str">
        <f t="shared" si="179"/>
        <v/>
      </c>
      <c r="AE480" s="60" t="str">
        <f>IF(AD480="","",COUNTIF($AD$2:AD480,AD480))</f>
        <v/>
      </c>
      <c r="AF480" s="62" t="str">
        <f>IF(AD480="","",SUMIF(AD$2:AD480,AD480,G$2:G480))</f>
        <v/>
      </c>
      <c r="AG480" s="62" t="str">
        <f>IF(AK480&lt;&gt;"",COUNTIF($AK$1:AK479,AK480)+AK480,IF(AL480&lt;&gt;"",COUNTIF($AL$1:AL479,AL480)+AL480,""))</f>
        <v/>
      </c>
      <c r="AH480" s="62" t="str">
        <f t="shared" si="180"/>
        <v/>
      </c>
      <c r="AI480" s="62" t="str">
        <f>IF(AND(J480="M", AH480&lt;&gt;"U/A",AE480=Prizewinners!$J$1),AF480,"")</f>
        <v/>
      </c>
      <c r="AJ480" s="58" t="str">
        <f>IF(AND(J480="F",  AH480&lt;&gt;"U/A",AE480=Prizewinners!$J$16),AF480,"")</f>
        <v/>
      </c>
      <c r="AK480" s="58" t="str">
        <f t="shared" si="181"/>
        <v/>
      </c>
      <c r="AL480" s="58" t="str">
        <f t="shared" si="182"/>
        <v/>
      </c>
      <c r="AM480" s="58" t="str">
        <f t="shared" si="183"/>
        <v/>
      </c>
      <c r="AN480" s="58" t="str">
        <f t="shared" si="184"/>
        <v/>
      </c>
      <c r="AO480" s="58" t="str">
        <f t="shared" si="185"/>
        <v/>
      </c>
      <c r="AP480" s="58" t="str">
        <f t="shared" si="186"/>
        <v/>
      </c>
      <c r="AQ480" s="58" t="str">
        <f t="shared" si="187"/>
        <v/>
      </c>
    </row>
    <row r="481" spans="1:43" x14ac:dyDescent="0.25">
      <c r="A481" s="12" t="str">
        <f t="shared" si="173"/>
        <v>,181</v>
      </c>
      <c r="B481" s="12" t="str">
        <f t="shared" si="174"/>
        <v>,175</v>
      </c>
      <c r="C481" s="11">
        <f t="shared" si="195"/>
        <v>480</v>
      </c>
      <c r="D481" s="171"/>
      <c r="E481" s="12">
        <f t="shared" si="172"/>
        <v>0</v>
      </c>
      <c r="F481" s="12">
        <f>COUNTIF(H$2:H481,H481)</f>
        <v>181</v>
      </c>
      <c r="G481" s="12">
        <f>COUNTIF(J$2:J481,J481)</f>
        <v>175</v>
      </c>
      <c r="H481" s="12" t="str">
        <f t="shared" si="190"/>
        <v/>
      </c>
      <c r="I481" s="50" t="str">
        <f t="shared" si="191"/>
        <v/>
      </c>
      <c r="J481" s="50" t="str">
        <f t="shared" si="192"/>
        <v/>
      </c>
      <c r="K481" s="64" t="str">
        <f t="shared" si="193"/>
        <v/>
      </c>
      <c r="L481" s="64" t="str">
        <f t="shared" si="194"/>
        <v/>
      </c>
      <c r="M481" s="171"/>
      <c r="N481" s="178"/>
      <c r="O481" s="178"/>
      <c r="P481" s="138">
        <f t="shared" si="175"/>
        <v>0</v>
      </c>
      <c r="Q481" s="137">
        <f t="shared" si="176"/>
        <v>50</v>
      </c>
      <c r="R481" s="143"/>
      <c r="S481" s="143"/>
      <c r="T481" s="143"/>
      <c r="U481" s="144"/>
      <c r="V481" s="144"/>
      <c r="W481" s="144"/>
      <c r="X481" s="145"/>
      <c r="Y481" s="152" t="str">
        <f t="shared" si="177"/>
        <v xml:space="preserve">   50.00 </v>
      </c>
      <c r="Z481" s="136"/>
      <c r="AA481" s="50" t="str">
        <f t="shared" si="188"/>
        <v/>
      </c>
      <c r="AB481" s="129" t="str">
        <f t="shared" si="189"/>
        <v/>
      </c>
      <c r="AC481" s="58" t="str">
        <f t="shared" si="178"/>
        <v/>
      </c>
      <c r="AD481" s="58" t="str">
        <f t="shared" si="179"/>
        <v/>
      </c>
      <c r="AE481" s="60" t="str">
        <f>IF(AD481="","",COUNTIF($AD$2:AD481,AD481))</f>
        <v/>
      </c>
      <c r="AF481" s="62" t="str">
        <f>IF(AD481="","",SUMIF(AD$2:AD481,AD481,G$2:G481))</f>
        <v/>
      </c>
      <c r="AG481" s="62" t="str">
        <f>IF(AK481&lt;&gt;"",COUNTIF($AK$1:AK480,AK481)+AK481,IF(AL481&lt;&gt;"",COUNTIF($AL$1:AL480,AL481)+AL481,""))</f>
        <v/>
      </c>
      <c r="AH481" s="62" t="str">
        <f t="shared" si="180"/>
        <v/>
      </c>
      <c r="AI481" s="62" t="str">
        <f>IF(AND(J481="M", AH481&lt;&gt;"U/A",AE481=Prizewinners!$J$1),AF481,"")</f>
        <v/>
      </c>
      <c r="AJ481" s="58" t="str">
        <f>IF(AND(J481="F",  AH481&lt;&gt;"U/A",AE481=Prizewinners!$J$16),AF481,"")</f>
        <v/>
      </c>
      <c r="AK481" s="58" t="str">
        <f t="shared" si="181"/>
        <v/>
      </c>
      <c r="AL481" s="58" t="str">
        <f t="shared" si="182"/>
        <v/>
      </c>
      <c r="AM481" s="58" t="str">
        <f t="shared" si="183"/>
        <v/>
      </c>
      <c r="AN481" s="58" t="str">
        <f t="shared" si="184"/>
        <v/>
      </c>
      <c r="AO481" s="58" t="str">
        <f t="shared" si="185"/>
        <v/>
      </c>
      <c r="AP481" s="58" t="str">
        <f t="shared" si="186"/>
        <v/>
      </c>
      <c r="AQ481" s="58" t="str">
        <f t="shared" si="187"/>
        <v/>
      </c>
    </row>
    <row r="482" spans="1:43" x14ac:dyDescent="0.25">
      <c r="A482" s="12" t="str">
        <f t="shared" si="173"/>
        <v>,182</v>
      </c>
      <c r="B482" s="12" t="str">
        <f t="shared" si="174"/>
        <v>,176</v>
      </c>
      <c r="C482" s="11">
        <f t="shared" si="195"/>
        <v>481</v>
      </c>
      <c r="D482" s="171"/>
      <c r="E482" s="12">
        <f t="shared" si="172"/>
        <v>0</v>
      </c>
      <c r="F482" s="12">
        <f>COUNTIF(H$2:H482,H482)</f>
        <v>182</v>
      </c>
      <c r="G482" s="12">
        <f>COUNTIF(J$2:J482,J482)</f>
        <v>176</v>
      </c>
      <c r="H482" s="12" t="str">
        <f t="shared" si="190"/>
        <v/>
      </c>
      <c r="I482" s="50" t="str">
        <f t="shared" si="191"/>
        <v/>
      </c>
      <c r="J482" s="50" t="str">
        <f t="shared" si="192"/>
        <v/>
      </c>
      <c r="K482" s="64" t="str">
        <f t="shared" si="193"/>
        <v/>
      </c>
      <c r="L482" s="64" t="str">
        <f t="shared" si="194"/>
        <v/>
      </c>
      <c r="M482" s="171"/>
      <c r="N482" s="178"/>
      <c r="O482" s="178"/>
      <c r="P482" s="138">
        <f t="shared" si="175"/>
        <v>0</v>
      </c>
      <c r="Q482" s="137">
        <f t="shared" si="176"/>
        <v>50</v>
      </c>
      <c r="R482" s="143"/>
      <c r="S482" s="143"/>
      <c r="T482" s="143"/>
      <c r="U482" s="144"/>
      <c r="V482" s="144"/>
      <c r="W482" s="144"/>
      <c r="X482" s="145"/>
      <c r="Y482" s="152" t="str">
        <f t="shared" si="177"/>
        <v xml:space="preserve">   50.00 </v>
      </c>
      <c r="Z482" s="136"/>
      <c r="AA482" s="50" t="str">
        <f t="shared" si="188"/>
        <v/>
      </c>
      <c r="AB482" s="129" t="str">
        <f t="shared" si="189"/>
        <v/>
      </c>
      <c r="AC482" s="58" t="str">
        <f t="shared" si="178"/>
        <v/>
      </c>
      <c r="AD482" s="58" t="str">
        <f t="shared" si="179"/>
        <v/>
      </c>
      <c r="AE482" s="60" t="str">
        <f>IF(AD482="","",COUNTIF($AD$2:AD482,AD482))</f>
        <v/>
      </c>
      <c r="AF482" s="62" t="str">
        <f>IF(AD482="","",SUMIF(AD$2:AD482,AD482,G$2:G482))</f>
        <v/>
      </c>
      <c r="AG482" s="62" t="str">
        <f>IF(AK482&lt;&gt;"",COUNTIF($AK$1:AK481,AK482)+AK482,IF(AL482&lt;&gt;"",COUNTIF($AL$1:AL481,AL482)+AL482,""))</f>
        <v/>
      </c>
      <c r="AH482" s="62" t="str">
        <f t="shared" si="180"/>
        <v/>
      </c>
      <c r="AI482" s="62" t="str">
        <f>IF(AND(J482="M", AH482&lt;&gt;"U/A",AE482=Prizewinners!$J$1),AF482,"")</f>
        <v/>
      </c>
      <c r="AJ482" s="58" t="str">
        <f>IF(AND(J482="F",  AH482&lt;&gt;"U/A",AE482=Prizewinners!$J$16),AF482,"")</f>
        <v/>
      </c>
      <c r="AK482" s="58" t="str">
        <f t="shared" si="181"/>
        <v/>
      </c>
      <c r="AL482" s="58" t="str">
        <f t="shared" si="182"/>
        <v/>
      </c>
      <c r="AM482" s="58" t="str">
        <f t="shared" si="183"/>
        <v/>
      </c>
      <c r="AN482" s="58" t="str">
        <f t="shared" si="184"/>
        <v/>
      </c>
      <c r="AO482" s="58" t="str">
        <f t="shared" si="185"/>
        <v/>
      </c>
      <c r="AP482" s="58" t="str">
        <f t="shared" si="186"/>
        <v/>
      </c>
      <c r="AQ482" s="58" t="str">
        <f t="shared" si="187"/>
        <v/>
      </c>
    </row>
    <row r="483" spans="1:43" x14ac:dyDescent="0.25">
      <c r="A483" s="12" t="str">
        <f t="shared" si="173"/>
        <v>,183</v>
      </c>
      <c r="B483" s="12" t="str">
        <f t="shared" si="174"/>
        <v>,177</v>
      </c>
      <c r="C483" s="11">
        <f t="shared" si="195"/>
        <v>482</v>
      </c>
      <c r="D483" s="171"/>
      <c r="E483" s="12">
        <f t="shared" si="172"/>
        <v>0</v>
      </c>
      <c r="F483" s="12">
        <f>COUNTIF(H$2:H483,H483)</f>
        <v>183</v>
      </c>
      <c r="G483" s="12">
        <f>COUNTIF(J$2:J483,J483)</f>
        <v>177</v>
      </c>
      <c r="H483" s="12" t="str">
        <f t="shared" si="190"/>
        <v/>
      </c>
      <c r="I483" s="50" t="str">
        <f t="shared" si="191"/>
        <v/>
      </c>
      <c r="J483" s="50" t="str">
        <f t="shared" si="192"/>
        <v/>
      </c>
      <c r="K483" s="64" t="str">
        <f t="shared" si="193"/>
        <v/>
      </c>
      <c r="L483" s="64" t="str">
        <f t="shared" si="194"/>
        <v/>
      </c>
      <c r="M483" s="171"/>
      <c r="N483" s="178"/>
      <c r="O483" s="178"/>
      <c r="P483" s="138">
        <f t="shared" si="175"/>
        <v>0</v>
      </c>
      <c r="Q483" s="137">
        <f t="shared" si="176"/>
        <v>50</v>
      </c>
      <c r="R483" s="143"/>
      <c r="S483" s="143"/>
      <c r="T483" s="143"/>
      <c r="U483" s="144"/>
      <c r="V483" s="144"/>
      <c r="W483" s="144"/>
      <c r="X483" s="145"/>
      <c r="Y483" s="152" t="str">
        <f t="shared" si="177"/>
        <v xml:space="preserve">   50.00 </v>
      </c>
      <c r="Z483" s="136"/>
      <c r="AA483" s="50" t="str">
        <f t="shared" si="188"/>
        <v/>
      </c>
      <c r="AB483" s="129" t="str">
        <f t="shared" si="189"/>
        <v/>
      </c>
      <c r="AC483" s="58" t="str">
        <f t="shared" si="178"/>
        <v/>
      </c>
      <c r="AD483" s="58" t="str">
        <f t="shared" si="179"/>
        <v/>
      </c>
      <c r="AE483" s="60" t="str">
        <f>IF(AD483="","",COUNTIF($AD$2:AD483,AD483))</f>
        <v/>
      </c>
      <c r="AF483" s="62" t="str">
        <f>IF(AD483="","",SUMIF(AD$2:AD483,AD483,G$2:G483))</f>
        <v/>
      </c>
      <c r="AG483" s="62" t="str">
        <f>IF(AK483&lt;&gt;"",COUNTIF($AK$1:AK482,AK483)+AK483,IF(AL483&lt;&gt;"",COUNTIF($AL$1:AL482,AL483)+AL483,""))</f>
        <v/>
      </c>
      <c r="AH483" s="62" t="str">
        <f t="shared" si="180"/>
        <v/>
      </c>
      <c r="AI483" s="62" t="str">
        <f>IF(AND(J483="M", AH483&lt;&gt;"U/A",AE483=Prizewinners!$J$1),AF483,"")</f>
        <v/>
      </c>
      <c r="AJ483" s="58" t="str">
        <f>IF(AND(J483="F",  AH483&lt;&gt;"U/A",AE483=Prizewinners!$J$16),AF483,"")</f>
        <v/>
      </c>
      <c r="AK483" s="58" t="str">
        <f t="shared" si="181"/>
        <v/>
      </c>
      <c r="AL483" s="58" t="str">
        <f t="shared" si="182"/>
        <v/>
      </c>
      <c r="AM483" s="58" t="str">
        <f t="shared" si="183"/>
        <v/>
      </c>
      <c r="AN483" s="58" t="str">
        <f t="shared" si="184"/>
        <v/>
      </c>
      <c r="AO483" s="58" t="str">
        <f t="shared" si="185"/>
        <v/>
      </c>
      <c r="AP483" s="58" t="str">
        <f t="shared" si="186"/>
        <v/>
      </c>
      <c r="AQ483" s="58" t="str">
        <f t="shared" si="187"/>
        <v/>
      </c>
    </row>
    <row r="484" spans="1:43" x14ac:dyDescent="0.25">
      <c r="A484" s="12" t="str">
        <f t="shared" si="173"/>
        <v>,184</v>
      </c>
      <c r="B484" s="12" t="str">
        <f t="shared" si="174"/>
        <v>,178</v>
      </c>
      <c r="C484" s="11">
        <f t="shared" si="195"/>
        <v>483</v>
      </c>
      <c r="D484" s="171"/>
      <c r="E484" s="12">
        <f t="shared" si="172"/>
        <v>0</v>
      </c>
      <c r="F484" s="12">
        <f>COUNTIF(H$2:H484,H484)</f>
        <v>184</v>
      </c>
      <c r="G484" s="12">
        <f>COUNTIF(J$2:J484,J484)</f>
        <v>178</v>
      </c>
      <c r="H484" s="12" t="str">
        <f t="shared" si="190"/>
        <v/>
      </c>
      <c r="I484" s="50" t="str">
        <f t="shared" si="191"/>
        <v/>
      </c>
      <c r="J484" s="50" t="str">
        <f t="shared" si="192"/>
        <v/>
      </c>
      <c r="K484" s="64" t="str">
        <f t="shared" si="193"/>
        <v/>
      </c>
      <c r="L484" s="64" t="str">
        <f t="shared" si="194"/>
        <v/>
      </c>
      <c r="M484" s="171"/>
      <c r="N484" s="178"/>
      <c r="O484" s="178"/>
      <c r="P484" s="138">
        <f t="shared" si="175"/>
        <v>0</v>
      </c>
      <c r="Q484" s="137">
        <f t="shared" si="176"/>
        <v>50</v>
      </c>
      <c r="R484" s="143"/>
      <c r="S484" s="143"/>
      <c r="T484" s="143"/>
      <c r="U484" s="144"/>
      <c r="V484" s="144"/>
      <c r="W484" s="144"/>
      <c r="X484" s="145"/>
      <c r="Y484" s="152" t="str">
        <f t="shared" si="177"/>
        <v xml:space="preserve">   50.00 </v>
      </c>
      <c r="Z484" s="136"/>
      <c r="AA484" s="50" t="str">
        <f t="shared" si="188"/>
        <v/>
      </c>
      <c r="AB484" s="129" t="str">
        <f t="shared" si="189"/>
        <v/>
      </c>
      <c r="AC484" s="58" t="str">
        <f t="shared" si="178"/>
        <v/>
      </c>
      <c r="AD484" s="58" t="str">
        <f t="shared" si="179"/>
        <v/>
      </c>
      <c r="AE484" s="60" t="str">
        <f>IF(AD484="","",COUNTIF($AD$2:AD484,AD484))</f>
        <v/>
      </c>
      <c r="AF484" s="62" t="str">
        <f>IF(AD484="","",SUMIF(AD$2:AD484,AD484,G$2:G484))</f>
        <v/>
      </c>
      <c r="AG484" s="62" t="str">
        <f>IF(AK484&lt;&gt;"",COUNTIF($AK$1:AK483,AK484)+AK484,IF(AL484&lt;&gt;"",COUNTIF($AL$1:AL483,AL484)+AL484,""))</f>
        <v/>
      </c>
      <c r="AH484" s="62" t="str">
        <f t="shared" si="180"/>
        <v/>
      </c>
      <c r="AI484" s="62" t="str">
        <f>IF(AND(J484="M", AH484&lt;&gt;"U/A",AE484=Prizewinners!$J$1),AF484,"")</f>
        <v/>
      </c>
      <c r="AJ484" s="58" t="str">
        <f>IF(AND(J484="F",  AH484&lt;&gt;"U/A",AE484=Prizewinners!$J$16),AF484,"")</f>
        <v/>
      </c>
      <c r="AK484" s="58" t="str">
        <f t="shared" si="181"/>
        <v/>
      </c>
      <c r="AL484" s="58" t="str">
        <f t="shared" si="182"/>
        <v/>
      </c>
      <c r="AM484" s="58" t="str">
        <f t="shared" si="183"/>
        <v/>
      </c>
      <c r="AN484" s="58" t="str">
        <f t="shared" si="184"/>
        <v/>
      </c>
      <c r="AO484" s="58" t="str">
        <f t="shared" si="185"/>
        <v/>
      </c>
      <c r="AP484" s="58" t="str">
        <f t="shared" si="186"/>
        <v/>
      </c>
      <c r="AQ484" s="58" t="str">
        <f t="shared" si="187"/>
        <v/>
      </c>
    </row>
    <row r="485" spans="1:43" x14ac:dyDescent="0.25">
      <c r="A485" s="12" t="str">
        <f t="shared" si="173"/>
        <v>,185</v>
      </c>
      <c r="B485" s="12" t="str">
        <f t="shared" si="174"/>
        <v>,179</v>
      </c>
      <c r="C485" s="11">
        <f t="shared" si="195"/>
        <v>484</v>
      </c>
      <c r="D485" s="171"/>
      <c r="E485" s="12">
        <f t="shared" si="172"/>
        <v>0</v>
      </c>
      <c r="F485" s="12">
        <f>COUNTIF(H$2:H485,H485)</f>
        <v>185</v>
      </c>
      <c r="G485" s="12">
        <f>COUNTIF(J$2:J485,J485)</f>
        <v>179</v>
      </c>
      <c r="H485" s="12" t="str">
        <f t="shared" si="190"/>
        <v/>
      </c>
      <c r="I485" s="50" t="str">
        <f t="shared" si="191"/>
        <v/>
      </c>
      <c r="J485" s="50" t="str">
        <f t="shared" si="192"/>
        <v/>
      </c>
      <c r="K485" s="64" t="str">
        <f t="shared" si="193"/>
        <v/>
      </c>
      <c r="L485" s="64" t="str">
        <f t="shared" si="194"/>
        <v/>
      </c>
      <c r="M485" s="171"/>
      <c r="N485" s="178"/>
      <c r="O485" s="178"/>
      <c r="P485" s="138">
        <f t="shared" si="175"/>
        <v>0</v>
      </c>
      <c r="Q485" s="137">
        <f t="shared" si="176"/>
        <v>50</v>
      </c>
      <c r="R485" s="143"/>
      <c r="S485" s="143"/>
      <c r="T485" s="143"/>
      <c r="U485" s="144"/>
      <c r="V485" s="144"/>
      <c r="W485" s="144"/>
      <c r="X485" s="145"/>
      <c r="Y485" s="152" t="str">
        <f t="shared" si="177"/>
        <v xml:space="preserve">   50.00 </v>
      </c>
      <c r="Z485" s="136"/>
      <c r="AA485" s="50" t="str">
        <f t="shared" si="188"/>
        <v/>
      </c>
      <c r="AB485" s="129" t="str">
        <f t="shared" si="189"/>
        <v/>
      </c>
      <c r="AC485" s="58" t="str">
        <f t="shared" si="178"/>
        <v/>
      </c>
      <c r="AD485" s="58" t="str">
        <f t="shared" si="179"/>
        <v/>
      </c>
      <c r="AE485" s="60" t="str">
        <f>IF(AD485="","",COUNTIF($AD$2:AD485,AD485))</f>
        <v/>
      </c>
      <c r="AF485" s="62" t="str">
        <f>IF(AD485="","",SUMIF(AD$2:AD485,AD485,G$2:G485))</f>
        <v/>
      </c>
      <c r="AG485" s="62" t="str">
        <f>IF(AK485&lt;&gt;"",COUNTIF($AK$1:AK484,AK485)+AK485,IF(AL485&lt;&gt;"",COUNTIF($AL$1:AL484,AL485)+AL485,""))</f>
        <v/>
      </c>
      <c r="AH485" s="62" t="str">
        <f t="shared" si="180"/>
        <v/>
      </c>
      <c r="AI485" s="62" t="str">
        <f>IF(AND(J485="M", AH485&lt;&gt;"U/A",AE485=Prizewinners!$J$1),AF485,"")</f>
        <v/>
      </c>
      <c r="AJ485" s="58" t="str">
        <f>IF(AND(J485="F",  AH485&lt;&gt;"U/A",AE485=Prizewinners!$J$16),AF485,"")</f>
        <v/>
      </c>
      <c r="AK485" s="58" t="str">
        <f t="shared" si="181"/>
        <v/>
      </c>
      <c r="AL485" s="58" t="str">
        <f t="shared" si="182"/>
        <v/>
      </c>
      <c r="AM485" s="58" t="str">
        <f t="shared" si="183"/>
        <v/>
      </c>
      <c r="AN485" s="58" t="str">
        <f t="shared" si="184"/>
        <v/>
      </c>
      <c r="AO485" s="58" t="str">
        <f t="shared" si="185"/>
        <v/>
      </c>
      <c r="AP485" s="58" t="str">
        <f t="shared" si="186"/>
        <v/>
      </c>
      <c r="AQ485" s="58" t="str">
        <f t="shared" si="187"/>
        <v/>
      </c>
    </row>
    <row r="486" spans="1:43" x14ac:dyDescent="0.25">
      <c r="A486" s="12" t="str">
        <f t="shared" si="173"/>
        <v>,186</v>
      </c>
      <c r="B486" s="12" t="str">
        <f t="shared" si="174"/>
        <v>,180</v>
      </c>
      <c r="C486" s="11">
        <f t="shared" si="195"/>
        <v>485</v>
      </c>
      <c r="D486" s="171"/>
      <c r="E486" s="12">
        <f t="shared" si="172"/>
        <v>0</v>
      </c>
      <c r="F486" s="12">
        <f>COUNTIF(H$2:H486,H486)</f>
        <v>186</v>
      </c>
      <c r="G486" s="12">
        <f>COUNTIF(J$2:J486,J486)</f>
        <v>180</v>
      </c>
      <c r="H486" s="12" t="str">
        <f t="shared" si="190"/>
        <v/>
      </c>
      <c r="I486" s="50" t="str">
        <f t="shared" si="191"/>
        <v/>
      </c>
      <c r="J486" s="50" t="str">
        <f t="shared" si="192"/>
        <v/>
      </c>
      <c r="K486" s="64" t="str">
        <f t="shared" si="193"/>
        <v/>
      </c>
      <c r="L486" s="64" t="str">
        <f t="shared" si="194"/>
        <v/>
      </c>
      <c r="M486" s="171"/>
      <c r="N486" s="178"/>
      <c r="O486" s="178"/>
      <c r="P486" s="138">
        <f t="shared" si="175"/>
        <v>0</v>
      </c>
      <c r="Q486" s="137">
        <f t="shared" si="176"/>
        <v>50</v>
      </c>
      <c r="R486" s="143"/>
      <c r="S486" s="143"/>
      <c r="T486" s="143"/>
      <c r="U486" s="144"/>
      <c r="V486" s="144"/>
      <c r="W486" s="144"/>
      <c r="X486" s="145"/>
      <c r="Y486" s="152" t="str">
        <f t="shared" si="177"/>
        <v xml:space="preserve">   50.00 </v>
      </c>
      <c r="Z486" s="136"/>
      <c r="AA486" s="50" t="str">
        <f t="shared" si="188"/>
        <v/>
      </c>
      <c r="AB486" s="129" t="str">
        <f t="shared" si="189"/>
        <v/>
      </c>
      <c r="AC486" s="58" t="str">
        <f t="shared" si="178"/>
        <v/>
      </c>
      <c r="AD486" s="58" t="str">
        <f t="shared" si="179"/>
        <v/>
      </c>
      <c r="AE486" s="60" t="str">
        <f>IF(AD486="","",COUNTIF($AD$2:AD486,AD486))</f>
        <v/>
      </c>
      <c r="AF486" s="62" t="str">
        <f>IF(AD486="","",SUMIF(AD$2:AD486,AD486,G$2:G486))</f>
        <v/>
      </c>
      <c r="AG486" s="62" t="str">
        <f>IF(AK486&lt;&gt;"",COUNTIF($AK$1:AK485,AK486)+AK486,IF(AL486&lt;&gt;"",COUNTIF($AL$1:AL485,AL486)+AL486,""))</f>
        <v/>
      </c>
      <c r="AH486" s="62" t="str">
        <f t="shared" si="180"/>
        <v/>
      </c>
      <c r="AI486" s="62" t="str">
        <f>IF(AND(J486="M", AH486&lt;&gt;"U/A",AE486=Prizewinners!$J$1),AF486,"")</f>
        <v/>
      </c>
      <c r="AJ486" s="58" t="str">
        <f>IF(AND(J486="F",  AH486&lt;&gt;"U/A",AE486=Prizewinners!$J$16),AF486,"")</f>
        <v/>
      </c>
      <c r="AK486" s="58" t="str">
        <f t="shared" si="181"/>
        <v/>
      </c>
      <c r="AL486" s="58" t="str">
        <f t="shared" si="182"/>
        <v/>
      </c>
      <c r="AM486" s="58" t="str">
        <f t="shared" si="183"/>
        <v/>
      </c>
      <c r="AN486" s="58" t="str">
        <f t="shared" si="184"/>
        <v/>
      </c>
      <c r="AO486" s="58" t="str">
        <f t="shared" si="185"/>
        <v/>
      </c>
      <c r="AP486" s="58" t="str">
        <f t="shared" si="186"/>
        <v/>
      </c>
      <c r="AQ486" s="58" t="str">
        <f t="shared" si="187"/>
        <v/>
      </c>
    </row>
    <row r="487" spans="1:43" x14ac:dyDescent="0.25">
      <c r="A487" s="12" t="str">
        <f t="shared" si="173"/>
        <v>,187</v>
      </c>
      <c r="B487" s="12" t="str">
        <f t="shared" si="174"/>
        <v>,181</v>
      </c>
      <c r="C487" s="11">
        <f t="shared" si="195"/>
        <v>486</v>
      </c>
      <c r="D487" s="171"/>
      <c r="E487" s="12">
        <f t="shared" si="172"/>
        <v>0</v>
      </c>
      <c r="F487" s="12">
        <f>COUNTIF(H$2:H487,H487)</f>
        <v>187</v>
      </c>
      <c r="G487" s="12">
        <f>COUNTIF(J$2:J487,J487)</f>
        <v>181</v>
      </c>
      <c r="H487" s="12" t="str">
        <f t="shared" si="190"/>
        <v/>
      </c>
      <c r="I487" s="50" t="str">
        <f t="shared" si="191"/>
        <v/>
      </c>
      <c r="J487" s="50" t="str">
        <f t="shared" si="192"/>
        <v/>
      </c>
      <c r="K487" s="64" t="str">
        <f t="shared" si="193"/>
        <v/>
      </c>
      <c r="L487" s="64" t="str">
        <f t="shared" si="194"/>
        <v/>
      </c>
      <c r="M487" s="171"/>
      <c r="N487" s="178"/>
      <c r="O487" s="178"/>
      <c r="P487" s="138">
        <f t="shared" si="175"/>
        <v>0</v>
      </c>
      <c r="Q487" s="137">
        <f t="shared" si="176"/>
        <v>50</v>
      </c>
      <c r="R487" s="143"/>
      <c r="S487" s="143"/>
      <c r="T487" s="143"/>
      <c r="U487" s="144"/>
      <c r="V487" s="144"/>
      <c r="W487" s="144"/>
      <c r="X487" s="145"/>
      <c r="Y487" s="152" t="str">
        <f t="shared" si="177"/>
        <v xml:space="preserve">   50.00 </v>
      </c>
      <c r="Z487" s="136"/>
      <c r="AA487" s="50" t="str">
        <f t="shared" si="188"/>
        <v/>
      </c>
      <c r="AB487" s="129" t="str">
        <f t="shared" si="189"/>
        <v/>
      </c>
      <c r="AC487" s="58" t="str">
        <f t="shared" si="178"/>
        <v/>
      </c>
      <c r="AD487" s="58" t="str">
        <f t="shared" si="179"/>
        <v/>
      </c>
      <c r="AE487" s="60" t="str">
        <f>IF(AD487="","",COUNTIF($AD$2:AD487,AD487))</f>
        <v/>
      </c>
      <c r="AF487" s="62" t="str">
        <f>IF(AD487="","",SUMIF(AD$2:AD487,AD487,G$2:G487))</f>
        <v/>
      </c>
      <c r="AG487" s="62" t="str">
        <f>IF(AK487&lt;&gt;"",COUNTIF($AK$1:AK486,AK487)+AK487,IF(AL487&lt;&gt;"",COUNTIF($AL$1:AL486,AL487)+AL487,""))</f>
        <v/>
      </c>
      <c r="AH487" s="62" t="str">
        <f t="shared" si="180"/>
        <v/>
      </c>
      <c r="AI487" s="62" t="str">
        <f>IF(AND(J487="M", AH487&lt;&gt;"U/A",AE487=Prizewinners!$J$1),AF487,"")</f>
        <v/>
      </c>
      <c r="AJ487" s="58" t="str">
        <f>IF(AND(J487="F",  AH487&lt;&gt;"U/A",AE487=Prizewinners!$J$16),AF487,"")</f>
        <v/>
      </c>
      <c r="AK487" s="58" t="str">
        <f t="shared" si="181"/>
        <v/>
      </c>
      <c r="AL487" s="58" t="str">
        <f t="shared" si="182"/>
        <v/>
      </c>
      <c r="AM487" s="58" t="str">
        <f t="shared" si="183"/>
        <v/>
      </c>
      <c r="AN487" s="58" t="str">
        <f t="shared" si="184"/>
        <v/>
      </c>
      <c r="AO487" s="58" t="str">
        <f t="shared" si="185"/>
        <v/>
      </c>
      <c r="AP487" s="58" t="str">
        <f t="shared" si="186"/>
        <v/>
      </c>
      <c r="AQ487" s="58" t="str">
        <f t="shared" si="187"/>
        <v/>
      </c>
    </row>
    <row r="488" spans="1:43" x14ac:dyDescent="0.25">
      <c r="A488" s="12" t="str">
        <f t="shared" si="173"/>
        <v>,188</v>
      </c>
      <c r="B488" s="12" t="str">
        <f t="shared" si="174"/>
        <v>,182</v>
      </c>
      <c r="C488" s="11">
        <f t="shared" si="195"/>
        <v>487</v>
      </c>
      <c r="D488" s="171"/>
      <c r="E488" s="12">
        <f t="shared" si="172"/>
        <v>0</v>
      </c>
      <c r="F488" s="12">
        <f>COUNTIF(H$2:H488,H488)</f>
        <v>188</v>
      </c>
      <c r="G488" s="12">
        <f>COUNTIF(J$2:J488,J488)</f>
        <v>182</v>
      </c>
      <c r="H488" s="12" t="str">
        <f t="shared" si="190"/>
        <v/>
      </c>
      <c r="I488" s="50" t="str">
        <f t="shared" si="191"/>
        <v/>
      </c>
      <c r="J488" s="50" t="str">
        <f t="shared" si="192"/>
        <v/>
      </c>
      <c r="K488" s="64" t="str">
        <f t="shared" si="193"/>
        <v/>
      </c>
      <c r="L488" s="64" t="str">
        <f t="shared" si="194"/>
        <v/>
      </c>
      <c r="M488" s="171"/>
      <c r="N488" s="178"/>
      <c r="O488" s="178"/>
      <c r="P488" s="138">
        <f t="shared" si="175"/>
        <v>0</v>
      </c>
      <c r="Q488" s="137">
        <f t="shared" si="176"/>
        <v>50</v>
      </c>
      <c r="R488" s="143"/>
      <c r="S488" s="143"/>
      <c r="T488" s="143"/>
      <c r="U488" s="144"/>
      <c r="V488" s="144"/>
      <c r="W488" s="144"/>
      <c r="X488" s="145"/>
      <c r="Y488" s="152" t="str">
        <f t="shared" si="177"/>
        <v xml:space="preserve">   50.00 </v>
      </c>
      <c r="Z488" s="136"/>
      <c r="AA488" s="50" t="str">
        <f t="shared" si="188"/>
        <v/>
      </c>
      <c r="AB488" s="129" t="str">
        <f t="shared" si="189"/>
        <v/>
      </c>
      <c r="AC488" s="58" t="str">
        <f t="shared" si="178"/>
        <v/>
      </c>
      <c r="AD488" s="58" t="str">
        <f t="shared" si="179"/>
        <v/>
      </c>
      <c r="AE488" s="60" t="str">
        <f>IF(AD488="","",COUNTIF($AD$2:AD488,AD488))</f>
        <v/>
      </c>
      <c r="AF488" s="62" t="str">
        <f>IF(AD488="","",SUMIF(AD$2:AD488,AD488,G$2:G488))</f>
        <v/>
      </c>
      <c r="AG488" s="62" t="str">
        <f>IF(AK488&lt;&gt;"",COUNTIF($AK$1:AK487,AK488)+AK488,IF(AL488&lt;&gt;"",COUNTIF($AL$1:AL487,AL488)+AL488,""))</f>
        <v/>
      </c>
      <c r="AH488" s="62" t="str">
        <f t="shared" si="180"/>
        <v/>
      </c>
      <c r="AI488" s="62" t="str">
        <f>IF(AND(J488="M", AH488&lt;&gt;"U/A",AE488=Prizewinners!$J$1),AF488,"")</f>
        <v/>
      </c>
      <c r="AJ488" s="58" t="str">
        <f>IF(AND(J488="F",  AH488&lt;&gt;"U/A",AE488=Prizewinners!$J$16),AF488,"")</f>
        <v/>
      </c>
      <c r="AK488" s="58" t="str">
        <f t="shared" si="181"/>
        <v/>
      </c>
      <c r="AL488" s="58" t="str">
        <f t="shared" si="182"/>
        <v/>
      </c>
      <c r="AM488" s="58" t="str">
        <f t="shared" si="183"/>
        <v/>
      </c>
      <c r="AN488" s="58" t="str">
        <f t="shared" si="184"/>
        <v/>
      </c>
      <c r="AO488" s="58" t="str">
        <f t="shared" si="185"/>
        <v/>
      </c>
      <c r="AP488" s="58" t="str">
        <f t="shared" si="186"/>
        <v/>
      </c>
      <c r="AQ488" s="58" t="str">
        <f t="shared" si="187"/>
        <v/>
      </c>
    </row>
    <row r="489" spans="1:43" x14ac:dyDescent="0.25">
      <c r="A489" s="12" t="str">
        <f t="shared" si="173"/>
        <v>,189</v>
      </c>
      <c r="B489" s="12" t="str">
        <f t="shared" si="174"/>
        <v>,183</v>
      </c>
      <c r="C489" s="11">
        <f t="shared" si="195"/>
        <v>488</v>
      </c>
      <c r="D489" s="171"/>
      <c r="E489" s="12">
        <f t="shared" si="172"/>
        <v>0</v>
      </c>
      <c r="F489" s="12">
        <f>COUNTIF(H$2:H489,H489)</f>
        <v>189</v>
      </c>
      <c r="G489" s="12">
        <f>COUNTIF(J$2:J489,J489)</f>
        <v>183</v>
      </c>
      <c r="H489" s="12" t="str">
        <f t="shared" si="190"/>
        <v/>
      </c>
      <c r="I489" s="50" t="str">
        <f t="shared" si="191"/>
        <v/>
      </c>
      <c r="J489" s="50" t="str">
        <f t="shared" si="192"/>
        <v/>
      </c>
      <c r="K489" s="64" t="str">
        <f t="shared" si="193"/>
        <v/>
      </c>
      <c r="L489" s="64" t="str">
        <f t="shared" si="194"/>
        <v/>
      </c>
      <c r="M489" s="171"/>
      <c r="N489" s="178"/>
      <c r="O489" s="178"/>
      <c r="P489" s="138">
        <f t="shared" si="175"/>
        <v>0</v>
      </c>
      <c r="Q489" s="137">
        <f t="shared" si="176"/>
        <v>50</v>
      </c>
      <c r="R489" s="143"/>
      <c r="S489" s="143"/>
      <c r="T489" s="143"/>
      <c r="U489" s="144"/>
      <c r="V489" s="144"/>
      <c r="W489" s="144"/>
      <c r="X489" s="145"/>
      <c r="Y489" s="152" t="str">
        <f t="shared" si="177"/>
        <v xml:space="preserve">   50.00 </v>
      </c>
      <c r="Z489" s="136"/>
      <c r="AA489" s="50" t="str">
        <f t="shared" si="188"/>
        <v/>
      </c>
      <c r="AB489" s="129" t="str">
        <f t="shared" si="189"/>
        <v/>
      </c>
      <c r="AC489" s="58" t="str">
        <f t="shared" si="178"/>
        <v/>
      </c>
      <c r="AD489" s="58" t="str">
        <f t="shared" si="179"/>
        <v/>
      </c>
      <c r="AE489" s="60" t="str">
        <f>IF(AD489="","",COUNTIF($AD$2:AD489,AD489))</f>
        <v/>
      </c>
      <c r="AF489" s="62" t="str">
        <f>IF(AD489="","",SUMIF(AD$2:AD489,AD489,G$2:G489))</f>
        <v/>
      </c>
      <c r="AG489" s="62" t="str">
        <f>IF(AK489&lt;&gt;"",COUNTIF($AK$1:AK488,AK489)+AK489,IF(AL489&lt;&gt;"",COUNTIF($AL$1:AL488,AL489)+AL489,""))</f>
        <v/>
      </c>
      <c r="AH489" s="62" t="str">
        <f t="shared" si="180"/>
        <v/>
      </c>
      <c r="AI489" s="62" t="str">
        <f>IF(AND(J489="M", AH489&lt;&gt;"U/A",AE489=Prizewinners!$J$1),AF489,"")</f>
        <v/>
      </c>
      <c r="AJ489" s="58" t="str">
        <f>IF(AND(J489="F",  AH489&lt;&gt;"U/A",AE489=Prizewinners!$J$16),AF489,"")</f>
        <v/>
      </c>
      <c r="AK489" s="58" t="str">
        <f t="shared" si="181"/>
        <v/>
      </c>
      <c r="AL489" s="58" t="str">
        <f t="shared" si="182"/>
        <v/>
      </c>
      <c r="AM489" s="58" t="str">
        <f t="shared" si="183"/>
        <v/>
      </c>
      <c r="AN489" s="58" t="str">
        <f t="shared" si="184"/>
        <v/>
      </c>
      <c r="AO489" s="58" t="str">
        <f t="shared" si="185"/>
        <v/>
      </c>
      <c r="AP489" s="58" t="str">
        <f t="shared" si="186"/>
        <v/>
      </c>
      <c r="AQ489" s="58" t="str">
        <f t="shared" si="187"/>
        <v/>
      </c>
    </row>
    <row r="490" spans="1:43" x14ac:dyDescent="0.25">
      <c r="A490" s="12" t="str">
        <f t="shared" si="173"/>
        <v>,190</v>
      </c>
      <c r="B490" s="12" t="str">
        <f t="shared" si="174"/>
        <v>,184</v>
      </c>
      <c r="C490" s="11">
        <f t="shared" si="195"/>
        <v>489</v>
      </c>
      <c r="D490" s="171"/>
      <c r="E490" s="12">
        <f t="shared" si="172"/>
        <v>0</v>
      </c>
      <c r="F490" s="12">
        <f>COUNTIF(H$2:H490,H490)</f>
        <v>190</v>
      </c>
      <c r="G490" s="12">
        <f>COUNTIF(J$2:J490,J490)</f>
        <v>184</v>
      </c>
      <c r="H490" s="12" t="str">
        <f t="shared" si="190"/>
        <v/>
      </c>
      <c r="I490" s="50" t="str">
        <f t="shared" si="191"/>
        <v/>
      </c>
      <c r="J490" s="50" t="str">
        <f t="shared" si="192"/>
        <v/>
      </c>
      <c r="K490" s="64" t="str">
        <f t="shared" si="193"/>
        <v/>
      </c>
      <c r="L490" s="64" t="str">
        <f t="shared" si="194"/>
        <v/>
      </c>
      <c r="M490" s="171"/>
      <c r="N490" s="178"/>
      <c r="O490" s="178"/>
      <c r="P490" s="138">
        <f t="shared" si="175"/>
        <v>0</v>
      </c>
      <c r="Q490" s="137">
        <f t="shared" si="176"/>
        <v>50</v>
      </c>
      <c r="R490" s="143"/>
      <c r="S490" s="143"/>
      <c r="T490" s="143"/>
      <c r="U490" s="144"/>
      <c r="V490" s="144"/>
      <c r="W490" s="144"/>
      <c r="X490" s="145"/>
      <c r="Y490" s="152" t="str">
        <f t="shared" si="177"/>
        <v xml:space="preserve">   50.00 </v>
      </c>
      <c r="Z490" s="136"/>
      <c r="AA490" s="50" t="str">
        <f t="shared" si="188"/>
        <v/>
      </c>
      <c r="AB490" s="129" t="str">
        <f t="shared" si="189"/>
        <v/>
      </c>
      <c r="AC490" s="58" t="str">
        <f t="shared" si="178"/>
        <v/>
      </c>
      <c r="AD490" s="58" t="str">
        <f t="shared" si="179"/>
        <v/>
      </c>
      <c r="AE490" s="60" t="str">
        <f>IF(AD490="","",COUNTIF($AD$2:AD490,AD490))</f>
        <v/>
      </c>
      <c r="AF490" s="62" t="str">
        <f>IF(AD490="","",SUMIF(AD$2:AD490,AD490,G$2:G490))</f>
        <v/>
      </c>
      <c r="AG490" s="62" t="str">
        <f>IF(AK490&lt;&gt;"",COUNTIF($AK$1:AK489,AK490)+AK490,IF(AL490&lt;&gt;"",COUNTIF($AL$1:AL489,AL490)+AL490,""))</f>
        <v/>
      </c>
      <c r="AH490" s="62" t="str">
        <f t="shared" si="180"/>
        <v/>
      </c>
      <c r="AI490" s="62" t="str">
        <f>IF(AND(J490="M", AH490&lt;&gt;"U/A",AE490=Prizewinners!$J$1),AF490,"")</f>
        <v/>
      </c>
      <c r="AJ490" s="58" t="str">
        <f>IF(AND(J490="F",  AH490&lt;&gt;"U/A",AE490=Prizewinners!$J$16),AF490,"")</f>
        <v/>
      </c>
      <c r="AK490" s="58" t="str">
        <f t="shared" si="181"/>
        <v/>
      </c>
      <c r="AL490" s="58" t="str">
        <f t="shared" si="182"/>
        <v/>
      </c>
      <c r="AM490" s="58" t="str">
        <f t="shared" si="183"/>
        <v/>
      </c>
      <c r="AN490" s="58" t="str">
        <f t="shared" si="184"/>
        <v/>
      </c>
      <c r="AO490" s="58" t="str">
        <f t="shared" si="185"/>
        <v/>
      </c>
      <c r="AP490" s="58" t="str">
        <f t="shared" si="186"/>
        <v/>
      </c>
      <c r="AQ490" s="58" t="str">
        <f t="shared" si="187"/>
        <v/>
      </c>
    </row>
    <row r="491" spans="1:43" x14ac:dyDescent="0.25">
      <c r="A491" s="12" t="str">
        <f t="shared" si="173"/>
        <v>,191</v>
      </c>
      <c r="B491" s="12" t="str">
        <f t="shared" si="174"/>
        <v>,185</v>
      </c>
      <c r="C491" s="11">
        <f t="shared" si="195"/>
        <v>490</v>
      </c>
      <c r="D491" s="171"/>
      <c r="E491" s="12">
        <f t="shared" si="172"/>
        <v>0</v>
      </c>
      <c r="F491" s="12">
        <f>COUNTIF(H$2:H491,H491)</f>
        <v>191</v>
      </c>
      <c r="G491" s="12">
        <f>COUNTIF(J$2:J491,J491)</f>
        <v>185</v>
      </c>
      <c r="H491" s="12" t="str">
        <f t="shared" si="190"/>
        <v/>
      </c>
      <c r="I491" s="50" t="str">
        <f t="shared" si="191"/>
        <v/>
      </c>
      <c r="J491" s="50" t="str">
        <f t="shared" si="192"/>
        <v/>
      </c>
      <c r="K491" s="64" t="str">
        <f t="shared" si="193"/>
        <v/>
      </c>
      <c r="L491" s="64" t="str">
        <f t="shared" si="194"/>
        <v/>
      </c>
      <c r="M491" s="171"/>
      <c r="N491" s="178"/>
      <c r="O491" s="178"/>
      <c r="P491" s="138">
        <f t="shared" si="175"/>
        <v>0</v>
      </c>
      <c r="Q491" s="137">
        <f t="shared" si="176"/>
        <v>50</v>
      </c>
      <c r="R491" s="143"/>
      <c r="S491" s="143"/>
      <c r="T491" s="143"/>
      <c r="U491" s="144"/>
      <c r="V491" s="144"/>
      <c r="W491" s="144"/>
      <c r="X491" s="145"/>
      <c r="Y491" s="152" t="str">
        <f t="shared" si="177"/>
        <v xml:space="preserve">   50.00 </v>
      </c>
      <c r="Z491" s="136"/>
      <c r="AA491" s="50" t="str">
        <f t="shared" si="188"/>
        <v/>
      </c>
      <c r="AB491" s="129" t="str">
        <f t="shared" si="189"/>
        <v/>
      </c>
      <c r="AC491" s="58" t="str">
        <f t="shared" si="178"/>
        <v/>
      </c>
      <c r="AD491" s="58" t="str">
        <f t="shared" si="179"/>
        <v/>
      </c>
      <c r="AE491" s="60" t="str">
        <f>IF(AD491="","",COUNTIF($AD$2:AD491,AD491))</f>
        <v/>
      </c>
      <c r="AF491" s="62" t="str">
        <f>IF(AD491="","",SUMIF(AD$2:AD491,AD491,G$2:G491))</f>
        <v/>
      </c>
      <c r="AG491" s="62" t="str">
        <f>IF(AK491&lt;&gt;"",COUNTIF($AK$1:AK490,AK491)+AK491,IF(AL491&lt;&gt;"",COUNTIF($AL$1:AL490,AL491)+AL491,""))</f>
        <v/>
      </c>
      <c r="AH491" s="62" t="str">
        <f t="shared" si="180"/>
        <v/>
      </c>
      <c r="AI491" s="62" t="str">
        <f>IF(AND(J491="M", AH491&lt;&gt;"U/A",AE491=Prizewinners!$J$1),AF491,"")</f>
        <v/>
      </c>
      <c r="AJ491" s="58" t="str">
        <f>IF(AND(J491="F",  AH491&lt;&gt;"U/A",AE491=Prizewinners!$J$16),AF491,"")</f>
        <v/>
      </c>
      <c r="AK491" s="58" t="str">
        <f t="shared" si="181"/>
        <v/>
      </c>
      <c r="AL491" s="58" t="str">
        <f t="shared" si="182"/>
        <v/>
      </c>
      <c r="AM491" s="58" t="str">
        <f t="shared" si="183"/>
        <v/>
      </c>
      <c r="AN491" s="58" t="str">
        <f t="shared" si="184"/>
        <v/>
      </c>
      <c r="AO491" s="58" t="str">
        <f t="shared" si="185"/>
        <v/>
      </c>
      <c r="AP491" s="58" t="str">
        <f t="shared" si="186"/>
        <v/>
      </c>
      <c r="AQ491" s="58" t="str">
        <f t="shared" si="187"/>
        <v/>
      </c>
    </row>
    <row r="492" spans="1:43" x14ac:dyDescent="0.25">
      <c r="A492" s="12" t="str">
        <f t="shared" si="173"/>
        <v>,192</v>
      </c>
      <c r="B492" s="12" t="str">
        <f t="shared" si="174"/>
        <v>,186</v>
      </c>
      <c r="C492" s="11">
        <f t="shared" si="195"/>
        <v>491</v>
      </c>
      <c r="D492" s="171"/>
      <c r="E492" s="12">
        <f t="shared" si="172"/>
        <v>0</v>
      </c>
      <c r="F492" s="12">
        <f>COUNTIF(H$2:H492,H492)</f>
        <v>192</v>
      </c>
      <c r="G492" s="12">
        <f>COUNTIF(J$2:J492,J492)</f>
        <v>186</v>
      </c>
      <c r="H492" s="12" t="str">
        <f t="shared" si="190"/>
        <v/>
      </c>
      <c r="I492" s="50" t="str">
        <f t="shared" si="191"/>
        <v/>
      </c>
      <c r="J492" s="50" t="str">
        <f t="shared" si="192"/>
        <v/>
      </c>
      <c r="K492" s="64" t="str">
        <f t="shared" si="193"/>
        <v/>
      </c>
      <c r="L492" s="64" t="str">
        <f t="shared" si="194"/>
        <v/>
      </c>
      <c r="M492" s="171"/>
      <c r="N492" s="178"/>
      <c r="O492" s="178"/>
      <c r="P492" s="138">
        <f t="shared" si="175"/>
        <v>0</v>
      </c>
      <c r="Q492" s="137">
        <f t="shared" si="176"/>
        <v>50</v>
      </c>
      <c r="R492" s="143"/>
      <c r="S492" s="143"/>
      <c r="T492" s="143"/>
      <c r="U492" s="144"/>
      <c r="V492" s="144"/>
      <c r="W492" s="144"/>
      <c r="X492" s="145"/>
      <c r="Y492" s="152" t="str">
        <f t="shared" si="177"/>
        <v xml:space="preserve">   50.00 </v>
      </c>
      <c r="Z492" s="136"/>
      <c r="AA492" s="50" t="str">
        <f t="shared" si="188"/>
        <v/>
      </c>
      <c r="AB492" s="129" t="str">
        <f t="shared" si="189"/>
        <v/>
      </c>
      <c r="AC492" s="58" t="str">
        <f t="shared" si="178"/>
        <v/>
      </c>
      <c r="AD492" s="58" t="str">
        <f t="shared" si="179"/>
        <v/>
      </c>
      <c r="AE492" s="60" t="str">
        <f>IF(AD492="","",COUNTIF($AD$2:AD492,AD492))</f>
        <v/>
      </c>
      <c r="AF492" s="62" t="str">
        <f>IF(AD492="","",SUMIF(AD$2:AD492,AD492,G$2:G492))</f>
        <v/>
      </c>
      <c r="AG492" s="62" t="str">
        <f>IF(AK492&lt;&gt;"",COUNTIF($AK$1:AK491,AK492)+AK492,IF(AL492&lt;&gt;"",COUNTIF($AL$1:AL491,AL492)+AL492,""))</f>
        <v/>
      </c>
      <c r="AH492" s="62" t="str">
        <f t="shared" si="180"/>
        <v/>
      </c>
      <c r="AI492" s="62" t="str">
        <f>IF(AND(J492="M", AH492&lt;&gt;"U/A",AE492=Prizewinners!$J$1),AF492,"")</f>
        <v/>
      </c>
      <c r="AJ492" s="58" t="str">
        <f>IF(AND(J492="F",  AH492&lt;&gt;"U/A",AE492=Prizewinners!$J$16),AF492,"")</f>
        <v/>
      </c>
      <c r="AK492" s="58" t="str">
        <f t="shared" si="181"/>
        <v/>
      </c>
      <c r="AL492" s="58" t="str">
        <f t="shared" si="182"/>
        <v/>
      </c>
      <c r="AM492" s="58" t="str">
        <f t="shared" si="183"/>
        <v/>
      </c>
      <c r="AN492" s="58" t="str">
        <f t="shared" si="184"/>
        <v/>
      </c>
      <c r="AO492" s="58" t="str">
        <f t="shared" si="185"/>
        <v/>
      </c>
      <c r="AP492" s="58" t="str">
        <f t="shared" si="186"/>
        <v/>
      </c>
      <c r="AQ492" s="58" t="str">
        <f t="shared" si="187"/>
        <v/>
      </c>
    </row>
    <row r="493" spans="1:43" x14ac:dyDescent="0.25">
      <c r="A493" s="12" t="str">
        <f t="shared" si="173"/>
        <v>,193</v>
      </c>
      <c r="B493" s="12" t="str">
        <f t="shared" si="174"/>
        <v>,187</v>
      </c>
      <c r="C493" s="11">
        <f t="shared" si="195"/>
        <v>492</v>
      </c>
      <c r="D493" s="171"/>
      <c r="E493" s="12">
        <f t="shared" si="172"/>
        <v>0</v>
      </c>
      <c r="F493" s="12">
        <f>COUNTIF(H$2:H493,H493)</f>
        <v>193</v>
      </c>
      <c r="G493" s="12">
        <f>COUNTIF(J$2:J493,J493)</f>
        <v>187</v>
      </c>
      <c r="H493" s="12" t="str">
        <f t="shared" si="190"/>
        <v/>
      </c>
      <c r="I493" s="50" t="str">
        <f t="shared" si="191"/>
        <v/>
      </c>
      <c r="J493" s="50" t="str">
        <f t="shared" si="192"/>
        <v/>
      </c>
      <c r="K493" s="64" t="str">
        <f t="shared" si="193"/>
        <v/>
      </c>
      <c r="L493" s="64" t="str">
        <f t="shared" si="194"/>
        <v/>
      </c>
      <c r="M493" s="171"/>
      <c r="N493" s="178"/>
      <c r="O493" s="178"/>
      <c r="P493" s="138">
        <f t="shared" si="175"/>
        <v>0</v>
      </c>
      <c r="Q493" s="137">
        <f t="shared" si="176"/>
        <v>50</v>
      </c>
      <c r="R493" s="143"/>
      <c r="S493" s="143"/>
      <c r="T493" s="143"/>
      <c r="U493" s="144"/>
      <c r="V493" s="144"/>
      <c r="W493" s="144"/>
      <c r="X493" s="145"/>
      <c r="Y493" s="152" t="str">
        <f t="shared" si="177"/>
        <v xml:space="preserve">   50.00 </v>
      </c>
      <c r="Z493" s="136"/>
      <c r="AA493" s="50" t="str">
        <f t="shared" si="188"/>
        <v/>
      </c>
      <c r="AB493" s="129" t="str">
        <f t="shared" si="189"/>
        <v/>
      </c>
      <c r="AC493" s="58" t="str">
        <f t="shared" si="178"/>
        <v/>
      </c>
      <c r="AD493" s="58" t="str">
        <f t="shared" si="179"/>
        <v/>
      </c>
      <c r="AE493" s="60" t="str">
        <f>IF(AD493="","",COUNTIF($AD$2:AD493,AD493))</f>
        <v/>
      </c>
      <c r="AF493" s="62" t="str">
        <f>IF(AD493="","",SUMIF(AD$2:AD493,AD493,G$2:G493))</f>
        <v/>
      </c>
      <c r="AG493" s="62" t="str">
        <f>IF(AK493&lt;&gt;"",COUNTIF($AK$1:AK492,AK493)+AK493,IF(AL493&lt;&gt;"",COUNTIF($AL$1:AL492,AL493)+AL493,""))</f>
        <v/>
      </c>
      <c r="AH493" s="62" t="str">
        <f t="shared" si="180"/>
        <v/>
      </c>
      <c r="AI493" s="62" t="str">
        <f>IF(AND(J493="M", AH493&lt;&gt;"U/A",AE493=Prizewinners!$J$1),AF493,"")</f>
        <v/>
      </c>
      <c r="AJ493" s="58" t="str">
        <f>IF(AND(J493="F",  AH493&lt;&gt;"U/A",AE493=Prizewinners!$J$16),AF493,"")</f>
        <v/>
      </c>
      <c r="AK493" s="58" t="str">
        <f t="shared" si="181"/>
        <v/>
      </c>
      <c r="AL493" s="58" t="str">
        <f t="shared" si="182"/>
        <v/>
      </c>
      <c r="AM493" s="58" t="str">
        <f t="shared" si="183"/>
        <v/>
      </c>
      <c r="AN493" s="58" t="str">
        <f t="shared" si="184"/>
        <v/>
      </c>
      <c r="AO493" s="58" t="str">
        <f t="shared" si="185"/>
        <v/>
      </c>
      <c r="AP493" s="58" t="str">
        <f t="shared" si="186"/>
        <v/>
      </c>
      <c r="AQ493" s="58" t="str">
        <f t="shared" si="187"/>
        <v/>
      </c>
    </row>
    <row r="494" spans="1:43" x14ac:dyDescent="0.25">
      <c r="A494" s="12" t="str">
        <f t="shared" si="173"/>
        <v>,194</v>
      </c>
      <c r="B494" s="12" t="str">
        <f t="shared" si="174"/>
        <v>,188</v>
      </c>
      <c r="C494" s="11">
        <f t="shared" si="195"/>
        <v>493</v>
      </c>
      <c r="D494" s="171"/>
      <c r="E494" s="12">
        <f t="shared" si="172"/>
        <v>0</v>
      </c>
      <c r="F494" s="12">
        <f>COUNTIF(H$2:H494,H494)</f>
        <v>194</v>
      </c>
      <c r="G494" s="12">
        <f>COUNTIF(J$2:J494,J494)</f>
        <v>188</v>
      </c>
      <c r="H494" s="12" t="str">
        <f t="shared" si="190"/>
        <v/>
      </c>
      <c r="I494" s="50" t="str">
        <f t="shared" si="191"/>
        <v/>
      </c>
      <c r="J494" s="50" t="str">
        <f t="shared" si="192"/>
        <v/>
      </c>
      <c r="K494" s="64" t="str">
        <f t="shared" si="193"/>
        <v/>
      </c>
      <c r="L494" s="64" t="str">
        <f t="shared" si="194"/>
        <v/>
      </c>
      <c r="M494" s="171"/>
      <c r="N494" s="178"/>
      <c r="O494" s="178"/>
      <c r="P494" s="138">
        <f t="shared" si="175"/>
        <v>0</v>
      </c>
      <c r="Q494" s="137">
        <f t="shared" si="176"/>
        <v>50</v>
      </c>
      <c r="R494" s="143"/>
      <c r="S494" s="143"/>
      <c r="T494" s="143"/>
      <c r="U494" s="144"/>
      <c r="V494" s="144"/>
      <c r="W494" s="144"/>
      <c r="X494" s="145"/>
      <c r="Y494" s="152" t="str">
        <f t="shared" si="177"/>
        <v xml:space="preserve">   50.00 </v>
      </c>
      <c r="Z494" s="136"/>
      <c r="AA494" s="50" t="str">
        <f t="shared" si="188"/>
        <v/>
      </c>
      <c r="AB494" s="129" t="str">
        <f t="shared" si="189"/>
        <v/>
      </c>
      <c r="AC494" s="58" t="str">
        <f t="shared" si="178"/>
        <v/>
      </c>
      <c r="AD494" s="58" t="str">
        <f t="shared" si="179"/>
        <v/>
      </c>
      <c r="AE494" s="60" t="str">
        <f>IF(AD494="","",COUNTIF($AD$2:AD494,AD494))</f>
        <v/>
      </c>
      <c r="AF494" s="62" t="str">
        <f>IF(AD494="","",SUMIF(AD$2:AD494,AD494,G$2:G494))</f>
        <v/>
      </c>
      <c r="AG494" s="62" t="str">
        <f>IF(AK494&lt;&gt;"",COUNTIF($AK$1:AK493,AK494)+AK494,IF(AL494&lt;&gt;"",COUNTIF($AL$1:AL493,AL494)+AL494,""))</f>
        <v/>
      </c>
      <c r="AH494" s="62" t="str">
        <f t="shared" si="180"/>
        <v/>
      </c>
      <c r="AI494" s="62" t="str">
        <f>IF(AND(J494="M", AH494&lt;&gt;"U/A",AE494=Prizewinners!$J$1),AF494,"")</f>
        <v/>
      </c>
      <c r="AJ494" s="58" t="str">
        <f>IF(AND(J494="F",  AH494&lt;&gt;"U/A",AE494=Prizewinners!$J$16),AF494,"")</f>
        <v/>
      </c>
      <c r="AK494" s="58" t="str">
        <f t="shared" si="181"/>
        <v/>
      </c>
      <c r="AL494" s="58" t="str">
        <f t="shared" si="182"/>
        <v/>
      </c>
      <c r="AM494" s="58" t="str">
        <f t="shared" si="183"/>
        <v/>
      </c>
      <c r="AN494" s="58" t="str">
        <f t="shared" si="184"/>
        <v/>
      </c>
      <c r="AO494" s="58" t="str">
        <f t="shared" si="185"/>
        <v/>
      </c>
      <c r="AP494" s="58" t="str">
        <f t="shared" si="186"/>
        <v/>
      </c>
      <c r="AQ494" s="58" t="str">
        <f t="shared" si="187"/>
        <v/>
      </c>
    </row>
    <row r="495" spans="1:43" x14ac:dyDescent="0.25">
      <c r="A495" s="12" t="str">
        <f t="shared" si="173"/>
        <v>,195</v>
      </c>
      <c r="B495" s="12" t="str">
        <f t="shared" si="174"/>
        <v>,189</v>
      </c>
      <c r="C495" s="11">
        <f t="shared" si="195"/>
        <v>494</v>
      </c>
      <c r="D495" s="171"/>
      <c r="E495" s="12">
        <f t="shared" si="172"/>
        <v>0</v>
      </c>
      <c r="F495" s="12">
        <f>COUNTIF(H$2:H495,H495)</f>
        <v>195</v>
      </c>
      <c r="G495" s="12">
        <f>COUNTIF(J$2:J495,J495)</f>
        <v>189</v>
      </c>
      <c r="H495" s="12" t="str">
        <f t="shared" si="190"/>
        <v/>
      </c>
      <c r="I495" s="50" t="str">
        <f t="shared" si="191"/>
        <v/>
      </c>
      <c r="J495" s="50" t="str">
        <f t="shared" si="192"/>
        <v/>
      </c>
      <c r="K495" s="64" t="str">
        <f t="shared" si="193"/>
        <v/>
      </c>
      <c r="L495" s="64" t="str">
        <f t="shared" si="194"/>
        <v/>
      </c>
      <c r="M495" s="171"/>
      <c r="N495" s="178"/>
      <c r="O495" s="178"/>
      <c r="P495" s="138">
        <f t="shared" si="175"/>
        <v>0</v>
      </c>
      <c r="Q495" s="137">
        <f t="shared" si="176"/>
        <v>50</v>
      </c>
      <c r="R495" s="143"/>
      <c r="S495" s="143"/>
      <c r="T495" s="143"/>
      <c r="U495" s="144"/>
      <c r="V495" s="144"/>
      <c r="W495" s="144"/>
      <c r="X495" s="145"/>
      <c r="Y495" s="152" t="str">
        <f t="shared" si="177"/>
        <v xml:space="preserve">   50.00 </v>
      </c>
      <c r="Z495" s="136"/>
      <c r="AA495" s="50" t="str">
        <f t="shared" si="188"/>
        <v/>
      </c>
      <c r="AB495" s="129" t="str">
        <f t="shared" si="189"/>
        <v/>
      </c>
      <c r="AC495" s="58" t="str">
        <f t="shared" si="178"/>
        <v/>
      </c>
      <c r="AD495" s="58" t="str">
        <f t="shared" si="179"/>
        <v/>
      </c>
      <c r="AE495" s="60" t="str">
        <f>IF(AD495="","",COUNTIF($AD$2:AD495,AD495))</f>
        <v/>
      </c>
      <c r="AF495" s="62" t="str">
        <f>IF(AD495="","",SUMIF(AD$2:AD495,AD495,G$2:G495))</f>
        <v/>
      </c>
      <c r="AG495" s="62" t="str">
        <f>IF(AK495&lt;&gt;"",COUNTIF($AK$1:AK494,AK495)+AK495,IF(AL495&lt;&gt;"",COUNTIF($AL$1:AL494,AL495)+AL495,""))</f>
        <v/>
      </c>
      <c r="AH495" s="62" t="str">
        <f t="shared" si="180"/>
        <v/>
      </c>
      <c r="AI495" s="62" t="str">
        <f>IF(AND(J495="M", AH495&lt;&gt;"U/A",AE495=Prizewinners!$J$1),AF495,"")</f>
        <v/>
      </c>
      <c r="AJ495" s="58" t="str">
        <f>IF(AND(J495="F",  AH495&lt;&gt;"U/A",AE495=Prizewinners!$J$16),AF495,"")</f>
        <v/>
      </c>
      <c r="AK495" s="58" t="str">
        <f t="shared" si="181"/>
        <v/>
      </c>
      <c r="AL495" s="58" t="str">
        <f t="shared" si="182"/>
        <v/>
      </c>
      <c r="AM495" s="58" t="str">
        <f t="shared" si="183"/>
        <v/>
      </c>
      <c r="AN495" s="58" t="str">
        <f t="shared" si="184"/>
        <v/>
      </c>
      <c r="AO495" s="58" t="str">
        <f t="shared" si="185"/>
        <v/>
      </c>
      <c r="AP495" s="58" t="str">
        <f t="shared" si="186"/>
        <v/>
      </c>
      <c r="AQ495" s="58" t="str">
        <f t="shared" si="187"/>
        <v/>
      </c>
    </row>
    <row r="496" spans="1:43" x14ac:dyDescent="0.25">
      <c r="A496" s="12" t="str">
        <f t="shared" si="173"/>
        <v>,196</v>
      </c>
      <c r="B496" s="12" t="str">
        <f t="shared" si="174"/>
        <v>,190</v>
      </c>
      <c r="C496" s="11">
        <f t="shared" si="195"/>
        <v>495</v>
      </c>
      <c r="D496" s="171"/>
      <c r="E496" s="12">
        <f t="shared" si="172"/>
        <v>0</v>
      </c>
      <c r="F496" s="12">
        <f>COUNTIF(H$2:H496,H496)</f>
        <v>196</v>
      </c>
      <c r="G496" s="12">
        <f>COUNTIF(J$2:J496,J496)</f>
        <v>190</v>
      </c>
      <c r="H496" s="12" t="str">
        <f t="shared" si="190"/>
        <v/>
      </c>
      <c r="I496" s="50" t="str">
        <f t="shared" si="191"/>
        <v/>
      </c>
      <c r="J496" s="50" t="str">
        <f t="shared" si="192"/>
        <v/>
      </c>
      <c r="K496" s="64" t="str">
        <f t="shared" si="193"/>
        <v/>
      </c>
      <c r="L496" s="64" t="str">
        <f t="shared" si="194"/>
        <v/>
      </c>
      <c r="M496" s="171"/>
      <c r="N496" s="178"/>
      <c r="O496" s="178"/>
      <c r="P496" s="138">
        <f t="shared" si="175"/>
        <v>0</v>
      </c>
      <c r="Q496" s="137">
        <f t="shared" si="176"/>
        <v>50</v>
      </c>
      <c r="R496" s="143"/>
      <c r="S496" s="143"/>
      <c r="T496" s="143"/>
      <c r="U496" s="144"/>
      <c r="V496" s="144"/>
      <c r="W496" s="144"/>
      <c r="X496" s="145"/>
      <c r="Y496" s="152" t="str">
        <f t="shared" si="177"/>
        <v xml:space="preserve">   50.00 </v>
      </c>
      <c r="Z496" s="136"/>
      <c r="AA496" s="50" t="str">
        <f t="shared" si="188"/>
        <v/>
      </c>
      <c r="AB496" s="129" t="str">
        <f t="shared" si="189"/>
        <v/>
      </c>
      <c r="AC496" s="58" t="str">
        <f t="shared" si="178"/>
        <v/>
      </c>
      <c r="AD496" s="58" t="str">
        <f t="shared" si="179"/>
        <v/>
      </c>
      <c r="AE496" s="60" t="str">
        <f>IF(AD496="","",COUNTIF($AD$2:AD496,AD496))</f>
        <v/>
      </c>
      <c r="AF496" s="62" t="str">
        <f>IF(AD496="","",SUMIF(AD$2:AD496,AD496,G$2:G496))</f>
        <v/>
      </c>
      <c r="AG496" s="62" t="str">
        <f>IF(AK496&lt;&gt;"",COUNTIF($AK$1:AK495,AK496)+AK496,IF(AL496&lt;&gt;"",COUNTIF($AL$1:AL495,AL496)+AL496,""))</f>
        <v/>
      </c>
      <c r="AH496" s="62" t="str">
        <f t="shared" si="180"/>
        <v/>
      </c>
      <c r="AI496" s="62" t="str">
        <f>IF(AND(J496="M", AH496&lt;&gt;"U/A",AE496=Prizewinners!$J$1),AF496,"")</f>
        <v/>
      </c>
      <c r="AJ496" s="58" t="str">
        <f>IF(AND(J496="F",  AH496&lt;&gt;"U/A",AE496=Prizewinners!$J$16),AF496,"")</f>
        <v/>
      </c>
      <c r="AK496" s="58" t="str">
        <f t="shared" si="181"/>
        <v/>
      </c>
      <c r="AL496" s="58" t="str">
        <f t="shared" si="182"/>
        <v/>
      </c>
      <c r="AM496" s="58" t="str">
        <f t="shared" si="183"/>
        <v/>
      </c>
      <c r="AN496" s="58" t="str">
        <f t="shared" si="184"/>
        <v/>
      </c>
      <c r="AO496" s="58" t="str">
        <f t="shared" si="185"/>
        <v/>
      </c>
      <c r="AP496" s="58" t="str">
        <f t="shared" si="186"/>
        <v/>
      </c>
      <c r="AQ496" s="58" t="str">
        <f t="shared" si="187"/>
        <v/>
      </c>
    </row>
    <row r="497" spans="1:43" x14ac:dyDescent="0.25">
      <c r="A497" s="12" t="str">
        <f t="shared" si="173"/>
        <v>,197</v>
      </c>
      <c r="B497" s="12" t="str">
        <f t="shared" si="174"/>
        <v>,191</v>
      </c>
      <c r="C497" s="11">
        <f t="shared" si="195"/>
        <v>496</v>
      </c>
      <c r="D497" s="171"/>
      <c r="E497" s="12">
        <f t="shared" si="172"/>
        <v>0</v>
      </c>
      <c r="F497" s="12">
        <f>COUNTIF(H$2:H497,H497)</f>
        <v>197</v>
      </c>
      <c r="G497" s="12">
        <f>COUNTIF(J$2:J497,J497)</f>
        <v>191</v>
      </c>
      <c r="H497" s="12" t="str">
        <f t="shared" si="190"/>
        <v/>
      </c>
      <c r="I497" s="50" t="str">
        <f t="shared" si="191"/>
        <v/>
      </c>
      <c r="J497" s="50" t="str">
        <f t="shared" si="192"/>
        <v/>
      </c>
      <c r="K497" s="64" t="str">
        <f t="shared" si="193"/>
        <v/>
      </c>
      <c r="L497" s="64" t="str">
        <f t="shared" si="194"/>
        <v/>
      </c>
      <c r="M497" s="171"/>
      <c r="N497" s="178"/>
      <c r="O497" s="178"/>
      <c r="P497" s="138">
        <f t="shared" si="175"/>
        <v>0</v>
      </c>
      <c r="Q497" s="137">
        <f t="shared" si="176"/>
        <v>50</v>
      </c>
      <c r="R497" s="143"/>
      <c r="S497" s="143"/>
      <c r="T497" s="143"/>
      <c r="U497" s="144"/>
      <c r="V497" s="144"/>
      <c r="W497" s="144"/>
      <c r="X497" s="145"/>
      <c r="Y497" s="152" t="str">
        <f t="shared" si="177"/>
        <v xml:space="preserve">   50.00 </v>
      </c>
      <c r="Z497" s="136"/>
      <c r="AA497" s="50" t="str">
        <f t="shared" si="188"/>
        <v/>
      </c>
      <c r="AB497" s="129" t="str">
        <f t="shared" si="189"/>
        <v/>
      </c>
      <c r="AC497" s="58" t="str">
        <f t="shared" si="178"/>
        <v/>
      </c>
      <c r="AD497" s="58" t="str">
        <f t="shared" si="179"/>
        <v/>
      </c>
      <c r="AE497" s="60" t="str">
        <f>IF(AD497="","",COUNTIF($AD$2:AD497,AD497))</f>
        <v/>
      </c>
      <c r="AF497" s="62" t="str">
        <f>IF(AD497="","",SUMIF(AD$2:AD497,AD497,G$2:G497))</f>
        <v/>
      </c>
      <c r="AG497" s="62" t="str">
        <f>IF(AK497&lt;&gt;"",COUNTIF($AK$1:AK496,AK497)+AK497,IF(AL497&lt;&gt;"",COUNTIF($AL$1:AL496,AL497)+AL497,""))</f>
        <v/>
      </c>
      <c r="AH497" s="62" t="str">
        <f t="shared" si="180"/>
        <v/>
      </c>
      <c r="AI497" s="62" t="str">
        <f>IF(AND(J497="M", AH497&lt;&gt;"U/A",AE497=Prizewinners!$J$1),AF497,"")</f>
        <v/>
      </c>
      <c r="AJ497" s="58" t="str">
        <f>IF(AND(J497="F",  AH497&lt;&gt;"U/A",AE497=Prizewinners!$J$16),AF497,"")</f>
        <v/>
      </c>
      <c r="AK497" s="58" t="str">
        <f t="shared" si="181"/>
        <v/>
      </c>
      <c r="AL497" s="58" t="str">
        <f t="shared" si="182"/>
        <v/>
      </c>
      <c r="AM497" s="58" t="str">
        <f t="shared" si="183"/>
        <v/>
      </c>
      <c r="AN497" s="58" t="str">
        <f t="shared" si="184"/>
        <v/>
      </c>
      <c r="AO497" s="58" t="str">
        <f t="shared" si="185"/>
        <v/>
      </c>
      <c r="AP497" s="58" t="str">
        <f t="shared" si="186"/>
        <v/>
      </c>
      <c r="AQ497" s="58" t="str">
        <f t="shared" si="187"/>
        <v/>
      </c>
    </row>
    <row r="498" spans="1:43" x14ac:dyDescent="0.25">
      <c r="A498" s="12" t="str">
        <f t="shared" si="173"/>
        <v>,198</v>
      </c>
      <c r="B498" s="12" t="str">
        <f t="shared" si="174"/>
        <v>,192</v>
      </c>
      <c r="C498" s="11">
        <f t="shared" si="195"/>
        <v>497</v>
      </c>
      <c r="D498" s="171"/>
      <c r="E498" s="12">
        <f t="shared" si="172"/>
        <v>0</v>
      </c>
      <c r="F498" s="12">
        <f>COUNTIF(H$2:H498,H498)</f>
        <v>198</v>
      </c>
      <c r="G498" s="12">
        <f>COUNTIF(J$2:J498,J498)</f>
        <v>192</v>
      </c>
      <c r="H498" s="12" t="str">
        <f t="shared" si="190"/>
        <v/>
      </c>
      <c r="I498" s="50" t="str">
        <f t="shared" si="191"/>
        <v/>
      </c>
      <c r="J498" s="50" t="str">
        <f t="shared" si="192"/>
        <v/>
      </c>
      <c r="K498" s="64" t="str">
        <f t="shared" si="193"/>
        <v/>
      </c>
      <c r="L498" s="64" t="str">
        <f t="shared" si="194"/>
        <v/>
      </c>
      <c r="M498" s="171"/>
      <c r="N498" s="178"/>
      <c r="O498" s="178"/>
      <c r="P498" s="138">
        <f t="shared" si="175"/>
        <v>0</v>
      </c>
      <c r="Q498" s="137">
        <f t="shared" si="176"/>
        <v>50</v>
      </c>
      <c r="R498" s="143"/>
      <c r="S498" s="143"/>
      <c r="T498" s="143"/>
      <c r="U498" s="144"/>
      <c r="V498" s="144"/>
      <c r="W498" s="144"/>
      <c r="X498" s="145"/>
      <c r="Y498" s="152" t="str">
        <f t="shared" si="177"/>
        <v xml:space="preserve">   50.00 </v>
      </c>
      <c r="Z498" s="136"/>
      <c r="AA498" s="50" t="str">
        <f t="shared" si="188"/>
        <v/>
      </c>
      <c r="AB498" s="129" t="str">
        <f t="shared" si="189"/>
        <v/>
      </c>
      <c r="AC498" s="58" t="str">
        <f t="shared" si="178"/>
        <v/>
      </c>
      <c r="AD498" s="58" t="str">
        <f t="shared" si="179"/>
        <v/>
      </c>
      <c r="AE498" s="60" t="str">
        <f>IF(AD498="","",COUNTIF($AD$2:AD498,AD498))</f>
        <v/>
      </c>
      <c r="AF498" s="62" t="str">
        <f>IF(AD498="","",SUMIF(AD$2:AD498,AD498,G$2:G498))</f>
        <v/>
      </c>
      <c r="AG498" s="62" t="str">
        <f>IF(AK498&lt;&gt;"",COUNTIF($AK$1:AK497,AK498)+AK498,IF(AL498&lt;&gt;"",COUNTIF($AL$1:AL497,AL498)+AL498,""))</f>
        <v/>
      </c>
      <c r="AH498" s="62" t="str">
        <f t="shared" si="180"/>
        <v/>
      </c>
      <c r="AI498" s="62" t="str">
        <f>IF(AND(J498="M", AH498&lt;&gt;"U/A",AE498=Prizewinners!$J$1),AF498,"")</f>
        <v/>
      </c>
      <c r="AJ498" s="58" t="str">
        <f>IF(AND(J498="F",  AH498&lt;&gt;"U/A",AE498=Prizewinners!$J$16),AF498,"")</f>
        <v/>
      </c>
      <c r="AK498" s="58" t="str">
        <f t="shared" si="181"/>
        <v/>
      </c>
      <c r="AL498" s="58" t="str">
        <f t="shared" si="182"/>
        <v/>
      </c>
      <c r="AM498" s="58" t="str">
        <f t="shared" si="183"/>
        <v/>
      </c>
      <c r="AN498" s="58" t="str">
        <f t="shared" si="184"/>
        <v/>
      </c>
      <c r="AO498" s="58" t="str">
        <f t="shared" si="185"/>
        <v/>
      </c>
      <c r="AP498" s="58" t="str">
        <f t="shared" si="186"/>
        <v/>
      </c>
      <c r="AQ498" s="58" t="str">
        <f t="shared" si="187"/>
        <v/>
      </c>
    </row>
    <row r="499" spans="1:43" x14ac:dyDescent="0.25">
      <c r="A499" s="12" t="str">
        <f t="shared" si="173"/>
        <v>,199</v>
      </c>
      <c r="B499" s="12" t="str">
        <f t="shared" si="174"/>
        <v>,193</v>
      </c>
      <c r="C499" s="11">
        <f t="shared" si="195"/>
        <v>498</v>
      </c>
      <c r="D499" s="171"/>
      <c r="E499" s="12">
        <f t="shared" si="172"/>
        <v>0</v>
      </c>
      <c r="F499" s="12">
        <f>COUNTIF(H$2:H499,H499)</f>
        <v>199</v>
      </c>
      <c r="G499" s="12">
        <f>COUNTIF(J$2:J499,J499)</f>
        <v>193</v>
      </c>
      <c r="H499" s="12" t="str">
        <f t="shared" si="190"/>
        <v/>
      </c>
      <c r="I499" s="50" t="str">
        <f t="shared" si="191"/>
        <v/>
      </c>
      <c r="J499" s="50" t="str">
        <f t="shared" si="192"/>
        <v/>
      </c>
      <c r="K499" s="64" t="str">
        <f t="shared" si="193"/>
        <v/>
      </c>
      <c r="L499" s="64" t="str">
        <f t="shared" si="194"/>
        <v/>
      </c>
      <c r="M499" s="171"/>
      <c r="N499" s="178"/>
      <c r="O499" s="178"/>
      <c r="P499" s="138">
        <f t="shared" si="175"/>
        <v>0</v>
      </c>
      <c r="Q499" s="137">
        <f t="shared" si="176"/>
        <v>50</v>
      </c>
      <c r="R499" s="143"/>
      <c r="S499" s="143"/>
      <c r="T499" s="143"/>
      <c r="U499" s="144"/>
      <c r="V499" s="144"/>
      <c r="W499" s="144"/>
      <c r="X499" s="145"/>
      <c r="Y499" s="152" t="str">
        <f t="shared" si="177"/>
        <v xml:space="preserve">   50.00 </v>
      </c>
      <c r="Z499" s="136"/>
      <c r="AA499" s="50" t="str">
        <f t="shared" si="188"/>
        <v/>
      </c>
      <c r="AB499" s="129" t="str">
        <f t="shared" si="189"/>
        <v/>
      </c>
      <c r="AC499" s="58" t="str">
        <f t="shared" si="178"/>
        <v/>
      </c>
      <c r="AD499" s="58" t="str">
        <f t="shared" si="179"/>
        <v/>
      </c>
      <c r="AE499" s="60" t="str">
        <f>IF(AD499="","",COUNTIF($AD$2:AD499,AD499))</f>
        <v/>
      </c>
      <c r="AF499" s="62" t="str">
        <f>IF(AD499="","",SUMIF(AD$2:AD499,AD499,G$2:G499))</f>
        <v/>
      </c>
      <c r="AG499" s="62" t="str">
        <f>IF(AK499&lt;&gt;"",COUNTIF($AK$1:AK498,AK499)+AK499,IF(AL499&lt;&gt;"",COUNTIF($AL$1:AL498,AL499)+AL499,""))</f>
        <v/>
      </c>
      <c r="AH499" s="62" t="str">
        <f t="shared" si="180"/>
        <v/>
      </c>
      <c r="AI499" s="62" t="str">
        <f>IF(AND(J499="M", AH499&lt;&gt;"U/A",AE499=Prizewinners!$J$1),AF499,"")</f>
        <v/>
      </c>
      <c r="AJ499" s="58" t="str">
        <f>IF(AND(J499="F",  AH499&lt;&gt;"U/A",AE499=Prizewinners!$J$16),AF499,"")</f>
        <v/>
      </c>
      <c r="AK499" s="58" t="str">
        <f t="shared" si="181"/>
        <v/>
      </c>
      <c r="AL499" s="58" t="str">
        <f t="shared" si="182"/>
        <v/>
      </c>
      <c r="AM499" s="58" t="str">
        <f t="shared" si="183"/>
        <v/>
      </c>
      <c r="AN499" s="58" t="str">
        <f t="shared" si="184"/>
        <v/>
      </c>
      <c r="AO499" s="58" t="str">
        <f t="shared" si="185"/>
        <v/>
      </c>
      <c r="AP499" s="58" t="str">
        <f t="shared" si="186"/>
        <v/>
      </c>
      <c r="AQ499" s="58" t="str">
        <f t="shared" si="187"/>
        <v/>
      </c>
    </row>
    <row r="500" spans="1:43" x14ac:dyDescent="0.25">
      <c r="A500" s="12" t="str">
        <f t="shared" si="173"/>
        <v>,200</v>
      </c>
      <c r="B500" s="12" t="str">
        <f t="shared" si="174"/>
        <v>,194</v>
      </c>
      <c r="C500" s="11">
        <f t="shared" si="195"/>
        <v>499</v>
      </c>
      <c r="D500" s="171"/>
      <c r="E500" s="12">
        <f t="shared" si="172"/>
        <v>0</v>
      </c>
      <c r="F500" s="12">
        <f>COUNTIF(H$2:H500,H500)</f>
        <v>200</v>
      </c>
      <c r="G500" s="12">
        <f>COUNTIF(J$2:J500,J500)</f>
        <v>194</v>
      </c>
      <c r="H500" s="12" t="str">
        <f t="shared" si="190"/>
        <v/>
      </c>
      <c r="I500" s="50" t="str">
        <f t="shared" si="191"/>
        <v/>
      </c>
      <c r="J500" s="50" t="str">
        <f t="shared" si="192"/>
        <v/>
      </c>
      <c r="K500" s="64" t="str">
        <f t="shared" si="193"/>
        <v/>
      </c>
      <c r="L500" s="64" t="str">
        <f t="shared" si="194"/>
        <v/>
      </c>
      <c r="M500" s="171"/>
      <c r="N500" s="178"/>
      <c r="O500" s="178"/>
      <c r="P500" s="138">
        <f t="shared" si="175"/>
        <v>0</v>
      </c>
      <c r="Q500" s="137">
        <f t="shared" si="176"/>
        <v>50</v>
      </c>
      <c r="R500" s="143"/>
      <c r="S500" s="143"/>
      <c r="T500" s="143"/>
      <c r="U500" s="144"/>
      <c r="V500" s="144"/>
      <c r="W500" s="144"/>
      <c r="X500" s="145"/>
      <c r="Y500" s="152" t="str">
        <f t="shared" si="177"/>
        <v xml:space="preserve">   50.00 </v>
      </c>
      <c r="Z500" s="136"/>
      <c r="AA500" s="50" t="str">
        <f t="shared" si="188"/>
        <v/>
      </c>
      <c r="AB500" s="129" t="str">
        <f t="shared" si="189"/>
        <v/>
      </c>
      <c r="AC500" s="58" t="str">
        <f t="shared" si="178"/>
        <v/>
      </c>
      <c r="AD500" s="58" t="str">
        <f t="shared" si="179"/>
        <v/>
      </c>
      <c r="AE500" s="60" t="str">
        <f>IF(AD500="","",COUNTIF($AD$2:AD500,AD500))</f>
        <v/>
      </c>
      <c r="AF500" s="62" t="str">
        <f>IF(AD500="","",SUMIF(AD$2:AD500,AD500,G$2:G500))</f>
        <v/>
      </c>
      <c r="AG500" s="62" t="str">
        <f>IF(AK500&lt;&gt;"",COUNTIF($AK$1:AK499,AK500)+AK500,IF(AL500&lt;&gt;"",COUNTIF($AL$1:AL499,AL500)+AL500,""))</f>
        <v/>
      </c>
      <c r="AH500" s="62" t="str">
        <f t="shared" si="180"/>
        <v/>
      </c>
      <c r="AI500" s="62" t="str">
        <f>IF(AND(J500="M", AH500&lt;&gt;"U/A",AE500=Prizewinners!$J$1),AF500,"")</f>
        <v/>
      </c>
      <c r="AJ500" s="58" t="str">
        <f>IF(AND(J500="F",  AH500&lt;&gt;"U/A",AE500=Prizewinners!$J$16),AF500,"")</f>
        <v/>
      </c>
      <c r="AK500" s="58" t="str">
        <f t="shared" si="181"/>
        <v/>
      </c>
      <c r="AL500" s="58" t="str">
        <f t="shared" si="182"/>
        <v/>
      </c>
      <c r="AM500" s="58" t="str">
        <f t="shared" si="183"/>
        <v/>
      </c>
      <c r="AN500" s="58" t="str">
        <f t="shared" si="184"/>
        <v/>
      </c>
      <c r="AO500" s="58" t="str">
        <f t="shared" si="185"/>
        <v/>
      </c>
      <c r="AP500" s="58" t="str">
        <f t="shared" si="186"/>
        <v/>
      </c>
      <c r="AQ500" s="58" t="str">
        <f t="shared" si="187"/>
        <v/>
      </c>
    </row>
    <row r="501" spans="1:43" x14ac:dyDescent="0.25">
      <c r="A501" s="12" t="str">
        <f t="shared" si="173"/>
        <v>,201</v>
      </c>
      <c r="B501" s="12" t="str">
        <f t="shared" si="174"/>
        <v>,195</v>
      </c>
      <c r="C501" s="11">
        <f t="shared" si="195"/>
        <v>500</v>
      </c>
      <c r="D501" s="171"/>
      <c r="E501" s="12">
        <f t="shared" si="172"/>
        <v>0</v>
      </c>
      <c r="F501" s="12">
        <f>COUNTIF(H$2:H501,H501)</f>
        <v>201</v>
      </c>
      <c r="G501" s="12">
        <f>COUNTIF(J$2:J501,J501)</f>
        <v>195</v>
      </c>
      <c r="H501" s="12" t="str">
        <f t="shared" si="190"/>
        <v/>
      </c>
      <c r="I501" s="50" t="str">
        <f t="shared" si="191"/>
        <v/>
      </c>
      <c r="J501" s="50" t="str">
        <f t="shared" si="192"/>
        <v/>
      </c>
      <c r="K501" s="64" t="str">
        <f t="shared" si="193"/>
        <v/>
      </c>
      <c r="L501" s="64" t="str">
        <f t="shared" si="194"/>
        <v/>
      </c>
      <c r="M501" s="171"/>
      <c r="N501" s="178"/>
      <c r="O501" s="178"/>
      <c r="P501" s="138">
        <f t="shared" si="175"/>
        <v>0</v>
      </c>
      <c r="Q501" s="137">
        <f t="shared" si="176"/>
        <v>50</v>
      </c>
      <c r="R501" s="143"/>
      <c r="S501" s="143"/>
      <c r="T501" s="143"/>
      <c r="U501" s="144"/>
      <c r="V501" s="144"/>
      <c r="W501" s="144"/>
      <c r="X501" s="145"/>
      <c r="Y501" s="152" t="str">
        <f t="shared" si="177"/>
        <v xml:space="preserve">   50.00 </v>
      </c>
      <c r="Z501" s="136"/>
      <c r="AA501" s="50" t="str">
        <f t="shared" si="188"/>
        <v/>
      </c>
      <c r="AB501" s="129" t="str">
        <f t="shared" si="189"/>
        <v/>
      </c>
      <c r="AC501" s="58" t="str">
        <f t="shared" si="178"/>
        <v/>
      </c>
      <c r="AD501" s="58" t="str">
        <f t="shared" si="179"/>
        <v/>
      </c>
      <c r="AE501" s="60" t="str">
        <f>IF(AD501="","",COUNTIF($AD$2:AD501,AD501))</f>
        <v/>
      </c>
      <c r="AF501" s="62" t="str">
        <f>IF(AD501="","",SUMIF(AD$2:AD501,AD501,G$2:G501))</f>
        <v/>
      </c>
      <c r="AG501" s="62" t="str">
        <f>IF(AK501&lt;&gt;"",COUNTIF($AK$1:AK500,AK501)+AK501,IF(AL501&lt;&gt;"",COUNTIF($AL$1:AL500,AL501)+AL501,""))</f>
        <v/>
      </c>
      <c r="AH501" s="62" t="str">
        <f t="shared" si="180"/>
        <v/>
      </c>
      <c r="AI501" s="62" t="str">
        <f>IF(AND(J501="M", AH501&lt;&gt;"U/A",AE501=Prizewinners!$J$1),AF501,"")</f>
        <v/>
      </c>
      <c r="AJ501" s="58" t="str">
        <f>IF(AND(J501="F",  AH501&lt;&gt;"U/A",AE501=Prizewinners!$J$16),AF501,"")</f>
        <v/>
      </c>
      <c r="AK501" s="58" t="str">
        <f t="shared" si="181"/>
        <v/>
      </c>
      <c r="AL501" s="58" t="str">
        <f t="shared" si="182"/>
        <v/>
      </c>
      <c r="AM501" s="58" t="str">
        <f t="shared" si="183"/>
        <v/>
      </c>
      <c r="AN501" s="58" t="str">
        <f t="shared" si="184"/>
        <v/>
      </c>
      <c r="AO501" s="58" t="str">
        <f t="shared" si="185"/>
        <v/>
      </c>
      <c r="AP501" s="58" t="str">
        <f t="shared" si="186"/>
        <v/>
      </c>
      <c r="AQ501" s="58" t="str">
        <f t="shared" si="187"/>
        <v/>
      </c>
    </row>
    <row r="502" spans="1:43" x14ac:dyDescent="0.25">
      <c r="A502" s="12" t="str">
        <f t="shared" si="173"/>
        <v>,202</v>
      </c>
      <c r="B502" s="12" t="str">
        <f t="shared" si="174"/>
        <v>,196</v>
      </c>
      <c r="C502" s="11">
        <f t="shared" si="195"/>
        <v>501</v>
      </c>
      <c r="D502" s="171"/>
      <c r="E502" s="12">
        <f t="shared" si="172"/>
        <v>0</v>
      </c>
      <c r="F502" s="12">
        <f>COUNTIF(H$2:H502,H502)</f>
        <v>202</v>
      </c>
      <c r="G502" s="12">
        <f>COUNTIF(J$2:J502,J502)</f>
        <v>196</v>
      </c>
      <c r="H502" s="12" t="str">
        <f t="shared" si="190"/>
        <v/>
      </c>
      <c r="I502" s="50" t="str">
        <f t="shared" si="191"/>
        <v/>
      </c>
      <c r="J502" s="50" t="str">
        <f t="shared" si="192"/>
        <v/>
      </c>
      <c r="K502" s="64" t="str">
        <f t="shared" si="193"/>
        <v/>
      </c>
      <c r="L502" s="64" t="str">
        <f t="shared" si="194"/>
        <v/>
      </c>
      <c r="M502" s="171"/>
      <c r="N502" s="178"/>
      <c r="O502" s="178"/>
      <c r="P502" s="138">
        <f t="shared" si="175"/>
        <v>0</v>
      </c>
      <c r="Q502" s="137">
        <f t="shared" si="176"/>
        <v>50</v>
      </c>
      <c r="R502" s="143"/>
      <c r="S502" s="143"/>
      <c r="T502" s="143"/>
      <c r="U502" s="144"/>
      <c r="V502" s="144"/>
      <c r="W502" s="144"/>
      <c r="X502" s="145"/>
      <c r="Y502" s="152" t="str">
        <f t="shared" si="177"/>
        <v xml:space="preserve">   50.00 </v>
      </c>
      <c r="Z502" s="136"/>
      <c r="AA502" s="50" t="str">
        <f t="shared" si="188"/>
        <v/>
      </c>
      <c r="AB502" s="129" t="str">
        <f t="shared" si="189"/>
        <v/>
      </c>
      <c r="AC502" s="58" t="str">
        <f t="shared" si="178"/>
        <v/>
      </c>
      <c r="AD502" s="58" t="str">
        <f t="shared" si="179"/>
        <v/>
      </c>
      <c r="AE502" s="60" t="str">
        <f>IF(AD502="","",COUNTIF($AD$2:AD502,AD502))</f>
        <v/>
      </c>
      <c r="AF502" s="62" t="str">
        <f>IF(AD502="","",SUMIF(AD$2:AD502,AD502,G$2:G502))</f>
        <v/>
      </c>
      <c r="AG502" s="62" t="str">
        <f>IF(AK502&lt;&gt;"",COUNTIF($AK$1:AK501,AK502)+AK502,IF(AL502&lt;&gt;"",COUNTIF($AL$1:AL501,AL502)+AL502,""))</f>
        <v/>
      </c>
      <c r="AH502" s="62" t="str">
        <f t="shared" si="180"/>
        <v/>
      </c>
      <c r="AI502" s="62" t="str">
        <f>IF(AND(J502="M", AH502&lt;&gt;"U/A",AE502=Prizewinners!$J$1),AF502,"")</f>
        <v/>
      </c>
      <c r="AJ502" s="58" t="str">
        <f>IF(AND(J502="F",  AH502&lt;&gt;"U/A",AE502=Prizewinners!$J$16),AF502,"")</f>
        <v/>
      </c>
      <c r="AK502" s="58" t="str">
        <f t="shared" si="181"/>
        <v/>
      </c>
      <c r="AL502" s="58" t="str">
        <f t="shared" si="182"/>
        <v/>
      </c>
      <c r="AM502" s="58" t="str">
        <f t="shared" si="183"/>
        <v/>
      </c>
      <c r="AN502" s="58" t="str">
        <f t="shared" si="184"/>
        <v/>
      </c>
      <c r="AO502" s="58" t="str">
        <f t="shared" si="185"/>
        <v/>
      </c>
      <c r="AP502" s="58" t="str">
        <f t="shared" si="186"/>
        <v/>
      </c>
      <c r="AQ502" s="58" t="str">
        <f t="shared" si="187"/>
        <v/>
      </c>
    </row>
    <row r="503" spans="1:43" x14ac:dyDescent="0.25">
      <c r="A503" s="12" t="str">
        <f t="shared" si="173"/>
        <v>,203</v>
      </c>
      <c r="B503" s="12" t="str">
        <f t="shared" si="174"/>
        <v>,197</v>
      </c>
      <c r="C503" s="11">
        <f t="shared" si="195"/>
        <v>502</v>
      </c>
      <c r="D503" s="171"/>
      <c r="E503" s="12">
        <f t="shared" si="172"/>
        <v>0</v>
      </c>
      <c r="F503" s="12">
        <f>COUNTIF(H$2:H503,H503)</f>
        <v>203</v>
      </c>
      <c r="G503" s="12">
        <f>COUNTIF(J$2:J503,J503)</f>
        <v>197</v>
      </c>
      <c r="H503" s="12" t="str">
        <f t="shared" si="190"/>
        <v/>
      </c>
      <c r="I503" s="50" t="str">
        <f t="shared" si="191"/>
        <v/>
      </c>
      <c r="J503" s="50" t="str">
        <f t="shared" si="192"/>
        <v/>
      </c>
      <c r="K503" s="64" t="str">
        <f t="shared" si="193"/>
        <v/>
      </c>
      <c r="L503" s="64" t="str">
        <f t="shared" si="194"/>
        <v/>
      </c>
      <c r="M503" s="171"/>
      <c r="N503" s="178"/>
      <c r="O503" s="178"/>
      <c r="P503" s="1">
        <f>IF(M503="",P502,M503)</f>
        <v>0</v>
      </c>
      <c r="Q503" s="139">
        <f>IF(N503="",Q502,N503)</f>
        <v>50</v>
      </c>
      <c r="R503" s="146"/>
      <c r="S503" s="146"/>
      <c r="T503" s="146"/>
      <c r="U503" s="147"/>
      <c r="V503" s="147"/>
      <c r="W503" s="147"/>
      <c r="X503" s="148"/>
      <c r="Y503" s="152" t="str">
        <f>CONCATENATE(IF(P503=0,"  ",TEXT(P503,"#0")),IF(P503=0," ","."),IF(LEN(TRIM(Q503))=0,"  ",TEXT(Q503,"00")),IF(LEN(TRIM(Q503))=0,"","."),TEXT(O503,"00")," ")</f>
        <v xml:space="preserve">   50.00 </v>
      </c>
      <c r="Z503" s="54"/>
      <c r="AA503" s="50" t="str">
        <f>IF(ISNA(VLOOKUP($D503,Runner,6,FALSE)),"",VLOOKUP($D503,Runner,6,FALSE))</f>
        <v/>
      </c>
      <c r="AB503" s="129" t="str">
        <f>IF(ISNA(VLOOKUP($D503,Runner,8,FALSE)),"",IF(VLOOKUP($D503,Runner,8,FALSE)=0,"",VLOOKUP($D503,Runner,8,FALSE)))</f>
        <v/>
      </c>
      <c r="AC503" s="58" t="str">
        <f>IF(AG503&lt;&gt;"",CONCATENATE(J503,AG503),"")</f>
        <v/>
      </c>
      <c r="AD503" s="58" t="str">
        <f>CONCATENATE(J503,L503)</f>
        <v/>
      </c>
      <c r="AE503" s="60" t="str">
        <f>IF(AD503="","",COUNTIF($AD$2:AD503,AD503))</f>
        <v/>
      </c>
      <c r="AF503" s="62" t="str">
        <f>IF(AD503="","",SUMIF(AD$2:AD503,AD503,G$2:G503))</f>
        <v/>
      </c>
      <c r="AG503" s="62" t="str">
        <f>IF(AK503&lt;&gt;"",COUNTIF($AK$1:AK502,AK503)+AK503,IF(AL503&lt;&gt;"",COUNTIF($AL$1:AL502,AL503)+AL503,""))</f>
        <v/>
      </c>
      <c r="AH503" s="62" t="str">
        <f>L503</f>
        <v/>
      </c>
      <c r="AI503" s="62" t="str">
        <f>IF(AND(J503="M", AH503&lt;&gt;"U/A",AE503=Prizewinners!$J$1),AF503,"")</f>
        <v/>
      </c>
      <c r="AJ503" s="58" t="str">
        <f>IF(AND(J503="F",  AH503&lt;&gt;"U/A",AE503=Prizewinners!$J$16),AF503,"")</f>
        <v/>
      </c>
      <c r="AK503" s="58" t="str">
        <f>IF(AI503&lt;&gt;"",RANK(AI503,AI$2:AI$504,1),"")</f>
        <v/>
      </c>
      <c r="AL503" s="58" t="str">
        <f>IF(AJ503&lt;&gt;"",RANK(AJ503,AJ$2:AJ$504,1),"")</f>
        <v/>
      </c>
      <c r="AM503" s="58" t="str">
        <f>CONCATENATE(AD503,AE503)</f>
        <v/>
      </c>
      <c r="AN503" s="58" t="str">
        <f>IF(AG503&lt;&gt;"",VLOOKUP(CONCATENATE(AD503,"1"),Scoring_Team,5,FALSE),"")</f>
        <v/>
      </c>
      <c r="AO503" s="58" t="str">
        <f>IF(AG503&lt;&gt;"",VLOOKUP(CONCATENATE(AD503,"2"),Scoring_Team,5,FALSE),"")</f>
        <v/>
      </c>
      <c r="AP503" s="58" t="str">
        <f>IF(AG503&lt;&gt;"",VLOOKUP(CONCATENATE(AD503,"3"),Scoring_Team,5,FALSE),"")</f>
        <v/>
      </c>
      <c r="AQ503" s="58" t="str">
        <f>K503</f>
        <v/>
      </c>
    </row>
    <row r="504" spans="1:43" x14ac:dyDescent="0.25">
      <c r="A504" s="12" t="str">
        <f t="shared" si="173"/>
        <v>,204</v>
      </c>
      <c r="B504" s="12" t="str">
        <f t="shared" si="174"/>
        <v>,198</v>
      </c>
      <c r="C504" s="11">
        <f t="shared" si="195"/>
        <v>503</v>
      </c>
      <c r="D504" s="171"/>
      <c r="E504" s="12">
        <f t="shared" si="172"/>
        <v>0</v>
      </c>
      <c r="F504" s="12">
        <f>COUNTIF(H$2:H504,H504)</f>
        <v>204</v>
      </c>
      <c r="G504" s="12">
        <f>COUNTIF(J$2:J504,J504)</f>
        <v>198</v>
      </c>
      <c r="H504" s="12" t="str">
        <f t="shared" si="190"/>
        <v/>
      </c>
      <c r="I504" s="52" t="str">
        <f t="shared" si="191"/>
        <v/>
      </c>
      <c r="J504" s="52" t="str">
        <f t="shared" si="192"/>
        <v/>
      </c>
      <c r="K504" s="65" t="str">
        <f t="shared" si="193"/>
        <v/>
      </c>
      <c r="L504" s="65" t="str">
        <f t="shared" si="194"/>
        <v/>
      </c>
      <c r="M504" s="171"/>
      <c r="N504" s="178"/>
      <c r="O504" s="178"/>
      <c r="P504" s="140">
        <f>IF(M504="",P503,M504)</f>
        <v>0</v>
      </c>
      <c r="Q504" s="139">
        <f>IF(N504="",Q503,N504)</f>
        <v>50</v>
      </c>
      <c r="R504" s="146"/>
      <c r="S504" s="146"/>
      <c r="T504" s="146"/>
      <c r="U504" s="147"/>
      <c r="V504" s="147"/>
      <c r="W504" s="147"/>
      <c r="X504" s="148"/>
      <c r="Y504" s="152" t="str">
        <f>CONCATENATE(IF(P504=0,"  ",TEXT(P504,"#0")),IF(P504=0," ","."),IF(LEN(TRIM(Q504))=0,"  ",TEXT(Q504,"00")),IF(LEN(TRIM(Q504))=0,"","."),TEXT(O504,"00")," ")</f>
        <v xml:space="preserve">   50.00 </v>
      </c>
      <c r="Z504" s="54"/>
      <c r="AA504" s="50" t="str">
        <f>IF(ISNA(VLOOKUP($D504,Runner,6,FALSE)),"",VLOOKUP($D504,Runner,6,FALSE))</f>
        <v/>
      </c>
      <c r="AB504" s="129" t="str">
        <f>IF(ISNA(VLOOKUP($D504,Runner,8,FALSE)),"",IF(VLOOKUP($D504,Runner,8,FALSE)=0,"",VLOOKUP($D504,Runner,8,FALSE)))</f>
        <v/>
      </c>
      <c r="AC504" s="58" t="str">
        <f>IF(AG504&lt;&gt;"",CONCATENATE(J504,AG504),"")</f>
        <v/>
      </c>
      <c r="AD504" s="58" t="str">
        <f>CONCATENATE(J504,L504)</f>
        <v/>
      </c>
      <c r="AE504" s="60" t="str">
        <f>IF(AD504="","",COUNTIF($AD$2:AD504,AD504))</f>
        <v/>
      </c>
      <c r="AF504" s="62" t="str">
        <f>IF(AD504="","",SUMIF(AD$2:AD504,AD504,G$2:G504))</f>
        <v/>
      </c>
      <c r="AG504" s="62" t="str">
        <f>IF(AK504&lt;&gt;"",COUNTIF($AK$1:AK503,AK504)+AK504,IF(AL504&lt;&gt;"",COUNTIF($AL$1:AL503,AL504)+AL504,""))</f>
        <v/>
      </c>
      <c r="AH504" s="62" t="str">
        <f>L504</f>
        <v/>
      </c>
      <c r="AI504" s="62" t="str">
        <f>IF(AND(J504="M", AH504&lt;&gt;"U/A",AE504=Prizewinners!$J$1),AF504,"")</f>
        <v/>
      </c>
      <c r="AJ504" s="58" t="str">
        <f>IF(AND(J504="F",  AH504&lt;&gt;"U/A",AE504=Prizewinners!$J$16),AF504,"")</f>
        <v/>
      </c>
      <c r="AK504" s="58" t="str">
        <f>IF(AI504&lt;&gt;"",RANK(AI504,AI$2:AI$504,1),"")</f>
        <v/>
      </c>
      <c r="AL504" s="58" t="str">
        <f>IF(AJ504&lt;&gt;"",RANK(AJ504,AJ$2:AJ$504,1),"")</f>
        <v/>
      </c>
      <c r="AM504" s="58" t="str">
        <f>CONCATENATE(AD504,AE504)</f>
        <v/>
      </c>
      <c r="AN504" s="58" t="str">
        <f>IF(AG504&lt;&gt;"",VLOOKUP(CONCATENATE(AD504,"1"),Scoring_Team,5,FALSE),"")</f>
        <v/>
      </c>
      <c r="AO504" s="58" t="str">
        <f>IF(AG504&lt;&gt;"",VLOOKUP(CONCATENATE(AD504,"2"),Scoring_Team,5,FALSE),"")</f>
        <v/>
      </c>
      <c r="AP504" s="58" t="str">
        <f>IF(AG504&lt;&gt;"",VLOOKUP(CONCATENATE(AD504,"3"),Scoring_Team,5,FALSE),"")</f>
        <v/>
      </c>
      <c r="AQ504" s="58" t="str">
        <f>K504</f>
        <v/>
      </c>
    </row>
    <row r="505" spans="1:43" x14ac:dyDescent="0.25">
      <c r="N505"/>
      <c r="O505"/>
      <c r="Q505"/>
    </row>
    <row r="506" spans="1:43" x14ac:dyDescent="0.25">
      <c r="N506"/>
      <c r="O506"/>
      <c r="Q506"/>
    </row>
    <row r="507" spans="1:43" x14ac:dyDescent="0.25">
      <c r="N507"/>
      <c r="O507"/>
      <c r="Q507"/>
    </row>
    <row r="508" spans="1:43" x14ac:dyDescent="0.25">
      <c r="N508"/>
      <c r="O508"/>
      <c r="Q508"/>
    </row>
  </sheetData>
  <sheetProtection algorithmName="SHA-512" hashValue="87pYorXqPHt/7+pU0G29LPTdf+HTzMoVCSq4am2+T1hbT+gZQlv4TgNBnfnGfsY7QzQKAtyLcDvbCTWEqO6wbA==" saltValue="Mb0dfY/lUenrtcbCI61KuQ==" spinCount="100000" sheet="1" objects="1" scenarios="1"/>
  <autoFilter ref="A1:AQ1" xr:uid="{00000000-0009-0000-0000-000002000000}"/>
  <conditionalFormatting sqref="J2:K2 J172:J271 J318:K504 J3:J12 J14:J52 J54:J170">
    <cfRule type="expression" dxfId="15" priority="63" stopIfTrue="1">
      <formula>$E2&gt;1</formula>
    </cfRule>
    <cfRule type="expression" dxfId="14" priority="67" stopIfTrue="1">
      <formula>$E2&gt;1</formula>
    </cfRule>
  </conditionalFormatting>
  <conditionalFormatting sqref="J171">
    <cfRule type="expression" dxfId="13" priority="54" stopIfTrue="1">
      <formula>$E171&gt;1</formula>
    </cfRule>
    <cfRule type="expression" dxfId="12" priority="55" stopIfTrue="1">
      <formula>$E171&gt;1</formula>
    </cfRule>
  </conditionalFormatting>
  <conditionalFormatting sqref="J272:K317">
    <cfRule type="expression" dxfId="11" priority="37" stopIfTrue="1">
      <formula>$E272&gt;1</formula>
    </cfRule>
    <cfRule type="expression" dxfId="10" priority="38" stopIfTrue="1">
      <formula>$E272&gt;1</formula>
    </cfRule>
  </conditionalFormatting>
  <conditionalFormatting sqref="K3:K12 K14:K52 K54:K271">
    <cfRule type="expression" dxfId="9" priority="29" stopIfTrue="1">
      <formula>$E3&gt;1</formula>
    </cfRule>
    <cfRule type="expression" dxfId="8" priority="30" stopIfTrue="1">
      <formula>$E3&gt;1</formula>
    </cfRule>
  </conditionalFormatting>
  <conditionalFormatting sqref="J13">
    <cfRule type="expression" dxfId="7" priority="16" stopIfTrue="1">
      <formula>$E13&gt;1</formula>
    </cfRule>
    <cfRule type="expression" dxfId="6" priority="17" stopIfTrue="1">
      <formula>$E13&gt;1</formula>
    </cfRule>
  </conditionalFormatting>
  <conditionalFormatting sqref="K13">
    <cfRule type="expression" dxfId="5" priority="13" stopIfTrue="1">
      <formula>$E13&gt;1</formula>
    </cfRule>
    <cfRule type="expression" dxfId="4" priority="14" stopIfTrue="1">
      <formula>$E13&gt;1</formula>
    </cfRule>
  </conditionalFormatting>
  <conditionalFormatting sqref="J53">
    <cfRule type="expression" dxfId="3" priority="8" stopIfTrue="1">
      <formula>$E53&gt;1</formula>
    </cfRule>
    <cfRule type="expression" dxfId="2" priority="9" stopIfTrue="1">
      <formula>$E53&gt;1</formula>
    </cfRule>
  </conditionalFormatting>
  <conditionalFormatting sqref="K53">
    <cfRule type="expression" dxfId="1" priority="5" stopIfTrue="1">
      <formula>$E53&gt;1</formula>
    </cfRule>
    <cfRule type="expression" dxfId="0" priority="6" stopIfTrue="1">
      <formula>$E53&gt;1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5D200-DA57-458C-9E8C-738B319EC51B}">
  <sheetPr filterMode="1">
    <tabColor theme="4" tint="0.79998168889431442"/>
  </sheetPr>
  <dimension ref="A1:Q504"/>
  <sheetViews>
    <sheetView workbookViewId="0">
      <selection activeCell="K251" sqref="K251:P251"/>
    </sheetView>
  </sheetViews>
  <sheetFormatPr defaultRowHeight="15.75" x14ac:dyDescent="0.25"/>
  <cols>
    <col min="11" max="11" width="24.625" bestFit="1" customWidth="1"/>
    <col min="12" max="12" width="32.75" bestFit="1" customWidth="1"/>
    <col min="13" max="13" width="3.375" customWidth="1"/>
  </cols>
  <sheetData>
    <row r="1" spans="1:17" s="190" customFormat="1" x14ac:dyDescent="0.25">
      <c r="A1" s="190" t="s">
        <v>28</v>
      </c>
      <c r="B1" s="190" t="s">
        <v>30</v>
      </c>
      <c r="C1" s="190" t="s">
        <v>0</v>
      </c>
      <c r="D1" s="190" t="s">
        <v>8</v>
      </c>
      <c r="E1" s="190" t="s">
        <v>9</v>
      </c>
      <c r="F1" s="190" t="s">
        <v>27</v>
      </c>
      <c r="G1" s="190" t="s">
        <v>29</v>
      </c>
      <c r="H1" s="190" t="s">
        <v>42</v>
      </c>
      <c r="I1" s="190" t="s">
        <v>1</v>
      </c>
      <c r="J1" s="190" t="s">
        <v>22</v>
      </c>
      <c r="K1" s="190" t="s">
        <v>2</v>
      </c>
      <c r="L1" s="190" t="s">
        <v>3</v>
      </c>
      <c r="N1" s="190" t="s">
        <v>4</v>
      </c>
    </row>
    <row r="2" spans="1:17" hidden="1" x14ac:dyDescent="0.25">
      <c r="A2" t="s">
        <v>2947</v>
      </c>
      <c r="B2" t="s">
        <v>31</v>
      </c>
      <c r="C2">
        <v>1</v>
      </c>
      <c r="D2">
        <v>68</v>
      </c>
      <c r="E2">
        <v>1</v>
      </c>
      <c r="F2">
        <v>1</v>
      </c>
      <c r="G2">
        <v>1</v>
      </c>
      <c r="H2" t="s">
        <v>591</v>
      </c>
      <c r="I2" t="s">
        <v>67</v>
      </c>
      <c r="J2" t="s">
        <v>24</v>
      </c>
      <c r="K2" t="s">
        <v>354</v>
      </c>
      <c r="L2" t="s">
        <v>12</v>
      </c>
      <c r="M2">
        <v>0</v>
      </c>
      <c r="N2">
        <v>15</v>
      </c>
      <c r="O2">
        <v>48</v>
      </c>
      <c r="P2">
        <v>0</v>
      </c>
      <c r="Q2">
        <v>15</v>
      </c>
    </row>
    <row r="3" spans="1:17" hidden="1" x14ac:dyDescent="0.25">
      <c r="A3" t="s">
        <v>2948</v>
      </c>
      <c r="B3" t="s">
        <v>32</v>
      </c>
      <c r="C3">
        <v>2</v>
      </c>
      <c r="D3">
        <v>13</v>
      </c>
      <c r="E3">
        <v>1</v>
      </c>
      <c r="F3">
        <v>2</v>
      </c>
      <c r="G3">
        <v>2</v>
      </c>
      <c r="H3" t="s">
        <v>591</v>
      </c>
      <c r="I3" t="s">
        <v>160</v>
      </c>
      <c r="J3" t="s">
        <v>24</v>
      </c>
      <c r="K3" t="s">
        <v>391</v>
      </c>
      <c r="L3" t="s">
        <v>39</v>
      </c>
      <c r="M3">
        <v>0</v>
      </c>
      <c r="N3">
        <v>15</v>
      </c>
      <c r="O3">
        <v>54</v>
      </c>
      <c r="P3">
        <v>0</v>
      </c>
      <c r="Q3">
        <v>15</v>
      </c>
    </row>
    <row r="4" spans="1:17" hidden="1" x14ac:dyDescent="0.25">
      <c r="A4" t="s">
        <v>2949</v>
      </c>
      <c r="B4" t="s">
        <v>33</v>
      </c>
      <c r="C4">
        <v>3</v>
      </c>
      <c r="D4">
        <v>129</v>
      </c>
      <c r="E4">
        <v>1</v>
      </c>
      <c r="F4">
        <v>3</v>
      </c>
      <c r="G4">
        <v>3</v>
      </c>
      <c r="H4" t="s">
        <v>591</v>
      </c>
      <c r="I4" t="s">
        <v>67</v>
      </c>
      <c r="J4" t="s">
        <v>24</v>
      </c>
      <c r="K4" t="s">
        <v>1526</v>
      </c>
      <c r="L4" t="s">
        <v>108</v>
      </c>
      <c r="M4">
        <v>0</v>
      </c>
      <c r="N4">
        <v>16</v>
      </c>
      <c r="O4">
        <v>4</v>
      </c>
      <c r="P4">
        <v>0</v>
      </c>
      <c r="Q4">
        <v>16</v>
      </c>
    </row>
    <row r="5" spans="1:17" hidden="1" x14ac:dyDescent="0.25">
      <c r="A5" t="s">
        <v>2950</v>
      </c>
      <c r="B5" t="s">
        <v>2951</v>
      </c>
      <c r="C5">
        <v>4</v>
      </c>
      <c r="D5">
        <v>119</v>
      </c>
      <c r="E5">
        <v>1</v>
      </c>
      <c r="F5">
        <v>1</v>
      </c>
      <c r="G5">
        <v>4</v>
      </c>
      <c r="H5" t="s">
        <v>67</v>
      </c>
      <c r="I5" t="s">
        <v>67</v>
      </c>
      <c r="J5" t="s">
        <v>24</v>
      </c>
      <c r="K5" t="s">
        <v>2079</v>
      </c>
      <c r="L5" t="s">
        <v>108</v>
      </c>
      <c r="M5">
        <v>0</v>
      </c>
      <c r="N5">
        <v>16</v>
      </c>
      <c r="O5">
        <v>29</v>
      </c>
      <c r="P5">
        <v>0</v>
      </c>
      <c r="Q5">
        <v>16</v>
      </c>
    </row>
    <row r="6" spans="1:17" hidden="1" x14ac:dyDescent="0.25">
      <c r="A6" t="s">
        <v>163</v>
      </c>
      <c r="B6" t="s">
        <v>2952</v>
      </c>
      <c r="C6">
        <v>5</v>
      </c>
      <c r="D6">
        <v>131</v>
      </c>
      <c r="E6">
        <v>1</v>
      </c>
      <c r="F6">
        <v>1</v>
      </c>
      <c r="G6">
        <v>5</v>
      </c>
      <c r="H6" t="s">
        <v>160</v>
      </c>
      <c r="I6" t="s">
        <v>160</v>
      </c>
      <c r="J6" t="s">
        <v>24</v>
      </c>
      <c r="K6" t="s">
        <v>1130</v>
      </c>
      <c r="L6" t="s">
        <v>108</v>
      </c>
      <c r="M6">
        <v>0</v>
      </c>
      <c r="N6">
        <v>16</v>
      </c>
      <c r="O6">
        <v>31</v>
      </c>
      <c r="P6">
        <v>0</v>
      </c>
      <c r="Q6">
        <v>16</v>
      </c>
    </row>
    <row r="7" spans="1:17" hidden="1" x14ac:dyDescent="0.25">
      <c r="A7" t="s">
        <v>2953</v>
      </c>
      <c r="B7" t="s">
        <v>2954</v>
      </c>
      <c r="C7">
        <v>6</v>
      </c>
      <c r="D7">
        <v>11</v>
      </c>
      <c r="E7">
        <v>1</v>
      </c>
      <c r="F7">
        <v>2</v>
      </c>
      <c r="G7">
        <v>6</v>
      </c>
      <c r="H7" t="s">
        <v>67</v>
      </c>
      <c r="I7" t="s">
        <v>67</v>
      </c>
      <c r="J7" t="s">
        <v>24</v>
      </c>
      <c r="K7" t="s">
        <v>565</v>
      </c>
      <c r="L7" t="s">
        <v>43</v>
      </c>
      <c r="M7">
        <v>0</v>
      </c>
      <c r="N7">
        <v>16</v>
      </c>
      <c r="O7">
        <v>42</v>
      </c>
      <c r="P7">
        <v>0</v>
      </c>
      <c r="Q7">
        <v>16</v>
      </c>
    </row>
    <row r="8" spans="1:17" hidden="1" x14ac:dyDescent="0.25">
      <c r="A8" t="s">
        <v>2955</v>
      </c>
      <c r="B8" t="s">
        <v>2956</v>
      </c>
      <c r="C8">
        <v>7</v>
      </c>
      <c r="D8">
        <v>388</v>
      </c>
      <c r="E8">
        <v>1</v>
      </c>
      <c r="F8">
        <v>3</v>
      </c>
      <c r="G8">
        <v>7</v>
      </c>
      <c r="H8" t="s">
        <v>67</v>
      </c>
      <c r="I8" t="s">
        <v>67</v>
      </c>
      <c r="J8" t="s">
        <v>24</v>
      </c>
      <c r="K8" t="s">
        <v>364</v>
      </c>
      <c r="L8" t="s">
        <v>12</v>
      </c>
      <c r="M8">
        <v>0</v>
      </c>
      <c r="N8">
        <v>16</v>
      </c>
      <c r="O8">
        <v>59</v>
      </c>
      <c r="P8">
        <v>0</v>
      </c>
      <c r="Q8">
        <v>16</v>
      </c>
    </row>
    <row r="9" spans="1:17" hidden="1" x14ac:dyDescent="0.25">
      <c r="A9" t="s">
        <v>2957</v>
      </c>
      <c r="B9" t="s">
        <v>2958</v>
      </c>
      <c r="C9">
        <v>8</v>
      </c>
      <c r="D9">
        <v>28</v>
      </c>
      <c r="E9">
        <v>1</v>
      </c>
      <c r="F9">
        <v>4</v>
      </c>
      <c r="G9">
        <v>8</v>
      </c>
      <c r="H9" t="s">
        <v>67</v>
      </c>
      <c r="I9" t="s">
        <v>67</v>
      </c>
      <c r="J9" t="s">
        <v>24</v>
      </c>
      <c r="K9" t="s">
        <v>2316</v>
      </c>
      <c r="L9" t="s">
        <v>12</v>
      </c>
      <c r="M9">
        <v>0</v>
      </c>
      <c r="N9">
        <v>17</v>
      </c>
      <c r="O9">
        <v>9</v>
      </c>
      <c r="P9">
        <v>0</v>
      </c>
      <c r="Q9">
        <v>17</v>
      </c>
    </row>
    <row r="10" spans="1:17" hidden="1" x14ac:dyDescent="0.25">
      <c r="A10" t="s">
        <v>2959</v>
      </c>
      <c r="B10" t="s">
        <v>2960</v>
      </c>
      <c r="C10">
        <v>9</v>
      </c>
      <c r="D10">
        <v>329</v>
      </c>
      <c r="E10">
        <v>1</v>
      </c>
      <c r="F10">
        <v>2</v>
      </c>
      <c r="G10">
        <v>9</v>
      </c>
      <c r="H10" t="s">
        <v>160</v>
      </c>
      <c r="I10" t="s">
        <v>160</v>
      </c>
      <c r="J10" t="s">
        <v>24</v>
      </c>
      <c r="K10" t="s">
        <v>1389</v>
      </c>
      <c r="L10" t="s">
        <v>108</v>
      </c>
      <c r="M10">
        <v>0</v>
      </c>
      <c r="N10">
        <v>17</v>
      </c>
      <c r="O10">
        <v>26</v>
      </c>
      <c r="P10">
        <v>0</v>
      </c>
      <c r="Q10">
        <v>17</v>
      </c>
    </row>
    <row r="11" spans="1:17" hidden="1" x14ac:dyDescent="0.25">
      <c r="A11" t="s">
        <v>2961</v>
      </c>
      <c r="B11" t="s">
        <v>34</v>
      </c>
      <c r="C11">
        <v>10</v>
      </c>
      <c r="D11">
        <v>122</v>
      </c>
      <c r="E11">
        <v>1</v>
      </c>
      <c r="F11">
        <v>4</v>
      </c>
      <c r="G11">
        <v>1</v>
      </c>
      <c r="H11" t="s">
        <v>591</v>
      </c>
      <c r="I11" t="s">
        <v>156</v>
      </c>
      <c r="J11" t="s">
        <v>23</v>
      </c>
      <c r="K11" t="s">
        <v>2935</v>
      </c>
      <c r="L11" t="s">
        <v>65</v>
      </c>
      <c r="M11">
        <v>0</v>
      </c>
      <c r="N11">
        <v>17</v>
      </c>
      <c r="O11">
        <v>38</v>
      </c>
      <c r="P11">
        <v>0</v>
      </c>
      <c r="Q11">
        <v>17</v>
      </c>
    </row>
    <row r="12" spans="1:17" hidden="1" x14ac:dyDescent="0.25">
      <c r="A12" t="s">
        <v>2962</v>
      </c>
      <c r="B12" t="s">
        <v>2963</v>
      </c>
      <c r="C12">
        <v>11</v>
      </c>
      <c r="D12">
        <v>53</v>
      </c>
      <c r="E12">
        <v>1</v>
      </c>
      <c r="F12">
        <v>5</v>
      </c>
      <c r="G12">
        <v>10</v>
      </c>
      <c r="H12" t="s">
        <v>67</v>
      </c>
      <c r="I12" t="s">
        <v>67</v>
      </c>
      <c r="J12" t="s">
        <v>24</v>
      </c>
      <c r="K12" t="s">
        <v>1357</v>
      </c>
      <c r="L12" t="s">
        <v>12</v>
      </c>
      <c r="M12">
        <v>0</v>
      </c>
      <c r="N12">
        <v>17</v>
      </c>
      <c r="O12">
        <v>41</v>
      </c>
      <c r="P12">
        <v>0</v>
      </c>
      <c r="Q12">
        <v>17</v>
      </c>
    </row>
    <row r="13" spans="1:17" hidden="1" x14ac:dyDescent="0.25">
      <c r="A13" t="s">
        <v>2964</v>
      </c>
      <c r="B13" t="s">
        <v>2965</v>
      </c>
      <c r="C13">
        <v>12</v>
      </c>
      <c r="D13">
        <v>108</v>
      </c>
      <c r="E13">
        <v>1</v>
      </c>
      <c r="F13">
        <v>6</v>
      </c>
      <c r="G13">
        <v>11</v>
      </c>
      <c r="H13" t="s">
        <v>67</v>
      </c>
      <c r="I13" t="s">
        <v>67</v>
      </c>
      <c r="J13" t="s">
        <v>24</v>
      </c>
      <c r="K13" t="s">
        <v>2931</v>
      </c>
      <c r="L13" t="s">
        <v>649</v>
      </c>
      <c r="M13">
        <v>0</v>
      </c>
      <c r="N13">
        <v>17</v>
      </c>
      <c r="O13">
        <v>44</v>
      </c>
      <c r="P13">
        <v>0</v>
      </c>
      <c r="Q13">
        <v>17</v>
      </c>
    </row>
    <row r="14" spans="1:17" hidden="1" x14ac:dyDescent="0.25">
      <c r="A14" t="s">
        <v>2966</v>
      </c>
      <c r="B14" t="s">
        <v>2967</v>
      </c>
      <c r="C14">
        <v>13</v>
      </c>
      <c r="D14">
        <v>379</v>
      </c>
      <c r="E14">
        <v>1</v>
      </c>
      <c r="F14">
        <v>7</v>
      </c>
      <c r="G14">
        <v>12</v>
      </c>
      <c r="H14" t="s">
        <v>67</v>
      </c>
      <c r="I14" t="s">
        <v>67</v>
      </c>
      <c r="J14" t="s">
        <v>24</v>
      </c>
      <c r="K14" t="s">
        <v>2193</v>
      </c>
      <c r="L14" t="s">
        <v>1805</v>
      </c>
      <c r="M14">
        <v>0</v>
      </c>
      <c r="N14">
        <v>17</v>
      </c>
      <c r="O14">
        <v>46</v>
      </c>
      <c r="P14">
        <v>0</v>
      </c>
      <c r="Q14">
        <v>17</v>
      </c>
    </row>
    <row r="15" spans="1:17" hidden="1" x14ac:dyDescent="0.25">
      <c r="A15" t="s">
        <v>2968</v>
      </c>
      <c r="B15" t="s">
        <v>2969</v>
      </c>
      <c r="C15">
        <v>14</v>
      </c>
      <c r="D15">
        <v>18</v>
      </c>
      <c r="E15">
        <v>1</v>
      </c>
      <c r="F15">
        <v>3</v>
      </c>
      <c r="G15">
        <v>13</v>
      </c>
      <c r="H15" t="s">
        <v>160</v>
      </c>
      <c r="I15" t="s">
        <v>160</v>
      </c>
      <c r="J15" t="s">
        <v>24</v>
      </c>
      <c r="K15" t="s">
        <v>690</v>
      </c>
      <c r="L15" t="s">
        <v>12</v>
      </c>
      <c r="M15">
        <v>0</v>
      </c>
      <c r="N15">
        <v>17</v>
      </c>
      <c r="O15">
        <v>48</v>
      </c>
      <c r="P15">
        <v>0</v>
      </c>
      <c r="Q15">
        <v>17</v>
      </c>
    </row>
    <row r="16" spans="1:17" hidden="1" x14ac:dyDescent="0.25">
      <c r="A16" t="s">
        <v>2970</v>
      </c>
      <c r="B16" t="s">
        <v>2971</v>
      </c>
      <c r="C16">
        <v>15</v>
      </c>
      <c r="D16">
        <v>321</v>
      </c>
      <c r="E16">
        <v>1</v>
      </c>
      <c r="F16">
        <v>8</v>
      </c>
      <c r="G16">
        <v>14</v>
      </c>
      <c r="H16" t="s">
        <v>67</v>
      </c>
      <c r="I16" t="s">
        <v>67</v>
      </c>
      <c r="J16" t="s">
        <v>24</v>
      </c>
      <c r="K16" t="s">
        <v>1473</v>
      </c>
      <c r="L16" t="s">
        <v>12</v>
      </c>
      <c r="M16">
        <v>0</v>
      </c>
      <c r="N16">
        <v>17</v>
      </c>
      <c r="O16">
        <v>50</v>
      </c>
      <c r="P16">
        <v>0</v>
      </c>
      <c r="Q16">
        <v>17</v>
      </c>
    </row>
    <row r="17" spans="1:17" hidden="1" x14ac:dyDescent="0.25">
      <c r="A17" t="s">
        <v>2972</v>
      </c>
      <c r="B17" t="s">
        <v>2973</v>
      </c>
      <c r="C17">
        <v>16</v>
      </c>
      <c r="D17">
        <v>450</v>
      </c>
      <c r="E17">
        <v>1</v>
      </c>
      <c r="F17">
        <v>9</v>
      </c>
      <c r="G17">
        <v>15</v>
      </c>
      <c r="H17" t="s">
        <v>67</v>
      </c>
      <c r="I17" t="s">
        <v>67</v>
      </c>
      <c r="J17" t="s">
        <v>24</v>
      </c>
      <c r="K17" t="s">
        <v>522</v>
      </c>
      <c r="L17" t="s">
        <v>108</v>
      </c>
      <c r="M17">
        <v>0</v>
      </c>
      <c r="N17">
        <v>17</v>
      </c>
      <c r="O17">
        <v>52</v>
      </c>
      <c r="P17">
        <v>0</v>
      </c>
      <c r="Q17">
        <v>17</v>
      </c>
    </row>
    <row r="18" spans="1:17" hidden="1" x14ac:dyDescent="0.25">
      <c r="A18" t="s">
        <v>2974</v>
      </c>
      <c r="B18" t="s">
        <v>2975</v>
      </c>
      <c r="C18">
        <v>17</v>
      </c>
      <c r="D18">
        <v>430</v>
      </c>
      <c r="E18">
        <v>1</v>
      </c>
      <c r="F18">
        <v>10</v>
      </c>
      <c r="G18">
        <v>16</v>
      </c>
      <c r="H18" t="s">
        <v>67</v>
      </c>
      <c r="I18" t="s">
        <v>67</v>
      </c>
      <c r="J18" t="s">
        <v>24</v>
      </c>
      <c r="K18" t="s">
        <v>230</v>
      </c>
      <c r="L18" t="s">
        <v>2745</v>
      </c>
      <c r="M18">
        <v>0</v>
      </c>
      <c r="N18">
        <v>17</v>
      </c>
      <c r="O18">
        <v>54</v>
      </c>
      <c r="P18">
        <v>0</v>
      </c>
      <c r="Q18">
        <v>17</v>
      </c>
    </row>
    <row r="19" spans="1:17" hidden="1" x14ac:dyDescent="0.25">
      <c r="A19" t="s">
        <v>2976</v>
      </c>
      <c r="B19" t="s">
        <v>2977</v>
      </c>
      <c r="C19">
        <v>18</v>
      </c>
      <c r="D19">
        <v>363</v>
      </c>
      <c r="E19">
        <v>1</v>
      </c>
      <c r="F19">
        <v>11</v>
      </c>
      <c r="G19">
        <v>17</v>
      </c>
      <c r="H19" t="s">
        <v>67</v>
      </c>
      <c r="I19" t="s">
        <v>67</v>
      </c>
      <c r="J19" t="s">
        <v>24</v>
      </c>
      <c r="K19" t="s">
        <v>2194</v>
      </c>
      <c r="L19" t="s">
        <v>63</v>
      </c>
      <c r="M19">
        <v>0</v>
      </c>
      <c r="N19">
        <v>17</v>
      </c>
      <c r="O19">
        <v>55</v>
      </c>
      <c r="P19">
        <v>0</v>
      </c>
      <c r="Q19">
        <v>17</v>
      </c>
    </row>
    <row r="20" spans="1:17" hidden="1" x14ac:dyDescent="0.25">
      <c r="A20" t="s">
        <v>2978</v>
      </c>
      <c r="B20" t="s">
        <v>2979</v>
      </c>
      <c r="C20">
        <v>19</v>
      </c>
      <c r="D20">
        <v>419</v>
      </c>
      <c r="E20">
        <v>1</v>
      </c>
      <c r="F20">
        <v>4</v>
      </c>
      <c r="G20">
        <v>18</v>
      </c>
      <c r="H20" t="s">
        <v>160</v>
      </c>
      <c r="I20" t="s">
        <v>160</v>
      </c>
      <c r="J20" t="s">
        <v>24</v>
      </c>
      <c r="K20" t="s">
        <v>2469</v>
      </c>
      <c r="L20" t="s">
        <v>14</v>
      </c>
      <c r="M20">
        <v>0</v>
      </c>
      <c r="N20">
        <v>17</v>
      </c>
      <c r="O20">
        <v>57</v>
      </c>
      <c r="P20">
        <v>0</v>
      </c>
      <c r="Q20">
        <v>17</v>
      </c>
    </row>
    <row r="21" spans="1:17" x14ac:dyDescent="0.25">
      <c r="A21" t="s">
        <v>2980</v>
      </c>
      <c r="B21" t="s">
        <v>2981</v>
      </c>
      <c r="C21">
        <v>20</v>
      </c>
      <c r="D21">
        <v>376</v>
      </c>
      <c r="E21">
        <v>1</v>
      </c>
      <c r="F21">
        <v>5</v>
      </c>
      <c r="G21">
        <v>19</v>
      </c>
      <c r="H21" t="s">
        <v>160</v>
      </c>
      <c r="I21" t="s">
        <v>160</v>
      </c>
      <c r="J21" t="s">
        <v>24</v>
      </c>
      <c r="K21" t="s">
        <v>311</v>
      </c>
      <c r="L21" t="s">
        <v>154</v>
      </c>
      <c r="M21">
        <v>20</v>
      </c>
      <c r="N21">
        <v>17</v>
      </c>
      <c r="O21">
        <v>57</v>
      </c>
      <c r="P21">
        <v>0</v>
      </c>
      <c r="Q21">
        <v>17</v>
      </c>
    </row>
    <row r="22" spans="1:17" hidden="1" x14ac:dyDescent="0.25">
      <c r="A22" t="s">
        <v>164</v>
      </c>
      <c r="B22" t="s">
        <v>2982</v>
      </c>
      <c r="C22">
        <v>21</v>
      </c>
      <c r="D22">
        <v>15</v>
      </c>
      <c r="E22">
        <v>1</v>
      </c>
      <c r="F22">
        <v>1</v>
      </c>
      <c r="G22">
        <v>20</v>
      </c>
      <c r="H22" t="s">
        <v>161</v>
      </c>
      <c r="I22" t="s">
        <v>161</v>
      </c>
      <c r="J22" t="s">
        <v>24</v>
      </c>
      <c r="K22" t="s">
        <v>2762</v>
      </c>
      <c r="L22" t="s">
        <v>108</v>
      </c>
      <c r="M22">
        <v>0</v>
      </c>
      <c r="N22">
        <v>17</v>
      </c>
      <c r="O22">
        <v>59</v>
      </c>
      <c r="P22">
        <v>0</v>
      </c>
      <c r="Q22">
        <v>17</v>
      </c>
    </row>
    <row r="23" spans="1:17" hidden="1" x14ac:dyDescent="0.25">
      <c r="A23" t="s">
        <v>2983</v>
      </c>
      <c r="B23" t="s">
        <v>2984</v>
      </c>
      <c r="C23">
        <v>22</v>
      </c>
      <c r="D23">
        <v>71</v>
      </c>
      <c r="E23">
        <v>1</v>
      </c>
      <c r="F23">
        <v>6</v>
      </c>
      <c r="G23">
        <v>21</v>
      </c>
      <c r="H23" t="s">
        <v>160</v>
      </c>
      <c r="I23" t="s">
        <v>160</v>
      </c>
      <c r="J23" t="s">
        <v>24</v>
      </c>
      <c r="K23" t="s">
        <v>1361</v>
      </c>
      <c r="L23" t="s">
        <v>63</v>
      </c>
      <c r="M23">
        <v>0</v>
      </c>
      <c r="N23">
        <v>18</v>
      </c>
      <c r="O23">
        <v>6</v>
      </c>
      <c r="P23">
        <v>0</v>
      </c>
      <c r="Q23">
        <v>18</v>
      </c>
    </row>
    <row r="24" spans="1:17" hidden="1" x14ac:dyDescent="0.25">
      <c r="A24" t="s">
        <v>2985</v>
      </c>
      <c r="B24" t="s">
        <v>2986</v>
      </c>
      <c r="C24">
        <v>23</v>
      </c>
      <c r="D24">
        <v>475</v>
      </c>
      <c r="E24">
        <v>1</v>
      </c>
      <c r="F24">
        <v>12</v>
      </c>
      <c r="G24">
        <v>22</v>
      </c>
      <c r="H24" t="s">
        <v>67</v>
      </c>
      <c r="I24" t="s">
        <v>67</v>
      </c>
      <c r="J24" t="s">
        <v>24</v>
      </c>
      <c r="K24" t="s">
        <v>197</v>
      </c>
      <c r="L24" t="s">
        <v>12</v>
      </c>
      <c r="M24">
        <v>0</v>
      </c>
      <c r="N24">
        <v>18</v>
      </c>
      <c r="O24">
        <v>10</v>
      </c>
      <c r="P24">
        <v>0</v>
      </c>
      <c r="Q24">
        <v>18</v>
      </c>
    </row>
    <row r="25" spans="1:17" hidden="1" x14ac:dyDescent="0.25">
      <c r="A25" t="s">
        <v>2987</v>
      </c>
      <c r="B25" t="s">
        <v>2988</v>
      </c>
      <c r="C25">
        <v>24</v>
      </c>
      <c r="D25">
        <v>412</v>
      </c>
      <c r="E25">
        <v>1</v>
      </c>
      <c r="F25">
        <v>13</v>
      </c>
      <c r="G25">
        <v>23</v>
      </c>
      <c r="H25" t="s">
        <v>67</v>
      </c>
      <c r="I25" t="s">
        <v>67</v>
      </c>
      <c r="J25" t="s">
        <v>24</v>
      </c>
      <c r="K25" t="s">
        <v>175</v>
      </c>
      <c r="L25" t="s">
        <v>12</v>
      </c>
      <c r="M25">
        <v>0</v>
      </c>
      <c r="N25">
        <v>18</v>
      </c>
      <c r="O25">
        <v>15</v>
      </c>
      <c r="P25">
        <v>0</v>
      </c>
      <c r="Q25">
        <v>18</v>
      </c>
    </row>
    <row r="26" spans="1:17" hidden="1" x14ac:dyDescent="0.25">
      <c r="A26" t="s">
        <v>2989</v>
      </c>
      <c r="B26" t="s">
        <v>2990</v>
      </c>
      <c r="C26">
        <v>25</v>
      </c>
      <c r="D26">
        <v>93</v>
      </c>
      <c r="E26">
        <v>1</v>
      </c>
      <c r="F26">
        <v>14</v>
      </c>
      <c r="G26">
        <v>24</v>
      </c>
      <c r="H26" t="s">
        <v>67</v>
      </c>
      <c r="I26" t="s">
        <v>67</v>
      </c>
      <c r="J26" t="s">
        <v>24</v>
      </c>
      <c r="K26" t="s">
        <v>330</v>
      </c>
      <c r="L26" t="s">
        <v>12</v>
      </c>
      <c r="M26">
        <v>0</v>
      </c>
      <c r="N26">
        <v>18</v>
      </c>
      <c r="O26">
        <v>16</v>
      </c>
      <c r="P26">
        <v>0</v>
      </c>
      <c r="Q26">
        <v>18</v>
      </c>
    </row>
    <row r="27" spans="1:17" hidden="1" x14ac:dyDescent="0.25">
      <c r="A27" t="s">
        <v>2991</v>
      </c>
      <c r="B27" t="s">
        <v>2992</v>
      </c>
      <c r="C27">
        <v>26</v>
      </c>
      <c r="D27">
        <v>331</v>
      </c>
      <c r="E27">
        <v>1</v>
      </c>
      <c r="F27">
        <v>15</v>
      </c>
      <c r="G27">
        <v>25</v>
      </c>
      <c r="H27" t="s">
        <v>67</v>
      </c>
      <c r="I27" t="s">
        <v>67</v>
      </c>
      <c r="J27" t="s">
        <v>24</v>
      </c>
      <c r="K27" t="s">
        <v>1682</v>
      </c>
      <c r="L27" t="s">
        <v>108</v>
      </c>
      <c r="M27">
        <v>0</v>
      </c>
      <c r="N27">
        <v>18</v>
      </c>
      <c r="O27">
        <v>17</v>
      </c>
      <c r="P27">
        <v>0</v>
      </c>
      <c r="Q27">
        <v>18</v>
      </c>
    </row>
    <row r="28" spans="1:17" hidden="1" x14ac:dyDescent="0.25">
      <c r="A28" t="s">
        <v>2993</v>
      </c>
      <c r="B28" t="s">
        <v>2994</v>
      </c>
      <c r="C28">
        <v>27</v>
      </c>
      <c r="D28">
        <v>441</v>
      </c>
      <c r="E28">
        <v>1</v>
      </c>
      <c r="F28">
        <v>7</v>
      </c>
      <c r="G28">
        <v>26</v>
      </c>
      <c r="H28" t="s">
        <v>160</v>
      </c>
      <c r="I28" t="s">
        <v>160</v>
      </c>
      <c r="J28" t="s">
        <v>24</v>
      </c>
      <c r="K28" t="s">
        <v>1033</v>
      </c>
      <c r="L28" t="s">
        <v>12</v>
      </c>
      <c r="M28">
        <v>0</v>
      </c>
      <c r="N28">
        <v>18</v>
      </c>
      <c r="O28">
        <v>31</v>
      </c>
      <c r="P28">
        <v>0</v>
      </c>
      <c r="Q28">
        <v>18</v>
      </c>
    </row>
    <row r="29" spans="1:17" hidden="1" x14ac:dyDescent="0.25">
      <c r="A29" t="s">
        <v>2995</v>
      </c>
      <c r="B29" t="s">
        <v>2996</v>
      </c>
      <c r="C29">
        <v>28</v>
      </c>
      <c r="D29">
        <v>3</v>
      </c>
      <c r="E29">
        <v>1</v>
      </c>
      <c r="F29">
        <v>16</v>
      </c>
      <c r="G29">
        <v>27</v>
      </c>
      <c r="H29" t="s">
        <v>67</v>
      </c>
      <c r="I29" t="s">
        <v>67</v>
      </c>
      <c r="J29" t="s">
        <v>24</v>
      </c>
      <c r="K29" t="s">
        <v>1112</v>
      </c>
      <c r="L29" t="s">
        <v>43</v>
      </c>
      <c r="M29">
        <v>0</v>
      </c>
      <c r="N29">
        <v>18</v>
      </c>
      <c r="O29">
        <v>40</v>
      </c>
      <c r="P29">
        <v>0</v>
      </c>
      <c r="Q29">
        <v>18</v>
      </c>
    </row>
    <row r="30" spans="1:17" hidden="1" x14ac:dyDescent="0.25">
      <c r="A30" t="s">
        <v>2997</v>
      </c>
      <c r="B30" t="s">
        <v>35</v>
      </c>
      <c r="C30">
        <v>29</v>
      </c>
      <c r="D30">
        <v>121</v>
      </c>
      <c r="E30">
        <v>1</v>
      </c>
      <c r="F30">
        <v>5</v>
      </c>
      <c r="G30">
        <v>2</v>
      </c>
      <c r="H30" t="s">
        <v>591</v>
      </c>
      <c r="I30" t="s">
        <v>156</v>
      </c>
      <c r="J30" t="s">
        <v>23</v>
      </c>
      <c r="K30" t="s">
        <v>2934</v>
      </c>
      <c r="L30" t="s">
        <v>65</v>
      </c>
      <c r="M30">
        <v>0</v>
      </c>
      <c r="N30">
        <v>18</v>
      </c>
      <c r="O30">
        <v>41</v>
      </c>
      <c r="P30">
        <v>0</v>
      </c>
      <c r="Q30">
        <v>18</v>
      </c>
    </row>
    <row r="31" spans="1:17" hidden="1" x14ac:dyDescent="0.25">
      <c r="A31" t="s">
        <v>2998</v>
      </c>
      <c r="B31" t="s">
        <v>2999</v>
      </c>
      <c r="C31">
        <v>30</v>
      </c>
      <c r="D31">
        <v>447</v>
      </c>
      <c r="E31">
        <v>1</v>
      </c>
      <c r="F31">
        <v>17</v>
      </c>
      <c r="G31">
        <v>28</v>
      </c>
      <c r="H31" t="s">
        <v>67</v>
      </c>
      <c r="I31" t="s">
        <v>67</v>
      </c>
      <c r="J31" t="s">
        <v>24</v>
      </c>
      <c r="K31" t="s">
        <v>1822</v>
      </c>
      <c r="L31" t="s">
        <v>1805</v>
      </c>
      <c r="M31">
        <v>0</v>
      </c>
      <c r="N31">
        <v>18</v>
      </c>
      <c r="O31">
        <v>42</v>
      </c>
      <c r="P31">
        <v>0</v>
      </c>
      <c r="Q31">
        <v>18</v>
      </c>
    </row>
    <row r="32" spans="1:17" hidden="1" x14ac:dyDescent="0.25">
      <c r="A32" t="s">
        <v>3000</v>
      </c>
      <c r="B32" t="s">
        <v>3001</v>
      </c>
      <c r="C32">
        <v>31</v>
      </c>
      <c r="D32">
        <v>17</v>
      </c>
      <c r="E32">
        <v>1</v>
      </c>
      <c r="F32">
        <v>8</v>
      </c>
      <c r="G32">
        <v>29</v>
      </c>
      <c r="H32" t="s">
        <v>160</v>
      </c>
      <c r="I32" t="s">
        <v>160</v>
      </c>
      <c r="J32" t="s">
        <v>24</v>
      </c>
      <c r="K32" t="s">
        <v>1345</v>
      </c>
      <c r="L32" t="s">
        <v>12</v>
      </c>
      <c r="M32">
        <v>0</v>
      </c>
      <c r="N32">
        <v>18</v>
      </c>
      <c r="O32">
        <v>43</v>
      </c>
      <c r="P32">
        <v>0</v>
      </c>
      <c r="Q32">
        <v>18</v>
      </c>
    </row>
    <row r="33" spans="1:17" hidden="1" x14ac:dyDescent="0.25">
      <c r="A33" t="s">
        <v>3002</v>
      </c>
      <c r="B33" t="s">
        <v>3003</v>
      </c>
      <c r="C33">
        <v>32</v>
      </c>
      <c r="D33">
        <v>1</v>
      </c>
      <c r="E33">
        <v>1</v>
      </c>
      <c r="F33">
        <v>9</v>
      </c>
      <c r="G33">
        <v>30</v>
      </c>
      <c r="H33" t="s">
        <v>160</v>
      </c>
      <c r="I33" t="s">
        <v>160</v>
      </c>
      <c r="J33" t="s">
        <v>24</v>
      </c>
      <c r="K33" t="s">
        <v>1122</v>
      </c>
      <c r="L33" t="s">
        <v>43</v>
      </c>
      <c r="M33">
        <v>0</v>
      </c>
      <c r="N33">
        <v>18</v>
      </c>
      <c r="O33">
        <v>46</v>
      </c>
      <c r="P33">
        <v>0</v>
      </c>
      <c r="Q33">
        <v>18</v>
      </c>
    </row>
    <row r="34" spans="1:17" hidden="1" x14ac:dyDescent="0.25">
      <c r="A34" t="s">
        <v>3004</v>
      </c>
      <c r="B34" t="s">
        <v>3005</v>
      </c>
      <c r="C34">
        <v>33</v>
      </c>
      <c r="D34">
        <v>405</v>
      </c>
      <c r="E34">
        <v>1</v>
      </c>
      <c r="F34">
        <v>18</v>
      </c>
      <c r="G34">
        <v>31</v>
      </c>
      <c r="H34" t="s">
        <v>67</v>
      </c>
      <c r="I34" t="s">
        <v>67</v>
      </c>
      <c r="J34" t="s">
        <v>24</v>
      </c>
      <c r="K34" t="s">
        <v>272</v>
      </c>
      <c r="L34" t="s">
        <v>12</v>
      </c>
      <c r="M34">
        <v>0</v>
      </c>
      <c r="N34">
        <v>18</v>
      </c>
      <c r="O34">
        <v>48</v>
      </c>
      <c r="P34">
        <v>0</v>
      </c>
      <c r="Q34">
        <v>18</v>
      </c>
    </row>
    <row r="35" spans="1:17" hidden="1" x14ac:dyDescent="0.25">
      <c r="A35" t="s">
        <v>3006</v>
      </c>
      <c r="B35" t="s">
        <v>3007</v>
      </c>
      <c r="C35">
        <v>34</v>
      </c>
      <c r="D35">
        <v>431</v>
      </c>
      <c r="E35">
        <v>1</v>
      </c>
      <c r="F35">
        <v>19</v>
      </c>
      <c r="G35">
        <v>32</v>
      </c>
      <c r="H35" t="s">
        <v>67</v>
      </c>
      <c r="I35" t="s">
        <v>67</v>
      </c>
      <c r="J35" t="s">
        <v>24</v>
      </c>
      <c r="K35" t="s">
        <v>178</v>
      </c>
      <c r="L35" t="s">
        <v>12</v>
      </c>
      <c r="M35">
        <v>0</v>
      </c>
      <c r="N35">
        <v>18</v>
      </c>
      <c r="O35">
        <v>59</v>
      </c>
      <c r="P35">
        <v>0</v>
      </c>
      <c r="Q35">
        <v>18</v>
      </c>
    </row>
    <row r="36" spans="1:17" hidden="1" x14ac:dyDescent="0.25">
      <c r="A36" t="s">
        <v>3008</v>
      </c>
      <c r="B36" t="s">
        <v>3009</v>
      </c>
      <c r="C36">
        <v>35</v>
      </c>
      <c r="D36">
        <v>132</v>
      </c>
      <c r="E36">
        <v>1</v>
      </c>
      <c r="F36">
        <v>20</v>
      </c>
      <c r="G36">
        <v>33</v>
      </c>
      <c r="H36" t="s">
        <v>67</v>
      </c>
      <c r="I36" t="s">
        <v>67</v>
      </c>
      <c r="J36" t="s">
        <v>24</v>
      </c>
      <c r="K36" t="s">
        <v>1969</v>
      </c>
      <c r="L36" t="s">
        <v>108</v>
      </c>
      <c r="M36">
        <v>0</v>
      </c>
      <c r="N36">
        <v>19</v>
      </c>
      <c r="O36">
        <v>6</v>
      </c>
      <c r="P36">
        <v>0</v>
      </c>
      <c r="Q36">
        <v>19</v>
      </c>
    </row>
    <row r="37" spans="1:17" hidden="1" x14ac:dyDescent="0.25">
      <c r="A37" t="s">
        <v>165</v>
      </c>
      <c r="B37" t="s">
        <v>3010</v>
      </c>
      <c r="C37">
        <v>36</v>
      </c>
      <c r="D37">
        <v>139</v>
      </c>
      <c r="E37">
        <v>1</v>
      </c>
      <c r="F37">
        <v>1</v>
      </c>
      <c r="G37">
        <v>34</v>
      </c>
      <c r="H37" t="s">
        <v>162</v>
      </c>
      <c r="I37" t="s">
        <v>162</v>
      </c>
      <c r="J37" t="s">
        <v>24</v>
      </c>
      <c r="K37" t="s">
        <v>762</v>
      </c>
      <c r="L37" t="s">
        <v>1727</v>
      </c>
      <c r="M37">
        <v>0</v>
      </c>
      <c r="N37">
        <v>19</v>
      </c>
      <c r="O37">
        <v>8</v>
      </c>
      <c r="P37">
        <v>0</v>
      </c>
      <c r="Q37">
        <v>19</v>
      </c>
    </row>
    <row r="38" spans="1:17" hidden="1" x14ac:dyDescent="0.25">
      <c r="A38" t="s">
        <v>3011</v>
      </c>
      <c r="B38" t="s">
        <v>3012</v>
      </c>
      <c r="C38">
        <v>37</v>
      </c>
      <c r="D38">
        <v>460</v>
      </c>
      <c r="E38">
        <v>1</v>
      </c>
      <c r="F38">
        <v>21</v>
      </c>
      <c r="G38">
        <v>35</v>
      </c>
      <c r="H38" t="s">
        <v>67</v>
      </c>
      <c r="I38" t="s">
        <v>67</v>
      </c>
      <c r="J38" t="s">
        <v>24</v>
      </c>
      <c r="K38" t="s">
        <v>2028</v>
      </c>
      <c r="L38" t="s">
        <v>1805</v>
      </c>
      <c r="M38">
        <v>0</v>
      </c>
      <c r="N38">
        <v>19</v>
      </c>
      <c r="O38">
        <v>10</v>
      </c>
      <c r="P38">
        <v>0</v>
      </c>
      <c r="Q38">
        <v>19</v>
      </c>
    </row>
    <row r="39" spans="1:17" x14ac:dyDescent="0.25">
      <c r="A39" t="s">
        <v>3013</v>
      </c>
      <c r="B39" t="s">
        <v>3014</v>
      </c>
      <c r="C39">
        <v>38</v>
      </c>
      <c r="D39">
        <v>499</v>
      </c>
      <c r="E39">
        <v>1</v>
      </c>
      <c r="F39">
        <v>22</v>
      </c>
      <c r="G39">
        <v>36</v>
      </c>
      <c r="H39" t="s">
        <v>67</v>
      </c>
      <c r="I39" t="s">
        <v>67</v>
      </c>
      <c r="J39" t="s">
        <v>24</v>
      </c>
      <c r="K39" t="s">
        <v>2761</v>
      </c>
      <c r="L39" t="s">
        <v>154</v>
      </c>
      <c r="M39">
        <v>19</v>
      </c>
      <c r="N39">
        <v>19</v>
      </c>
      <c r="O39">
        <v>15</v>
      </c>
      <c r="P39">
        <v>0</v>
      </c>
      <c r="Q39">
        <v>19</v>
      </c>
    </row>
    <row r="40" spans="1:17" hidden="1" x14ac:dyDescent="0.25">
      <c r="A40" t="s">
        <v>3015</v>
      </c>
      <c r="B40" t="s">
        <v>3016</v>
      </c>
      <c r="C40">
        <v>39</v>
      </c>
      <c r="D40">
        <v>102</v>
      </c>
      <c r="E40">
        <v>1</v>
      </c>
      <c r="F40">
        <v>23</v>
      </c>
      <c r="G40">
        <v>37</v>
      </c>
      <c r="H40" t="s">
        <v>67</v>
      </c>
      <c r="I40" t="s">
        <v>67</v>
      </c>
      <c r="J40" t="s">
        <v>24</v>
      </c>
      <c r="K40" t="s">
        <v>370</v>
      </c>
      <c r="L40" t="s">
        <v>63</v>
      </c>
      <c r="M40">
        <v>0</v>
      </c>
      <c r="N40">
        <v>19</v>
      </c>
      <c r="O40">
        <v>16</v>
      </c>
      <c r="P40">
        <v>0</v>
      </c>
      <c r="Q40">
        <v>19</v>
      </c>
    </row>
    <row r="41" spans="1:17" hidden="1" x14ac:dyDescent="0.25">
      <c r="A41" t="s">
        <v>3017</v>
      </c>
      <c r="B41" t="s">
        <v>3018</v>
      </c>
      <c r="C41">
        <v>40</v>
      </c>
      <c r="D41">
        <v>41</v>
      </c>
      <c r="E41">
        <v>1</v>
      </c>
      <c r="F41">
        <v>24</v>
      </c>
      <c r="G41">
        <v>38</v>
      </c>
      <c r="H41" t="s">
        <v>67</v>
      </c>
      <c r="I41" t="s">
        <v>67</v>
      </c>
      <c r="J41" t="s">
        <v>24</v>
      </c>
      <c r="K41" t="s">
        <v>176</v>
      </c>
      <c r="L41" t="s">
        <v>12</v>
      </c>
      <c r="M41">
        <v>0</v>
      </c>
      <c r="N41">
        <v>19</v>
      </c>
      <c r="O41">
        <v>17</v>
      </c>
      <c r="P41">
        <v>0</v>
      </c>
      <c r="Q41">
        <v>19</v>
      </c>
    </row>
    <row r="42" spans="1:17" hidden="1" x14ac:dyDescent="0.25">
      <c r="A42" t="s">
        <v>3019</v>
      </c>
      <c r="B42" t="s">
        <v>3020</v>
      </c>
      <c r="C42">
        <v>41</v>
      </c>
      <c r="D42">
        <v>436</v>
      </c>
      <c r="E42">
        <v>1</v>
      </c>
      <c r="F42">
        <v>25</v>
      </c>
      <c r="G42">
        <v>39</v>
      </c>
      <c r="H42" t="s">
        <v>67</v>
      </c>
      <c r="I42" t="s">
        <v>67</v>
      </c>
      <c r="J42" t="s">
        <v>24</v>
      </c>
      <c r="K42" t="s">
        <v>2197</v>
      </c>
      <c r="L42" t="s">
        <v>1805</v>
      </c>
      <c r="M42">
        <v>0</v>
      </c>
      <c r="N42">
        <v>19</v>
      </c>
      <c r="O42">
        <v>19</v>
      </c>
      <c r="P42">
        <v>0</v>
      </c>
      <c r="Q42">
        <v>19</v>
      </c>
    </row>
    <row r="43" spans="1:17" hidden="1" x14ac:dyDescent="0.25">
      <c r="A43" t="s">
        <v>3021</v>
      </c>
      <c r="B43" t="s">
        <v>3022</v>
      </c>
      <c r="C43">
        <v>42</v>
      </c>
      <c r="D43">
        <v>470</v>
      </c>
      <c r="E43">
        <v>1</v>
      </c>
      <c r="F43">
        <v>2</v>
      </c>
      <c r="G43">
        <v>40</v>
      </c>
      <c r="H43" t="s">
        <v>161</v>
      </c>
      <c r="I43" t="s">
        <v>161</v>
      </c>
      <c r="J43" t="s">
        <v>24</v>
      </c>
      <c r="K43" t="s">
        <v>413</v>
      </c>
      <c r="L43" t="s">
        <v>108</v>
      </c>
      <c r="M43">
        <v>0</v>
      </c>
      <c r="N43">
        <v>19</v>
      </c>
      <c r="O43">
        <v>22</v>
      </c>
      <c r="P43">
        <v>0</v>
      </c>
      <c r="Q43">
        <v>19</v>
      </c>
    </row>
    <row r="44" spans="1:17" hidden="1" x14ac:dyDescent="0.25">
      <c r="A44" t="s">
        <v>3023</v>
      </c>
      <c r="B44" t="s">
        <v>3024</v>
      </c>
      <c r="C44">
        <v>43</v>
      </c>
      <c r="D44">
        <v>2</v>
      </c>
      <c r="E44">
        <v>1</v>
      </c>
      <c r="F44">
        <v>10</v>
      </c>
      <c r="G44">
        <v>41</v>
      </c>
      <c r="H44" t="s">
        <v>160</v>
      </c>
      <c r="I44" t="s">
        <v>160</v>
      </c>
      <c r="J44" t="s">
        <v>24</v>
      </c>
      <c r="K44" t="s">
        <v>239</v>
      </c>
      <c r="L44" t="s">
        <v>43</v>
      </c>
      <c r="M44">
        <v>0</v>
      </c>
      <c r="N44">
        <v>19</v>
      </c>
      <c r="O44">
        <v>28</v>
      </c>
      <c r="P44">
        <v>0</v>
      </c>
      <c r="Q44">
        <v>19</v>
      </c>
    </row>
    <row r="45" spans="1:17" hidden="1" x14ac:dyDescent="0.25">
      <c r="A45" t="s">
        <v>3025</v>
      </c>
      <c r="B45" t="s">
        <v>3026</v>
      </c>
      <c r="C45">
        <v>44</v>
      </c>
      <c r="D45">
        <v>404</v>
      </c>
      <c r="E45">
        <v>1</v>
      </c>
      <c r="F45">
        <v>11</v>
      </c>
      <c r="G45">
        <v>42</v>
      </c>
      <c r="H45" t="s">
        <v>160</v>
      </c>
      <c r="I45" t="s">
        <v>160</v>
      </c>
      <c r="J45" t="s">
        <v>24</v>
      </c>
      <c r="K45" t="s">
        <v>331</v>
      </c>
      <c r="L45" t="s">
        <v>505</v>
      </c>
      <c r="M45">
        <v>0</v>
      </c>
      <c r="N45">
        <v>19</v>
      </c>
      <c r="O45">
        <v>28</v>
      </c>
      <c r="P45">
        <v>0</v>
      </c>
      <c r="Q45">
        <v>19</v>
      </c>
    </row>
    <row r="46" spans="1:17" hidden="1" x14ac:dyDescent="0.25">
      <c r="A46" t="s">
        <v>3027</v>
      </c>
      <c r="B46" t="s">
        <v>3028</v>
      </c>
      <c r="C46">
        <v>45</v>
      </c>
      <c r="D46">
        <v>374</v>
      </c>
      <c r="E46">
        <v>1</v>
      </c>
      <c r="F46">
        <v>26</v>
      </c>
      <c r="G46">
        <v>43</v>
      </c>
      <c r="H46" t="s">
        <v>67</v>
      </c>
      <c r="I46" t="s">
        <v>67</v>
      </c>
      <c r="J46" t="s">
        <v>24</v>
      </c>
      <c r="K46" t="s">
        <v>411</v>
      </c>
      <c r="L46" t="s">
        <v>12</v>
      </c>
      <c r="M46">
        <v>0</v>
      </c>
      <c r="N46">
        <v>19</v>
      </c>
      <c r="O46">
        <v>36</v>
      </c>
      <c r="P46">
        <v>0</v>
      </c>
      <c r="Q46">
        <v>19</v>
      </c>
    </row>
    <row r="47" spans="1:17" hidden="1" x14ac:dyDescent="0.25">
      <c r="A47" t="s">
        <v>3029</v>
      </c>
      <c r="B47" t="s">
        <v>3030</v>
      </c>
      <c r="C47">
        <v>46</v>
      </c>
      <c r="D47">
        <v>340</v>
      </c>
      <c r="E47">
        <v>1</v>
      </c>
      <c r="F47">
        <v>12</v>
      </c>
      <c r="G47">
        <v>44</v>
      </c>
      <c r="H47" t="s">
        <v>160</v>
      </c>
      <c r="I47" t="s">
        <v>160</v>
      </c>
      <c r="J47" t="s">
        <v>24</v>
      </c>
      <c r="K47" t="s">
        <v>2733</v>
      </c>
      <c r="L47" t="s">
        <v>108</v>
      </c>
      <c r="M47">
        <v>0</v>
      </c>
      <c r="N47">
        <v>19</v>
      </c>
      <c r="O47">
        <v>37</v>
      </c>
      <c r="P47">
        <v>0</v>
      </c>
      <c r="Q47">
        <v>19</v>
      </c>
    </row>
    <row r="48" spans="1:17" hidden="1" x14ac:dyDescent="0.25">
      <c r="A48" t="s">
        <v>3031</v>
      </c>
      <c r="B48" t="s">
        <v>3032</v>
      </c>
      <c r="C48">
        <v>47</v>
      </c>
      <c r="D48">
        <v>384</v>
      </c>
      <c r="E48">
        <v>1</v>
      </c>
      <c r="F48">
        <v>13</v>
      </c>
      <c r="G48">
        <v>45</v>
      </c>
      <c r="H48" t="s">
        <v>160</v>
      </c>
      <c r="I48" t="s">
        <v>160</v>
      </c>
      <c r="J48" t="s">
        <v>24</v>
      </c>
      <c r="K48" t="s">
        <v>903</v>
      </c>
      <c r="L48" t="s">
        <v>12</v>
      </c>
      <c r="M48">
        <v>0</v>
      </c>
      <c r="N48">
        <v>19</v>
      </c>
      <c r="O48">
        <v>38</v>
      </c>
      <c r="P48">
        <v>0</v>
      </c>
      <c r="Q48">
        <v>19</v>
      </c>
    </row>
    <row r="49" spans="1:17" hidden="1" x14ac:dyDescent="0.25">
      <c r="A49" t="s">
        <v>3033</v>
      </c>
      <c r="B49" t="s">
        <v>3034</v>
      </c>
      <c r="C49">
        <v>48</v>
      </c>
      <c r="D49">
        <v>334</v>
      </c>
      <c r="E49">
        <v>1</v>
      </c>
      <c r="F49">
        <v>3</v>
      </c>
      <c r="G49">
        <v>46</v>
      </c>
      <c r="H49" t="s">
        <v>161</v>
      </c>
      <c r="I49" t="s">
        <v>161</v>
      </c>
      <c r="J49" t="s">
        <v>24</v>
      </c>
      <c r="K49" t="s">
        <v>414</v>
      </c>
      <c r="L49" t="s">
        <v>155</v>
      </c>
      <c r="M49">
        <v>0</v>
      </c>
      <c r="N49">
        <v>19</v>
      </c>
      <c r="O49">
        <v>41</v>
      </c>
      <c r="P49">
        <v>0</v>
      </c>
      <c r="Q49">
        <v>19</v>
      </c>
    </row>
    <row r="50" spans="1:17" x14ac:dyDescent="0.25">
      <c r="A50" t="s">
        <v>3035</v>
      </c>
      <c r="B50" t="s">
        <v>3036</v>
      </c>
      <c r="C50">
        <v>49</v>
      </c>
      <c r="D50">
        <v>49</v>
      </c>
      <c r="E50">
        <v>1</v>
      </c>
      <c r="F50">
        <v>27</v>
      </c>
      <c r="G50">
        <v>47</v>
      </c>
      <c r="H50" t="s">
        <v>67</v>
      </c>
      <c r="I50" t="s">
        <v>67</v>
      </c>
      <c r="J50" t="s">
        <v>24</v>
      </c>
      <c r="K50" t="s">
        <v>2767</v>
      </c>
      <c r="L50" t="s">
        <v>154</v>
      </c>
      <c r="M50">
        <v>18</v>
      </c>
      <c r="N50">
        <v>19</v>
      </c>
      <c r="O50">
        <v>45</v>
      </c>
      <c r="P50">
        <v>0</v>
      </c>
      <c r="Q50">
        <v>19</v>
      </c>
    </row>
    <row r="51" spans="1:17" hidden="1" x14ac:dyDescent="0.25">
      <c r="A51" t="s">
        <v>3037</v>
      </c>
      <c r="B51" t="s">
        <v>3038</v>
      </c>
      <c r="C51">
        <v>50</v>
      </c>
      <c r="D51">
        <v>336</v>
      </c>
      <c r="E51">
        <v>1</v>
      </c>
      <c r="F51">
        <v>14</v>
      </c>
      <c r="G51">
        <v>48</v>
      </c>
      <c r="H51" t="s">
        <v>160</v>
      </c>
      <c r="I51" t="s">
        <v>160</v>
      </c>
      <c r="J51" t="s">
        <v>24</v>
      </c>
      <c r="K51" t="s">
        <v>1337</v>
      </c>
      <c r="L51" t="s">
        <v>12</v>
      </c>
      <c r="M51">
        <v>0</v>
      </c>
      <c r="N51">
        <v>19</v>
      </c>
      <c r="O51">
        <v>46</v>
      </c>
      <c r="P51">
        <v>0</v>
      </c>
      <c r="Q51">
        <v>19</v>
      </c>
    </row>
    <row r="52" spans="1:17" hidden="1" x14ac:dyDescent="0.25">
      <c r="A52" t="s">
        <v>3039</v>
      </c>
      <c r="B52" t="s">
        <v>3040</v>
      </c>
      <c r="C52">
        <v>51</v>
      </c>
      <c r="D52">
        <v>115</v>
      </c>
      <c r="E52">
        <v>1</v>
      </c>
      <c r="F52">
        <v>28</v>
      </c>
      <c r="G52">
        <v>49</v>
      </c>
      <c r="H52" t="s">
        <v>67</v>
      </c>
      <c r="I52" t="s">
        <v>67</v>
      </c>
      <c r="J52" t="s">
        <v>24</v>
      </c>
      <c r="K52" t="s">
        <v>767</v>
      </c>
      <c r="L52" t="s">
        <v>43</v>
      </c>
      <c r="M52">
        <v>0</v>
      </c>
      <c r="N52">
        <v>19</v>
      </c>
      <c r="O52">
        <v>48</v>
      </c>
      <c r="P52">
        <v>0</v>
      </c>
      <c r="Q52">
        <v>19</v>
      </c>
    </row>
    <row r="53" spans="1:17" hidden="1" x14ac:dyDescent="0.25">
      <c r="A53" t="s">
        <v>3041</v>
      </c>
      <c r="B53" t="s">
        <v>3042</v>
      </c>
      <c r="C53">
        <v>52</v>
      </c>
      <c r="D53">
        <v>69</v>
      </c>
      <c r="E53">
        <v>1</v>
      </c>
      <c r="F53">
        <v>29</v>
      </c>
      <c r="G53">
        <v>50</v>
      </c>
      <c r="H53" t="s">
        <v>67</v>
      </c>
      <c r="I53" t="s">
        <v>67</v>
      </c>
      <c r="J53" t="s">
        <v>24</v>
      </c>
      <c r="K53" t="s">
        <v>2199</v>
      </c>
      <c r="L53" t="s">
        <v>63</v>
      </c>
      <c r="M53">
        <v>0</v>
      </c>
      <c r="N53">
        <v>19</v>
      </c>
      <c r="O53">
        <v>49</v>
      </c>
      <c r="P53">
        <v>0</v>
      </c>
      <c r="Q53">
        <v>19</v>
      </c>
    </row>
    <row r="54" spans="1:17" hidden="1" x14ac:dyDescent="0.25">
      <c r="A54" t="s">
        <v>3043</v>
      </c>
      <c r="B54" t="s">
        <v>3044</v>
      </c>
      <c r="C54">
        <v>53</v>
      </c>
      <c r="D54">
        <v>80</v>
      </c>
      <c r="E54">
        <v>1</v>
      </c>
      <c r="F54">
        <v>30</v>
      </c>
      <c r="G54">
        <v>51</v>
      </c>
      <c r="H54" t="s">
        <v>67</v>
      </c>
      <c r="I54" t="s">
        <v>67</v>
      </c>
      <c r="J54" t="s">
        <v>24</v>
      </c>
      <c r="K54" t="s">
        <v>2925</v>
      </c>
      <c r="L54" t="s">
        <v>505</v>
      </c>
      <c r="M54">
        <v>0</v>
      </c>
      <c r="N54">
        <v>19</v>
      </c>
      <c r="O54">
        <v>53</v>
      </c>
      <c r="P54">
        <v>0</v>
      </c>
      <c r="Q54">
        <v>19</v>
      </c>
    </row>
    <row r="55" spans="1:17" hidden="1" x14ac:dyDescent="0.25">
      <c r="A55" t="s">
        <v>3045</v>
      </c>
      <c r="B55" t="s">
        <v>3046</v>
      </c>
      <c r="C55">
        <v>54</v>
      </c>
      <c r="D55">
        <v>136</v>
      </c>
      <c r="E55">
        <v>1</v>
      </c>
      <c r="F55">
        <v>31</v>
      </c>
      <c r="G55">
        <v>52</v>
      </c>
      <c r="H55" t="s">
        <v>67</v>
      </c>
      <c r="I55" t="s">
        <v>67</v>
      </c>
      <c r="J55" t="s">
        <v>24</v>
      </c>
      <c r="K55" t="s">
        <v>1905</v>
      </c>
      <c r="L55" t="s">
        <v>14</v>
      </c>
      <c r="M55">
        <v>0</v>
      </c>
      <c r="N55">
        <v>19</v>
      </c>
      <c r="O55">
        <v>53</v>
      </c>
      <c r="P55">
        <v>0</v>
      </c>
      <c r="Q55">
        <v>19</v>
      </c>
    </row>
    <row r="56" spans="1:17" hidden="1" x14ac:dyDescent="0.25">
      <c r="A56" t="s">
        <v>3047</v>
      </c>
      <c r="B56" t="s">
        <v>3048</v>
      </c>
      <c r="C56">
        <v>55</v>
      </c>
      <c r="D56">
        <v>417</v>
      </c>
      <c r="E56">
        <v>1</v>
      </c>
      <c r="F56">
        <v>15</v>
      </c>
      <c r="G56">
        <v>53</v>
      </c>
      <c r="H56" t="s">
        <v>160</v>
      </c>
      <c r="I56" t="s">
        <v>160</v>
      </c>
      <c r="J56" t="s">
        <v>24</v>
      </c>
      <c r="K56" t="s">
        <v>1522</v>
      </c>
      <c r="L56" t="s">
        <v>14</v>
      </c>
      <c r="M56">
        <v>0</v>
      </c>
      <c r="N56">
        <v>19</v>
      </c>
      <c r="O56">
        <v>58</v>
      </c>
      <c r="P56">
        <v>0</v>
      </c>
      <c r="Q56">
        <v>19</v>
      </c>
    </row>
    <row r="57" spans="1:17" hidden="1" x14ac:dyDescent="0.25">
      <c r="A57" t="s">
        <v>3049</v>
      </c>
      <c r="B57" t="s">
        <v>3050</v>
      </c>
      <c r="C57">
        <v>56</v>
      </c>
      <c r="D57">
        <v>9</v>
      </c>
      <c r="E57">
        <v>1</v>
      </c>
      <c r="F57">
        <v>32</v>
      </c>
      <c r="G57">
        <v>54</v>
      </c>
      <c r="H57" t="s">
        <v>67</v>
      </c>
      <c r="I57" t="s">
        <v>67</v>
      </c>
      <c r="J57" t="s">
        <v>24</v>
      </c>
      <c r="K57" t="s">
        <v>1119</v>
      </c>
      <c r="L57" t="s">
        <v>43</v>
      </c>
      <c r="M57">
        <v>0</v>
      </c>
      <c r="N57">
        <v>19</v>
      </c>
      <c r="O57">
        <v>59</v>
      </c>
      <c r="P57">
        <v>0</v>
      </c>
      <c r="Q57">
        <v>19</v>
      </c>
    </row>
    <row r="58" spans="1:17" hidden="1" x14ac:dyDescent="0.25">
      <c r="A58" t="s">
        <v>3051</v>
      </c>
      <c r="B58" t="s">
        <v>3052</v>
      </c>
      <c r="C58">
        <v>57</v>
      </c>
      <c r="D58">
        <v>497</v>
      </c>
      <c r="E58">
        <v>1</v>
      </c>
      <c r="F58">
        <v>16</v>
      </c>
      <c r="G58">
        <v>55</v>
      </c>
      <c r="H58" t="s">
        <v>160</v>
      </c>
      <c r="I58" t="s">
        <v>160</v>
      </c>
      <c r="J58" t="s">
        <v>24</v>
      </c>
      <c r="K58" t="s">
        <v>893</v>
      </c>
      <c r="L58" t="s">
        <v>12</v>
      </c>
      <c r="M58">
        <v>0</v>
      </c>
      <c r="N58">
        <v>20</v>
      </c>
      <c r="O58">
        <v>0</v>
      </c>
      <c r="P58">
        <v>0</v>
      </c>
      <c r="Q58">
        <v>20</v>
      </c>
    </row>
    <row r="59" spans="1:17" hidden="1" x14ac:dyDescent="0.25">
      <c r="A59" t="s">
        <v>3053</v>
      </c>
      <c r="B59" t="s">
        <v>36</v>
      </c>
      <c r="C59">
        <v>58</v>
      </c>
      <c r="D59">
        <v>451</v>
      </c>
      <c r="E59">
        <v>1</v>
      </c>
      <c r="F59">
        <v>6</v>
      </c>
      <c r="G59">
        <v>3</v>
      </c>
      <c r="H59" t="s">
        <v>591</v>
      </c>
      <c r="I59" t="s">
        <v>156</v>
      </c>
      <c r="J59" t="s">
        <v>23</v>
      </c>
      <c r="K59" t="s">
        <v>2749</v>
      </c>
      <c r="L59" t="s">
        <v>12</v>
      </c>
      <c r="M59">
        <v>0</v>
      </c>
      <c r="N59">
        <v>20</v>
      </c>
      <c r="O59">
        <v>3</v>
      </c>
      <c r="P59">
        <v>0</v>
      </c>
      <c r="Q59">
        <v>20</v>
      </c>
    </row>
    <row r="60" spans="1:17" hidden="1" x14ac:dyDescent="0.25">
      <c r="A60" t="s">
        <v>3054</v>
      </c>
      <c r="B60" t="s">
        <v>3055</v>
      </c>
      <c r="C60">
        <v>59</v>
      </c>
      <c r="D60">
        <v>472</v>
      </c>
      <c r="E60">
        <v>1</v>
      </c>
      <c r="F60">
        <v>4</v>
      </c>
      <c r="G60">
        <v>56</v>
      </c>
      <c r="H60" t="s">
        <v>161</v>
      </c>
      <c r="I60" t="s">
        <v>161</v>
      </c>
      <c r="J60" t="s">
        <v>24</v>
      </c>
      <c r="K60" t="s">
        <v>2202</v>
      </c>
      <c r="L60" t="s">
        <v>38</v>
      </c>
      <c r="M60">
        <v>0</v>
      </c>
      <c r="N60">
        <v>20</v>
      </c>
      <c r="O60">
        <v>6</v>
      </c>
      <c r="P60">
        <v>0</v>
      </c>
      <c r="Q60">
        <v>20</v>
      </c>
    </row>
    <row r="61" spans="1:17" hidden="1" x14ac:dyDescent="0.25">
      <c r="A61" t="s">
        <v>3056</v>
      </c>
      <c r="B61" t="s">
        <v>3057</v>
      </c>
      <c r="C61">
        <v>60</v>
      </c>
      <c r="D61">
        <v>39</v>
      </c>
      <c r="E61">
        <v>1</v>
      </c>
      <c r="F61">
        <v>33</v>
      </c>
      <c r="G61">
        <v>57</v>
      </c>
      <c r="H61" t="s">
        <v>67</v>
      </c>
      <c r="I61" t="s">
        <v>67</v>
      </c>
      <c r="J61" t="s">
        <v>24</v>
      </c>
      <c r="K61" t="s">
        <v>2201</v>
      </c>
      <c r="L61" t="s">
        <v>12</v>
      </c>
      <c r="M61">
        <v>0</v>
      </c>
      <c r="N61">
        <v>20</v>
      </c>
      <c r="O61">
        <v>10</v>
      </c>
      <c r="P61">
        <v>0</v>
      </c>
      <c r="Q61">
        <v>20</v>
      </c>
    </row>
    <row r="62" spans="1:17" hidden="1" x14ac:dyDescent="0.25">
      <c r="A62" t="s">
        <v>3058</v>
      </c>
      <c r="B62" t="s">
        <v>3059</v>
      </c>
      <c r="C62">
        <v>61</v>
      </c>
      <c r="D62">
        <v>484</v>
      </c>
      <c r="E62">
        <v>1</v>
      </c>
      <c r="F62">
        <v>17</v>
      </c>
      <c r="G62">
        <v>58</v>
      </c>
      <c r="H62" t="s">
        <v>160</v>
      </c>
      <c r="I62" t="s">
        <v>160</v>
      </c>
      <c r="J62" t="s">
        <v>24</v>
      </c>
      <c r="K62" t="s">
        <v>1352</v>
      </c>
      <c r="L62" t="s">
        <v>12</v>
      </c>
      <c r="M62">
        <v>0</v>
      </c>
      <c r="N62">
        <v>20</v>
      </c>
      <c r="O62">
        <v>15</v>
      </c>
      <c r="P62">
        <v>0</v>
      </c>
      <c r="Q62">
        <v>20</v>
      </c>
    </row>
    <row r="63" spans="1:17" hidden="1" x14ac:dyDescent="0.25">
      <c r="A63" t="s">
        <v>3060</v>
      </c>
      <c r="B63" t="s">
        <v>3061</v>
      </c>
      <c r="C63">
        <v>62</v>
      </c>
      <c r="D63">
        <v>401</v>
      </c>
      <c r="E63">
        <v>1</v>
      </c>
      <c r="F63">
        <v>18</v>
      </c>
      <c r="G63">
        <v>59</v>
      </c>
      <c r="H63" t="s">
        <v>160</v>
      </c>
      <c r="I63" t="s">
        <v>160</v>
      </c>
      <c r="J63" t="s">
        <v>24</v>
      </c>
      <c r="K63" t="s">
        <v>2452</v>
      </c>
      <c r="L63" t="s">
        <v>12</v>
      </c>
      <c r="M63">
        <v>0</v>
      </c>
      <c r="N63">
        <v>20</v>
      </c>
      <c r="O63">
        <v>17</v>
      </c>
      <c r="P63">
        <v>0</v>
      </c>
      <c r="Q63">
        <v>20</v>
      </c>
    </row>
    <row r="64" spans="1:17" hidden="1" x14ac:dyDescent="0.25">
      <c r="A64" t="s">
        <v>3062</v>
      </c>
      <c r="B64" t="s">
        <v>3063</v>
      </c>
      <c r="C64">
        <v>63</v>
      </c>
      <c r="D64">
        <v>47</v>
      </c>
      <c r="E64">
        <v>1</v>
      </c>
      <c r="F64">
        <v>34</v>
      </c>
      <c r="G64">
        <v>60</v>
      </c>
      <c r="H64" t="s">
        <v>67</v>
      </c>
      <c r="I64" t="s">
        <v>67</v>
      </c>
      <c r="J64" t="s">
        <v>24</v>
      </c>
      <c r="K64" t="s">
        <v>244</v>
      </c>
      <c r="L64" t="s">
        <v>63</v>
      </c>
      <c r="M64">
        <v>0</v>
      </c>
      <c r="N64">
        <v>20</v>
      </c>
      <c r="O64">
        <v>18</v>
      </c>
      <c r="P64">
        <v>0</v>
      </c>
      <c r="Q64">
        <v>20</v>
      </c>
    </row>
    <row r="65" spans="1:17" x14ac:dyDescent="0.25">
      <c r="A65" t="s">
        <v>3064</v>
      </c>
      <c r="B65" t="s">
        <v>3065</v>
      </c>
      <c r="C65">
        <v>64</v>
      </c>
      <c r="D65">
        <v>427</v>
      </c>
      <c r="E65">
        <v>1</v>
      </c>
      <c r="F65">
        <v>35</v>
      </c>
      <c r="G65">
        <v>61</v>
      </c>
      <c r="H65" t="s">
        <v>67</v>
      </c>
      <c r="I65" t="s">
        <v>67</v>
      </c>
      <c r="J65" t="s">
        <v>24</v>
      </c>
      <c r="K65" t="s">
        <v>2325</v>
      </c>
      <c r="L65" t="s">
        <v>154</v>
      </c>
      <c r="M65">
        <v>17</v>
      </c>
      <c r="N65">
        <v>20</v>
      </c>
      <c r="O65">
        <v>19</v>
      </c>
      <c r="P65">
        <v>0</v>
      </c>
      <c r="Q65">
        <v>20</v>
      </c>
    </row>
    <row r="66" spans="1:17" hidden="1" x14ac:dyDescent="0.25">
      <c r="A66" t="s">
        <v>3066</v>
      </c>
      <c r="B66" t="s">
        <v>3067</v>
      </c>
      <c r="C66">
        <v>65</v>
      </c>
      <c r="D66">
        <v>402</v>
      </c>
      <c r="E66">
        <v>1</v>
      </c>
      <c r="F66">
        <v>36</v>
      </c>
      <c r="G66">
        <v>62</v>
      </c>
      <c r="H66" t="s">
        <v>67</v>
      </c>
      <c r="I66" t="s">
        <v>67</v>
      </c>
      <c r="J66" t="s">
        <v>24</v>
      </c>
      <c r="K66" t="s">
        <v>2742</v>
      </c>
      <c r="L66" t="s">
        <v>38</v>
      </c>
      <c r="M66">
        <v>0</v>
      </c>
      <c r="N66">
        <v>20</v>
      </c>
      <c r="O66">
        <v>20</v>
      </c>
      <c r="P66">
        <v>0</v>
      </c>
      <c r="Q66">
        <v>20</v>
      </c>
    </row>
    <row r="67" spans="1:17" hidden="1" x14ac:dyDescent="0.25">
      <c r="A67" t="s">
        <v>3068</v>
      </c>
      <c r="B67" t="s">
        <v>3069</v>
      </c>
      <c r="C67">
        <v>66</v>
      </c>
      <c r="D67">
        <v>486</v>
      </c>
      <c r="E67">
        <v>1</v>
      </c>
      <c r="F67">
        <v>5</v>
      </c>
      <c r="G67">
        <v>63</v>
      </c>
      <c r="H67" t="s">
        <v>161</v>
      </c>
      <c r="I67" t="s">
        <v>161</v>
      </c>
      <c r="J67" t="s">
        <v>24</v>
      </c>
      <c r="K67" t="s">
        <v>180</v>
      </c>
      <c r="L67" t="s">
        <v>12</v>
      </c>
      <c r="M67">
        <v>0</v>
      </c>
      <c r="N67">
        <v>20</v>
      </c>
      <c r="O67">
        <v>21</v>
      </c>
      <c r="P67">
        <v>0</v>
      </c>
      <c r="Q67">
        <v>20</v>
      </c>
    </row>
    <row r="68" spans="1:17" hidden="1" x14ac:dyDescent="0.25">
      <c r="A68" t="s">
        <v>3070</v>
      </c>
      <c r="B68" t="s">
        <v>3071</v>
      </c>
      <c r="C68">
        <v>67</v>
      </c>
      <c r="D68">
        <v>95</v>
      </c>
      <c r="E68">
        <v>1</v>
      </c>
      <c r="F68">
        <v>2</v>
      </c>
      <c r="G68">
        <v>64</v>
      </c>
      <c r="H68" t="s">
        <v>162</v>
      </c>
      <c r="I68" t="s">
        <v>162</v>
      </c>
      <c r="J68" t="s">
        <v>24</v>
      </c>
      <c r="K68" t="s">
        <v>999</v>
      </c>
      <c r="L68" t="s">
        <v>12</v>
      </c>
      <c r="M68">
        <v>0</v>
      </c>
      <c r="N68">
        <v>20</v>
      </c>
      <c r="O68">
        <v>27</v>
      </c>
      <c r="P68">
        <v>0</v>
      </c>
      <c r="Q68">
        <v>20</v>
      </c>
    </row>
    <row r="69" spans="1:17" hidden="1" x14ac:dyDescent="0.25">
      <c r="A69" t="s">
        <v>3072</v>
      </c>
      <c r="B69" t="s">
        <v>3073</v>
      </c>
      <c r="C69">
        <v>68</v>
      </c>
      <c r="D69">
        <v>368</v>
      </c>
      <c r="E69">
        <v>1</v>
      </c>
      <c r="F69">
        <v>19</v>
      </c>
      <c r="G69">
        <v>65</v>
      </c>
      <c r="H69" t="s">
        <v>160</v>
      </c>
      <c r="I69" t="s">
        <v>160</v>
      </c>
      <c r="J69" t="s">
        <v>24</v>
      </c>
      <c r="K69" t="s">
        <v>2738</v>
      </c>
      <c r="L69" t="s">
        <v>12</v>
      </c>
      <c r="M69">
        <v>0</v>
      </c>
      <c r="N69">
        <v>20</v>
      </c>
      <c r="O69">
        <v>30</v>
      </c>
      <c r="P69">
        <v>0</v>
      </c>
      <c r="Q69">
        <v>20</v>
      </c>
    </row>
    <row r="70" spans="1:17" hidden="1" x14ac:dyDescent="0.25">
      <c r="A70" t="s">
        <v>3074</v>
      </c>
      <c r="B70" t="s">
        <v>3075</v>
      </c>
      <c r="C70">
        <v>69</v>
      </c>
      <c r="D70">
        <v>128</v>
      </c>
      <c r="E70">
        <v>1</v>
      </c>
      <c r="F70">
        <v>37</v>
      </c>
      <c r="G70">
        <v>66</v>
      </c>
      <c r="H70" t="s">
        <v>67</v>
      </c>
      <c r="I70" t="s">
        <v>67</v>
      </c>
      <c r="J70" t="s">
        <v>24</v>
      </c>
      <c r="K70" t="s">
        <v>2940</v>
      </c>
      <c r="L70" t="s">
        <v>14</v>
      </c>
      <c r="M70">
        <v>0</v>
      </c>
      <c r="N70">
        <v>20</v>
      </c>
      <c r="O70">
        <v>31</v>
      </c>
      <c r="P70">
        <v>0</v>
      </c>
      <c r="Q70">
        <v>20</v>
      </c>
    </row>
    <row r="71" spans="1:17" hidden="1" x14ac:dyDescent="0.25">
      <c r="A71" t="s">
        <v>3076</v>
      </c>
      <c r="B71" t="s">
        <v>3077</v>
      </c>
      <c r="C71">
        <v>70</v>
      </c>
      <c r="D71">
        <v>4</v>
      </c>
      <c r="E71">
        <v>1</v>
      </c>
      <c r="F71">
        <v>20</v>
      </c>
      <c r="G71">
        <v>67</v>
      </c>
      <c r="H71" t="s">
        <v>160</v>
      </c>
      <c r="I71" t="s">
        <v>160</v>
      </c>
      <c r="J71" t="s">
        <v>24</v>
      </c>
      <c r="K71" t="s">
        <v>1789</v>
      </c>
      <c r="L71" t="s">
        <v>43</v>
      </c>
      <c r="M71">
        <v>0</v>
      </c>
      <c r="N71">
        <v>20</v>
      </c>
      <c r="O71">
        <v>33</v>
      </c>
      <c r="P71">
        <v>0</v>
      </c>
      <c r="Q71">
        <v>20</v>
      </c>
    </row>
    <row r="72" spans="1:17" hidden="1" x14ac:dyDescent="0.25">
      <c r="A72" t="s">
        <v>3078</v>
      </c>
      <c r="B72" t="s">
        <v>3079</v>
      </c>
      <c r="C72">
        <v>71</v>
      </c>
      <c r="D72">
        <v>57</v>
      </c>
      <c r="E72">
        <v>1</v>
      </c>
      <c r="F72">
        <v>21</v>
      </c>
      <c r="G72">
        <v>68</v>
      </c>
      <c r="H72" t="s">
        <v>160</v>
      </c>
      <c r="I72" t="s">
        <v>160</v>
      </c>
      <c r="J72" t="s">
        <v>24</v>
      </c>
      <c r="K72" t="s">
        <v>2206</v>
      </c>
      <c r="L72" t="s">
        <v>12</v>
      </c>
      <c r="M72">
        <v>0</v>
      </c>
      <c r="N72">
        <v>20</v>
      </c>
      <c r="O72">
        <v>35</v>
      </c>
      <c r="P72">
        <v>0</v>
      </c>
      <c r="Q72">
        <v>20</v>
      </c>
    </row>
    <row r="73" spans="1:17" hidden="1" x14ac:dyDescent="0.25">
      <c r="A73" t="s">
        <v>3080</v>
      </c>
      <c r="B73" t="s">
        <v>3081</v>
      </c>
      <c r="C73">
        <v>72</v>
      </c>
      <c r="D73">
        <v>328</v>
      </c>
      <c r="E73">
        <v>1</v>
      </c>
      <c r="F73">
        <v>6</v>
      </c>
      <c r="G73">
        <v>69</v>
      </c>
      <c r="H73" t="s">
        <v>161</v>
      </c>
      <c r="I73" t="s">
        <v>161</v>
      </c>
      <c r="J73" t="s">
        <v>24</v>
      </c>
      <c r="K73" t="s">
        <v>186</v>
      </c>
      <c r="L73" t="s">
        <v>12</v>
      </c>
      <c r="M73">
        <v>0</v>
      </c>
      <c r="N73">
        <v>20</v>
      </c>
      <c r="O73">
        <v>37</v>
      </c>
      <c r="P73">
        <v>0</v>
      </c>
      <c r="Q73">
        <v>20</v>
      </c>
    </row>
    <row r="74" spans="1:17" x14ac:dyDescent="0.25">
      <c r="A74" t="s">
        <v>166</v>
      </c>
      <c r="B74" t="s">
        <v>3082</v>
      </c>
      <c r="C74">
        <v>73</v>
      </c>
      <c r="D74">
        <v>365</v>
      </c>
      <c r="E74">
        <v>1</v>
      </c>
      <c r="F74">
        <v>1</v>
      </c>
      <c r="G74">
        <v>4</v>
      </c>
      <c r="H74" t="s">
        <v>157</v>
      </c>
      <c r="I74" t="s">
        <v>157</v>
      </c>
      <c r="J74" t="s">
        <v>23</v>
      </c>
      <c r="K74" t="s">
        <v>1883</v>
      </c>
      <c r="L74" t="s">
        <v>154</v>
      </c>
      <c r="M74">
        <v>20</v>
      </c>
      <c r="N74">
        <v>20</v>
      </c>
      <c r="O74">
        <v>38</v>
      </c>
      <c r="P74">
        <v>0</v>
      </c>
      <c r="Q74">
        <v>20</v>
      </c>
    </row>
    <row r="75" spans="1:17" hidden="1" x14ac:dyDescent="0.25">
      <c r="A75" t="s">
        <v>3083</v>
      </c>
      <c r="B75" t="s">
        <v>3084</v>
      </c>
      <c r="C75">
        <v>74</v>
      </c>
      <c r="D75">
        <v>114</v>
      </c>
      <c r="E75">
        <v>1</v>
      </c>
      <c r="F75">
        <v>7</v>
      </c>
      <c r="G75">
        <v>70</v>
      </c>
      <c r="H75" t="s">
        <v>161</v>
      </c>
      <c r="I75" t="s">
        <v>161</v>
      </c>
      <c r="J75" t="s">
        <v>24</v>
      </c>
      <c r="K75" t="s">
        <v>270</v>
      </c>
      <c r="L75" t="s">
        <v>43</v>
      </c>
      <c r="M75">
        <v>0</v>
      </c>
      <c r="N75">
        <v>20</v>
      </c>
      <c r="O75">
        <v>38</v>
      </c>
      <c r="P75">
        <v>0</v>
      </c>
      <c r="Q75">
        <v>20</v>
      </c>
    </row>
    <row r="76" spans="1:17" hidden="1" x14ac:dyDescent="0.25">
      <c r="A76" t="s">
        <v>3085</v>
      </c>
      <c r="B76" t="s">
        <v>3086</v>
      </c>
      <c r="C76">
        <v>75</v>
      </c>
      <c r="D76">
        <v>123</v>
      </c>
      <c r="E76">
        <v>1</v>
      </c>
      <c r="F76">
        <v>38</v>
      </c>
      <c r="G76">
        <v>71</v>
      </c>
      <c r="H76" t="s">
        <v>67</v>
      </c>
      <c r="I76" t="s">
        <v>67</v>
      </c>
      <c r="J76" t="s">
        <v>24</v>
      </c>
      <c r="K76" t="s">
        <v>772</v>
      </c>
      <c r="L76" t="s">
        <v>38</v>
      </c>
      <c r="M76">
        <v>0</v>
      </c>
      <c r="N76">
        <v>20</v>
      </c>
      <c r="O76">
        <v>39</v>
      </c>
      <c r="P76">
        <v>0</v>
      </c>
      <c r="Q76">
        <v>20</v>
      </c>
    </row>
    <row r="77" spans="1:17" hidden="1" x14ac:dyDescent="0.25">
      <c r="A77" t="s">
        <v>3087</v>
      </c>
      <c r="B77" t="s">
        <v>3088</v>
      </c>
      <c r="C77">
        <v>76</v>
      </c>
      <c r="D77">
        <v>147</v>
      </c>
      <c r="E77">
        <v>1</v>
      </c>
      <c r="F77">
        <v>39</v>
      </c>
      <c r="G77">
        <v>72</v>
      </c>
      <c r="H77" t="s">
        <v>67</v>
      </c>
      <c r="I77" t="s">
        <v>67</v>
      </c>
      <c r="J77" t="s">
        <v>24</v>
      </c>
      <c r="K77" t="s">
        <v>1785</v>
      </c>
      <c r="L77" t="s">
        <v>12</v>
      </c>
      <c r="M77">
        <v>0</v>
      </c>
      <c r="N77">
        <v>20</v>
      </c>
      <c r="O77">
        <v>40</v>
      </c>
      <c r="P77">
        <v>0</v>
      </c>
      <c r="Q77">
        <v>20</v>
      </c>
    </row>
    <row r="78" spans="1:17" hidden="1" x14ac:dyDescent="0.25">
      <c r="A78" t="s">
        <v>3089</v>
      </c>
      <c r="B78" t="s">
        <v>3090</v>
      </c>
      <c r="C78">
        <v>77</v>
      </c>
      <c r="D78">
        <v>355</v>
      </c>
      <c r="E78">
        <v>1</v>
      </c>
      <c r="F78">
        <v>8</v>
      </c>
      <c r="G78">
        <v>73</v>
      </c>
      <c r="H78" t="s">
        <v>161</v>
      </c>
      <c r="I78" t="s">
        <v>161</v>
      </c>
      <c r="J78" t="s">
        <v>24</v>
      </c>
      <c r="K78" t="s">
        <v>1762</v>
      </c>
      <c r="L78" t="s">
        <v>108</v>
      </c>
      <c r="M78">
        <v>0</v>
      </c>
      <c r="N78">
        <v>20</v>
      </c>
      <c r="O78">
        <v>42</v>
      </c>
      <c r="P78">
        <v>0</v>
      </c>
      <c r="Q78">
        <v>20</v>
      </c>
    </row>
    <row r="79" spans="1:17" hidden="1" x14ac:dyDescent="0.25">
      <c r="A79" t="s">
        <v>3091</v>
      </c>
      <c r="B79" t="s">
        <v>3092</v>
      </c>
      <c r="C79">
        <v>78</v>
      </c>
      <c r="D79">
        <v>32</v>
      </c>
      <c r="E79">
        <v>1</v>
      </c>
      <c r="F79">
        <v>3</v>
      </c>
      <c r="G79">
        <v>74</v>
      </c>
      <c r="H79" t="s">
        <v>162</v>
      </c>
      <c r="I79" t="s">
        <v>162</v>
      </c>
      <c r="J79" t="s">
        <v>24</v>
      </c>
      <c r="K79" t="s">
        <v>1911</v>
      </c>
      <c r="L79" t="s">
        <v>14</v>
      </c>
      <c r="M79">
        <v>0</v>
      </c>
      <c r="N79">
        <v>20</v>
      </c>
      <c r="O79">
        <v>45</v>
      </c>
      <c r="P79">
        <v>0</v>
      </c>
      <c r="Q79">
        <v>20</v>
      </c>
    </row>
    <row r="80" spans="1:17" x14ac:dyDescent="0.25">
      <c r="A80" t="s">
        <v>3093</v>
      </c>
      <c r="B80" t="s">
        <v>3094</v>
      </c>
      <c r="C80">
        <v>79</v>
      </c>
      <c r="D80">
        <v>118</v>
      </c>
      <c r="E80">
        <v>1</v>
      </c>
      <c r="F80">
        <v>4</v>
      </c>
      <c r="G80">
        <v>75</v>
      </c>
      <c r="H80" t="s">
        <v>162</v>
      </c>
      <c r="I80" t="s">
        <v>162</v>
      </c>
      <c r="J80" t="s">
        <v>24</v>
      </c>
      <c r="K80" s="191" t="s">
        <v>2933</v>
      </c>
      <c r="L80" s="48" t="s">
        <v>154</v>
      </c>
      <c r="M80">
        <v>0</v>
      </c>
      <c r="N80">
        <v>20</v>
      </c>
      <c r="O80">
        <v>46</v>
      </c>
      <c r="P80">
        <v>0</v>
      </c>
      <c r="Q80">
        <v>20</v>
      </c>
    </row>
    <row r="81" spans="1:17" hidden="1" x14ac:dyDescent="0.25">
      <c r="A81" t="s">
        <v>3095</v>
      </c>
      <c r="B81" t="s">
        <v>3096</v>
      </c>
      <c r="C81">
        <v>80</v>
      </c>
      <c r="D81">
        <v>103</v>
      </c>
      <c r="E81">
        <v>1</v>
      </c>
      <c r="F81">
        <v>22</v>
      </c>
      <c r="G81">
        <v>76</v>
      </c>
      <c r="H81" t="s">
        <v>160</v>
      </c>
      <c r="I81" t="s">
        <v>160</v>
      </c>
      <c r="J81" t="s">
        <v>24</v>
      </c>
      <c r="K81" t="s">
        <v>2137</v>
      </c>
      <c r="L81" t="s">
        <v>12</v>
      </c>
      <c r="M81">
        <v>0</v>
      </c>
      <c r="N81">
        <v>20</v>
      </c>
      <c r="O81">
        <v>46</v>
      </c>
      <c r="P81">
        <v>0</v>
      </c>
      <c r="Q81">
        <v>20</v>
      </c>
    </row>
    <row r="82" spans="1:17" hidden="1" x14ac:dyDescent="0.25">
      <c r="A82" t="s">
        <v>3097</v>
      </c>
      <c r="B82" t="s">
        <v>3098</v>
      </c>
      <c r="C82">
        <v>81</v>
      </c>
      <c r="D82">
        <v>148</v>
      </c>
      <c r="E82">
        <v>1</v>
      </c>
      <c r="F82">
        <v>23</v>
      </c>
      <c r="G82">
        <v>77</v>
      </c>
      <c r="H82" t="s">
        <v>160</v>
      </c>
      <c r="I82" t="s">
        <v>160</v>
      </c>
      <c r="J82" t="s">
        <v>24</v>
      </c>
      <c r="K82" t="s">
        <v>2945</v>
      </c>
      <c r="L82" t="s">
        <v>10</v>
      </c>
      <c r="M82">
        <v>0</v>
      </c>
      <c r="N82">
        <v>20</v>
      </c>
      <c r="O82">
        <v>49</v>
      </c>
      <c r="P82">
        <v>0</v>
      </c>
      <c r="Q82">
        <v>20</v>
      </c>
    </row>
    <row r="83" spans="1:17" hidden="1" x14ac:dyDescent="0.25">
      <c r="A83" t="s">
        <v>3099</v>
      </c>
      <c r="B83" t="s">
        <v>3100</v>
      </c>
      <c r="C83">
        <v>82</v>
      </c>
      <c r="D83">
        <v>461</v>
      </c>
      <c r="E83">
        <v>1</v>
      </c>
      <c r="F83">
        <v>24</v>
      </c>
      <c r="G83">
        <v>78</v>
      </c>
      <c r="H83" t="s">
        <v>160</v>
      </c>
      <c r="I83" t="s">
        <v>160</v>
      </c>
      <c r="J83" t="s">
        <v>24</v>
      </c>
      <c r="K83" t="s">
        <v>2752</v>
      </c>
      <c r="L83" t="s">
        <v>12</v>
      </c>
      <c r="M83">
        <v>0</v>
      </c>
      <c r="N83">
        <v>20</v>
      </c>
      <c r="O83">
        <v>50</v>
      </c>
      <c r="P83">
        <v>0</v>
      </c>
      <c r="Q83">
        <v>20</v>
      </c>
    </row>
    <row r="84" spans="1:17" hidden="1" x14ac:dyDescent="0.25">
      <c r="A84" t="s">
        <v>3101</v>
      </c>
      <c r="B84" t="s">
        <v>3102</v>
      </c>
      <c r="C84">
        <v>83</v>
      </c>
      <c r="D84">
        <v>420</v>
      </c>
      <c r="E84">
        <v>1</v>
      </c>
      <c r="F84">
        <v>2</v>
      </c>
      <c r="G84">
        <v>5</v>
      </c>
      <c r="H84" t="s">
        <v>157</v>
      </c>
      <c r="I84" t="s">
        <v>157</v>
      </c>
      <c r="J84" t="s">
        <v>23</v>
      </c>
      <c r="K84" t="s">
        <v>2124</v>
      </c>
      <c r="L84" t="s">
        <v>12</v>
      </c>
      <c r="M84">
        <v>0</v>
      </c>
      <c r="N84">
        <v>20</v>
      </c>
      <c r="O84">
        <v>51</v>
      </c>
      <c r="P84">
        <v>0</v>
      </c>
      <c r="Q84">
        <v>20</v>
      </c>
    </row>
    <row r="85" spans="1:17" hidden="1" x14ac:dyDescent="0.25">
      <c r="A85" t="s">
        <v>3103</v>
      </c>
      <c r="B85" t="s">
        <v>3104</v>
      </c>
      <c r="C85">
        <v>84</v>
      </c>
      <c r="D85">
        <v>38</v>
      </c>
      <c r="E85">
        <v>1</v>
      </c>
      <c r="F85">
        <v>9</v>
      </c>
      <c r="G85">
        <v>79</v>
      </c>
      <c r="H85" t="s">
        <v>161</v>
      </c>
      <c r="I85" t="s">
        <v>161</v>
      </c>
      <c r="J85" t="s">
        <v>24</v>
      </c>
      <c r="K85" t="s">
        <v>261</v>
      </c>
      <c r="L85" t="s">
        <v>12</v>
      </c>
      <c r="M85">
        <v>0</v>
      </c>
      <c r="N85">
        <v>20</v>
      </c>
      <c r="O85">
        <v>52</v>
      </c>
      <c r="P85">
        <v>0</v>
      </c>
      <c r="Q85">
        <v>20</v>
      </c>
    </row>
    <row r="86" spans="1:17" hidden="1" x14ac:dyDescent="0.25">
      <c r="A86" t="s">
        <v>3105</v>
      </c>
      <c r="B86" t="s">
        <v>3106</v>
      </c>
      <c r="C86">
        <v>85</v>
      </c>
      <c r="D86">
        <v>50</v>
      </c>
      <c r="E86">
        <v>1</v>
      </c>
      <c r="F86">
        <v>1</v>
      </c>
      <c r="G86">
        <v>6</v>
      </c>
      <c r="H86" t="s">
        <v>156</v>
      </c>
      <c r="I86" t="s">
        <v>156</v>
      </c>
      <c r="J86" t="s">
        <v>23</v>
      </c>
      <c r="K86" t="s">
        <v>2448</v>
      </c>
      <c r="L86" t="s">
        <v>2262</v>
      </c>
      <c r="M86">
        <v>0</v>
      </c>
      <c r="N86">
        <v>20</v>
      </c>
      <c r="O86">
        <v>52</v>
      </c>
      <c r="P86">
        <v>0</v>
      </c>
      <c r="Q86">
        <v>20</v>
      </c>
    </row>
    <row r="87" spans="1:17" hidden="1" x14ac:dyDescent="0.25">
      <c r="A87" t="s">
        <v>3107</v>
      </c>
      <c r="B87" t="s">
        <v>3108</v>
      </c>
      <c r="C87">
        <v>86</v>
      </c>
      <c r="D87">
        <v>117</v>
      </c>
      <c r="E87">
        <v>1</v>
      </c>
      <c r="F87">
        <v>25</v>
      </c>
      <c r="G87">
        <v>80</v>
      </c>
      <c r="H87" t="s">
        <v>160</v>
      </c>
      <c r="I87" t="s">
        <v>160</v>
      </c>
      <c r="J87" t="s">
        <v>24</v>
      </c>
      <c r="K87" t="s">
        <v>368</v>
      </c>
      <c r="L87" t="s">
        <v>108</v>
      </c>
      <c r="M87">
        <v>0</v>
      </c>
      <c r="N87">
        <v>20</v>
      </c>
      <c r="O87">
        <v>56</v>
      </c>
      <c r="P87">
        <v>0</v>
      </c>
      <c r="Q87">
        <v>20</v>
      </c>
    </row>
    <row r="88" spans="1:17" hidden="1" x14ac:dyDescent="0.25">
      <c r="A88" t="s">
        <v>3109</v>
      </c>
      <c r="B88" t="s">
        <v>3110</v>
      </c>
      <c r="C88">
        <v>87</v>
      </c>
      <c r="D88">
        <v>58</v>
      </c>
      <c r="E88">
        <v>1</v>
      </c>
      <c r="F88">
        <v>26</v>
      </c>
      <c r="G88">
        <v>81</v>
      </c>
      <c r="H88" t="s">
        <v>160</v>
      </c>
      <c r="I88" t="s">
        <v>160</v>
      </c>
      <c r="J88" t="s">
        <v>24</v>
      </c>
      <c r="K88" t="s">
        <v>2770</v>
      </c>
      <c r="L88" t="s">
        <v>2771</v>
      </c>
      <c r="M88">
        <v>0</v>
      </c>
      <c r="N88">
        <v>20</v>
      </c>
      <c r="O88">
        <v>57</v>
      </c>
      <c r="P88">
        <v>0</v>
      </c>
      <c r="Q88">
        <v>20</v>
      </c>
    </row>
    <row r="89" spans="1:17" hidden="1" x14ac:dyDescent="0.25">
      <c r="A89" t="s">
        <v>3111</v>
      </c>
      <c r="B89" t="s">
        <v>3112</v>
      </c>
      <c r="C89">
        <v>88</v>
      </c>
      <c r="D89">
        <v>146</v>
      </c>
      <c r="E89">
        <v>1</v>
      </c>
      <c r="F89">
        <v>40</v>
      </c>
      <c r="G89">
        <v>82</v>
      </c>
      <c r="H89" t="s">
        <v>67</v>
      </c>
      <c r="I89" t="s">
        <v>67</v>
      </c>
      <c r="J89" t="s">
        <v>24</v>
      </c>
      <c r="K89" t="s">
        <v>780</v>
      </c>
      <c r="L89" t="s">
        <v>155</v>
      </c>
      <c r="M89">
        <v>0</v>
      </c>
      <c r="N89">
        <v>21</v>
      </c>
      <c r="O89">
        <v>0</v>
      </c>
      <c r="P89">
        <v>0</v>
      </c>
      <c r="Q89">
        <v>21</v>
      </c>
    </row>
    <row r="90" spans="1:17" hidden="1" x14ac:dyDescent="0.25">
      <c r="A90" t="s">
        <v>3113</v>
      </c>
      <c r="B90" t="s">
        <v>3114</v>
      </c>
      <c r="C90">
        <v>89</v>
      </c>
      <c r="D90">
        <v>66</v>
      </c>
      <c r="E90">
        <v>1</v>
      </c>
      <c r="F90">
        <v>10</v>
      </c>
      <c r="G90">
        <v>83</v>
      </c>
      <c r="H90" t="s">
        <v>161</v>
      </c>
      <c r="I90" t="s">
        <v>161</v>
      </c>
      <c r="J90" t="s">
        <v>24</v>
      </c>
      <c r="K90" t="s">
        <v>2772</v>
      </c>
      <c r="L90" t="s">
        <v>2773</v>
      </c>
      <c r="M90">
        <v>0</v>
      </c>
      <c r="N90">
        <v>21</v>
      </c>
      <c r="O90">
        <v>4</v>
      </c>
      <c r="P90">
        <v>0</v>
      </c>
      <c r="Q90">
        <v>21</v>
      </c>
    </row>
    <row r="91" spans="1:17" hidden="1" x14ac:dyDescent="0.25">
      <c r="A91" t="s">
        <v>3115</v>
      </c>
      <c r="B91" t="s">
        <v>3116</v>
      </c>
      <c r="C91">
        <v>90</v>
      </c>
      <c r="D91">
        <v>111</v>
      </c>
      <c r="E91">
        <v>1</v>
      </c>
      <c r="F91">
        <v>27</v>
      </c>
      <c r="G91">
        <v>84</v>
      </c>
      <c r="H91" t="s">
        <v>160</v>
      </c>
      <c r="I91" t="s">
        <v>160</v>
      </c>
      <c r="J91" t="s">
        <v>24</v>
      </c>
      <c r="K91" t="s">
        <v>1553</v>
      </c>
      <c r="L91" t="s">
        <v>14</v>
      </c>
      <c r="M91">
        <v>0</v>
      </c>
      <c r="N91">
        <v>21</v>
      </c>
      <c r="O91">
        <v>12</v>
      </c>
      <c r="P91">
        <v>0</v>
      </c>
      <c r="Q91">
        <v>21</v>
      </c>
    </row>
    <row r="92" spans="1:17" hidden="1" x14ac:dyDescent="0.25">
      <c r="A92" t="s">
        <v>3117</v>
      </c>
      <c r="B92" t="s">
        <v>3118</v>
      </c>
      <c r="C92">
        <v>91</v>
      </c>
      <c r="D92">
        <v>373</v>
      </c>
      <c r="E92">
        <v>1</v>
      </c>
      <c r="F92">
        <v>41</v>
      </c>
      <c r="G92">
        <v>85</v>
      </c>
      <c r="H92" t="s">
        <v>67</v>
      </c>
      <c r="I92" t="s">
        <v>67</v>
      </c>
      <c r="J92" t="s">
        <v>24</v>
      </c>
      <c r="K92" t="s">
        <v>928</v>
      </c>
      <c r="L92" t="s">
        <v>12</v>
      </c>
      <c r="M92">
        <v>0</v>
      </c>
      <c r="N92">
        <v>21</v>
      </c>
      <c r="O92">
        <v>15</v>
      </c>
      <c r="P92">
        <v>0</v>
      </c>
      <c r="Q92">
        <v>21</v>
      </c>
    </row>
    <row r="93" spans="1:17" hidden="1" x14ac:dyDescent="0.25">
      <c r="A93" t="s">
        <v>3119</v>
      </c>
      <c r="B93" t="s">
        <v>3120</v>
      </c>
      <c r="C93">
        <v>92</v>
      </c>
      <c r="D93">
        <v>81</v>
      </c>
      <c r="E93">
        <v>1</v>
      </c>
      <c r="F93">
        <v>11</v>
      </c>
      <c r="G93">
        <v>86</v>
      </c>
      <c r="H93" t="s">
        <v>161</v>
      </c>
      <c r="I93" t="s">
        <v>161</v>
      </c>
      <c r="J93" t="s">
        <v>24</v>
      </c>
      <c r="K93" t="s">
        <v>2926</v>
      </c>
      <c r="L93" t="s">
        <v>14</v>
      </c>
      <c r="M93">
        <v>0</v>
      </c>
      <c r="N93">
        <v>21</v>
      </c>
      <c r="O93">
        <v>17</v>
      </c>
      <c r="P93">
        <v>0</v>
      </c>
      <c r="Q93">
        <v>21</v>
      </c>
    </row>
    <row r="94" spans="1:17" hidden="1" x14ac:dyDescent="0.25">
      <c r="A94" t="s">
        <v>3121</v>
      </c>
      <c r="B94" t="s">
        <v>3122</v>
      </c>
      <c r="C94">
        <v>93</v>
      </c>
      <c r="D94">
        <v>399</v>
      </c>
      <c r="E94">
        <v>1</v>
      </c>
      <c r="F94">
        <v>42</v>
      </c>
      <c r="G94">
        <v>87</v>
      </c>
      <c r="H94" t="s">
        <v>67</v>
      </c>
      <c r="I94" t="s">
        <v>67</v>
      </c>
      <c r="J94" t="s">
        <v>24</v>
      </c>
      <c r="K94" t="s">
        <v>2219</v>
      </c>
      <c r="L94" t="s">
        <v>108</v>
      </c>
      <c r="M94">
        <v>0</v>
      </c>
      <c r="N94">
        <v>21</v>
      </c>
      <c r="O94">
        <v>27</v>
      </c>
      <c r="P94">
        <v>0</v>
      </c>
      <c r="Q94">
        <v>21</v>
      </c>
    </row>
    <row r="95" spans="1:17" hidden="1" x14ac:dyDescent="0.25">
      <c r="A95" t="s">
        <v>3123</v>
      </c>
      <c r="B95" t="s">
        <v>3124</v>
      </c>
      <c r="C95">
        <v>94</v>
      </c>
      <c r="D95">
        <v>43</v>
      </c>
      <c r="E95">
        <v>1</v>
      </c>
      <c r="F95">
        <v>43</v>
      </c>
      <c r="G95">
        <v>88</v>
      </c>
      <c r="H95" t="s">
        <v>67</v>
      </c>
      <c r="I95" t="s">
        <v>67</v>
      </c>
      <c r="J95" t="s">
        <v>24</v>
      </c>
      <c r="K95" t="s">
        <v>2138</v>
      </c>
      <c r="L95" t="s">
        <v>63</v>
      </c>
      <c r="M95">
        <v>0</v>
      </c>
      <c r="N95">
        <v>21</v>
      </c>
      <c r="O95">
        <v>28</v>
      </c>
      <c r="P95">
        <v>0</v>
      </c>
      <c r="Q95">
        <v>21</v>
      </c>
    </row>
    <row r="96" spans="1:17" hidden="1" x14ac:dyDescent="0.25">
      <c r="A96" t="s">
        <v>3125</v>
      </c>
      <c r="B96" t="s">
        <v>3126</v>
      </c>
      <c r="C96">
        <v>95</v>
      </c>
      <c r="D96">
        <v>14</v>
      </c>
      <c r="E96">
        <v>1</v>
      </c>
      <c r="F96">
        <v>44</v>
      </c>
      <c r="G96">
        <v>89</v>
      </c>
      <c r="H96" t="s">
        <v>67</v>
      </c>
      <c r="I96" t="s">
        <v>67</v>
      </c>
      <c r="J96" t="s">
        <v>24</v>
      </c>
      <c r="K96" t="s">
        <v>2208</v>
      </c>
      <c r="L96" t="s">
        <v>12</v>
      </c>
      <c r="M96">
        <v>0</v>
      </c>
      <c r="N96">
        <v>21</v>
      </c>
      <c r="O96">
        <v>30</v>
      </c>
      <c r="P96">
        <v>0</v>
      </c>
      <c r="Q96">
        <v>21</v>
      </c>
    </row>
    <row r="97" spans="1:17" hidden="1" x14ac:dyDescent="0.25">
      <c r="A97" t="s">
        <v>3127</v>
      </c>
      <c r="B97" t="s">
        <v>3128</v>
      </c>
      <c r="C97">
        <v>96</v>
      </c>
      <c r="D97">
        <v>390</v>
      </c>
      <c r="E97">
        <v>1</v>
      </c>
      <c r="F97">
        <v>45</v>
      </c>
      <c r="G97">
        <v>90</v>
      </c>
      <c r="H97" t="s">
        <v>67</v>
      </c>
      <c r="I97" t="s">
        <v>67</v>
      </c>
      <c r="J97" t="s">
        <v>24</v>
      </c>
      <c r="K97" t="s">
        <v>1406</v>
      </c>
      <c r="L97" t="s">
        <v>155</v>
      </c>
      <c r="M97">
        <v>0</v>
      </c>
      <c r="N97">
        <v>21</v>
      </c>
      <c r="O97">
        <v>31</v>
      </c>
      <c r="P97">
        <v>0</v>
      </c>
      <c r="Q97">
        <v>21</v>
      </c>
    </row>
    <row r="98" spans="1:17" hidden="1" x14ac:dyDescent="0.25">
      <c r="A98" t="s">
        <v>3129</v>
      </c>
      <c r="B98" t="s">
        <v>3130</v>
      </c>
      <c r="C98">
        <v>97</v>
      </c>
      <c r="D98">
        <v>435</v>
      </c>
      <c r="E98">
        <v>1</v>
      </c>
      <c r="F98">
        <v>12</v>
      </c>
      <c r="G98">
        <v>91</v>
      </c>
      <c r="H98" t="s">
        <v>161</v>
      </c>
      <c r="I98" t="s">
        <v>161</v>
      </c>
      <c r="J98" t="s">
        <v>24</v>
      </c>
      <c r="K98" t="s">
        <v>1370</v>
      </c>
      <c r="L98" t="s">
        <v>155</v>
      </c>
      <c r="M98">
        <v>0</v>
      </c>
      <c r="N98">
        <v>21</v>
      </c>
      <c r="O98">
        <v>38</v>
      </c>
      <c r="P98">
        <v>0</v>
      </c>
      <c r="Q98">
        <v>21</v>
      </c>
    </row>
    <row r="99" spans="1:17" hidden="1" x14ac:dyDescent="0.25">
      <c r="A99" t="s">
        <v>168</v>
      </c>
      <c r="B99" t="s">
        <v>3131</v>
      </c>
      <c r="C99">
        <v>98</v>
      </c>
      <c r="D99">
        <v>346</v>
      </c>
      <c r="E99">
        <v>1</v>
      </c>
      <c r="F99">
        <v>1</v>
      </c>
      <c r="G99">
        <v>7</v>
      </c>
      <c r="H99" t="s">
        <v>159</v>
      </c>
      <c r="I99" t="s">
        <v>159</v>
      </c>
      <c r="J99" t="s">
        <v>23</v>
      </c>
      <c r="K99" t="s">
        <v>229</v>
      </c>
      <c r="L99" t="s">
        <v>108</v>
      </c>
      <c r="M99">
        <v>0</v>
      </c>
      <c r="N99">
        <v>21</v>
      </c>
      <c r="O99">
        <v>39</v>
      </c>
      <c r="P99">
        <v>0</v>
      </c>
      <c r="Q99">
        <v>21</v>
      </c>
    </row>
    <row r="100" spans="1:17" hidden="1" x14ac:dyDescent="0.25">
      <c r="A100" t="s">
        <v>3132</v>
      </c>
      <c r="B100" t="s">
        <v>3133</v>
      </c>
      <c r="C100">
        <v>99</v>
      </c>
      <c r="D100">
        <v>51</v>
      </c>
      <c r="E100">
        <v>1</v>
      </c>
      <c r="F100">
        <v>28</v>
      </c>
      <c r="G100">
        <v>92</v>
      </c>
      <c r="H100" t="s">
        <v>160</v>
      </c>
      <c r="I100" t="s">
        <v>160</v>
      </c>
      <c r="J100" t="s">
        <v>24</v>
      </c>
      <c r="K100" t="s">
        <v>2212</v>
      </c>
      <c r="L100" t="s">
        <v>38</v>
      </c>
      <c r="M100">
        <v>0</v>
      </c>
      <c r="N100">
        <v>21</v>
      </c>
      <c r="O100">
        <v>40</v>
      </c>
      <c r="P100">
        <v>0</v>
      </c>
      <c r="Q100">
        <v>21</v>
      </c>
    </row>
    <row r="101" spans="1:17" hidden="1" x14ac:dyDescent="0.25">
      <c r="A101" t="s">
        <v>3134</v>
      </c>
      <c r="B101" t="s">
        <v>3135</v>
      </c>
      <c r="C101">
        <v>100</v>
      </c>
      <c r="D101">
        <v>7</v>
      </c>
      <c r="E101">
        <v>1</v>
      </c>
      <c r="F101">
        <v>5</v>
      </c>
      <c r="G101">
        <v>93</v>
      </c>
      <c r="H101" t="s">
        <v>162</v>
      </c>
      <c r="I101" t="s">
        <v>162</v>
      </c>
      <c r="J101" t="s">
        <v>24</v>
      </c>
      <c r="K101" t="s">
        <v>269</v>
      </c>
      <c r="L101" t="s">
        <v>43</v>
      </c>
      <c r="M101">
        <v>0</v>
      </c>
      <c r="N101">
        <v>21</v>
      </c>
      <c r="O101">
        <v>41</v>
      </c>
      <c r="P101">
        <v>0</v>
      </c>
      <c r="Q101">
        <v>21</v>
      </c>
    </row>
    <row r="102" spans="1:17" hidden="1" x14ac:dyDescent="0.25">
      <c r="A102" t="s">
        <v>3136</v>
      </c>
      <c r="B102" t="s">
        <v>3137</v>
      </c>
      <c r="C102">
        <v>101</v>
      </c>
      <c r="D102">
        <v>55</v>
      </c>
      <c r="E102">
        <v>1</v>
      </c>
      <c r="F102">
        <v>29</v>
      </c>
      <c r="G102">
        <v>94</v>
      </c>
      <c r="H102" t="s">
        <v>160</v>
      </c>
      <c r="I102" t="s">
        <v>160</v>
      </c>
      <c r="J102" t="s">
        <v>24</v>
      </c>
      <c r="K102" t="s">
        <v>1351</v>
      </c>
      <c r="L102" t="s">
        <v>1400</v>
      </c>
      <c r="M102">
        <v>0</v>
      </c>
      <c r="N102">
        <v>21</v>
      </c>
      <c r="O102">
        <v>42</v>
      </c>
      <c r="P102">
        <v>0</v>
      </c>
      <c r="Q102">
        <v>21</v>
      </c>
    </row>
    <row r="103" spans="1:17" hidden="1" x14ac:dyDescent="0.25">
      <c r="A103" t="s">
        <v>3138</v>
      </c>
      <c r="B103" t="s">
        <v>3139</v>
      </c>
      <c r="C103">
        <v>102</v>
      </c>
      <c r="D103">
        <v>474</v>
      </c>
      <c r="E103">
        <v>1</v>
      </c>
      <c r="F103">
        <v>46</v>
      </c>
      <c r="G103">
        <v>95</v>
      </c>
      <c r="H103" t="s">
        <v>67</v>
      </c>
      <c r="I103" t="s">
        <v>67</v>
      </c>
      <c r="J103" t="s">
        <v>24</v>
      </c>
      <c r="K103" t="s">
        <v>332</v>
      </c>
      <c r="L103" t="s">
        <v>12</v>
      </c>
      <c r="M103">
        <v>0</v>
      </c>
      <c r="N103">
        <v>21</v>
      </c>
      <c r="O103">
        <v>46</v>
      </c>
      <c r="P103">
        <v>0</v>
      </c>
      <c r="Q103">
        <v>21</v>
      </c>
    </row>
    <row r="104" spans="1:17" hidden="1" x14ac:dyDescent="0.25">
      <c r="A104" t="s">
        <v>3140</v>
      </c>
      <c r="B104" t="s">
        <v>3141</v>
      </c>
      <c r="C104">
        <v>103</v>
      </c>
      <c r="D104">
        <v>96</v>
      </c>
      <c r="E104">
        <v>1</v>
      </c>
      <c r="F104">
        <v>3</v>
      </c>
      <c r="G104">
        <v>8</v>
      </c>
      <c r="H104" t="s">
        <v>157</v>
      </c>
      <c r="I104" t="s">
        <v>157</v>
      </c>
      <c r="J104" t="s">
        <v>23</v>
      </c>
      <c r="K104" t="s">
        <v>1688</v>
      </c>
      <c r="L104" t="s">
        <v>14</v>
      </c>
      <c r="M104">
        <v>0</v>
      </c>
      <c r="N104">
        <v>21</v>
      </c>
      <c r="O104">
        <v>46</v>
      </c>
      <c r="P104">
        <v>0</v>
      </c>
      <c r="Q104">
        <v>21</v>
      </c>
    </row>
    <row r="105" spans="1:17" hidden="1" x14ac:dyDescent="0.25">
      <c r="A105" t="s">
        <v>3142</v>
      </c>
      <c r="B105" t="s">
        <v>3143</v>
      </c>
      <c r="C105">
        <v>104</v>
      </c>
      <c r="D105">
        <v>45</v>
      </c>
      <c r="E105">
        <v>1</v>
      </c>
      <c r="F105">
        <v>47</v>
      </c>
      <c r="G105">
        <v>96</v>
      </c>
      <c r="H105" t="s">
        <v>67</v>
      </c>
      <c r="I105" t="s">
        <v>67</v>
      </c>
      <c r="J105" t="s">
        <v>24</v>
      </c>
      <c r="K105" t="s">
        <v>1825</v>
      </c>
      <c r="L105" t="s">
        <v>505</v>
      </c>
      <c r="M105">
        <v>0</v>
      </c>
      <c r="N105">
        <v>21</v>
      </c>
      <c r="O105">
        <v>47</v>
      </c>
      <c r="P105">
        <v>0</v>
      </c>
      <c r="Q105">
        <v>21</v>
      </c>
    </row>
    <row r="106" spans="1:17" hidden="1" x14ac:dyDescent="0.25">
      <c r="A106" t="s">
        <v>3144</v>
      </c>
      <c r="B106" t="s">
        <v>3145</v>
      </c>
      <c r="C106">
        <v>105</v>
      </c>
      <c r="D106">
        <v>341</v>
      </c>
      <c r="E106">
        <v>1</v>
      </c>
      <c r="F106">
        <v>30</v>
      </c>
      <c r="G106">
        <v>97</v>
      </c>
      <c r="H106" t="s">
        <v>160</v>
      </c>
      <c r="I106" t="s">
        <v>160</v>
      </c>
      <c r="J106" t="s">
        <v>24</v>
      </c>
      <c r="K106" t="s">
        <v>177</v>
      </c>
      <c r="L106" t="s">
        <v>12</v>
      </c>
      <c r="M106">
        <v>0</v>
      </c>
      <c r="N106">
        <v>21</v>
      </c>
      <c r="O106">
        <v>51</v>
      </c>
      <c r="P106">
        <v>0</v>
      </c>
      <c r="Q106">
        <v>21</v>
      </c>
    </row>
    <row r="107" spans="1:17" x14ac:dyDescent="0.25">
      <c r="A107" t="s">
        <v>3146</v>
      </c>
      <c r="B107" t="s">
        <v>3147</v>
      </c>
      <c r="C107">
        <v>106</v>
      </c>
      <c r="D107">
        <v>324</v>
      </c>
      <c r="E107">
        <v>1</v>
      </c>
      <c r="F107">
        <v>6</v>
      </c>
      <c r="G107">
        <v>98</v>
      </c>
      <c r="H107" t="s">
        <v>162</v>
      </c>
      <c r="I107" t="s">
        <v>162</v>
      </c>
      <c r="J107" t="s">
        <v>24</v>
      </c>
      <c r="K107" t="s">
        <v>1699</v>
      </c>
      <c r="L107" t="s">
        <v>154</v>
      </c>
      <c r="M107">
        <v>16</v>
      </c>
      <c r="N107">
        <v>21</v>
      </c>
      <c r="O107">
        <v>52</v>
      </c>
      <c r="P107">
        <v>0</v>
      </c>
      <c r="Q107">
        <v>21</v>
      </c>
    </row>
    <row r="108" spans="1:17" hidden="1" x14ac:dyDescent="0.25">
      <c r="A108" t="s">
        <v>3148</v>
      </c>
      <c r="B108" t="s">
        <v>3149</v>
      </c>
      <c r="C108">
        <v>107</v>
      </c>
      <c r="D108">
        <v>339</v>
      </c>
      <c r="E108">
        <v>1</v>
      </c>
      <c r="F108">
        <v>2</v>
      </c>
      <c r="G108">
        <v>9</v>
      </c>
      <c r="H108" t="s">
        <v>156</v>
      </c>
      <c r="I108" t="s">
        <v>156</v>
      </c>
      <c r="J108" t="s">
        <v>23</v>
      </c>
      <c r="K108" t="s">
        <v>1833</v>
      </c>
      <c r="L108" t="s">
        <v>108</v>
      </c>
      <c r="M108">
        <v>0</v>
      </c>
      <c r="N108">
        <v>21</v>
      </c>
      <c r="O108">
        <v>54</v>
      </c>
      <c r="P108">
        <v>0</v>
      </c>
      <c r="Q108">
        <v>21</v>
      </c>
    </row>
    <row r="109" spans="1:17" hidden="1" x14ac:dyDescent="0.25">
      <c r="A109" t="s">
        <v>167</v>
      </c>
      <c r="B109" t="s">
        <v>3150</v>
      </c>
      <c r="C109">
        <v>108</v>
      </c>
      <c r="D109">
        <v>493</v>
      </c>
      <c r="E109">
        <v>1</v>
      </c>
      <c r="F109">
        <v>1</v>
      </c>
      <c r="G109">
        <v>10</v>
      </c>
      <c r="H109" t="s">
        <v>158</v>
      </c>
      <c r="I109" t="s">
        <v>158</v>
      </c>
      <c r="J109" t="s">
        <v>23</v>
      </c>
      <c r="K109" t="s">
        <v>2130</v>
      </c>
      <c r="L109" t="s">
        <v>1805</v>
      </c>
      <c r="M109">
        <v>0</v>
      </c>
      <c r="N109">
        <v>21</v>
      </c>
      <c r="O109">
        <v>55</v>
      </c>
      <c r="P109">
        <v>0</v>
      </c>
      <c r="Q109">
        <v>21</v>
      </c>
    </row>
    <row r="110" spans="1:17" hidden="1" x14ac:dyDescent="0.25">
      <c r="A110" t="s">
        <v>3151</v>
      </c>
      <c r="B110" t="s">
        <v>3152</v>
      </c>
      <c r="C110">
        <v>109</v>
      </c>
      <c r="D110">
        <v>27</v>
      </c>
      <c r="E110">
        <v>1</v>
      </c>
      <c r="F110">
        <v>48</v>
      </c>
      <c r="G110">
        <v>99</v>
      </c>
      <c r="H110" t="s">
        <v>67</v>
      </c>
      <c r="I110" t="s">
        <v>67</v>
      </c>
      <c r="J110" t="s">
        <v>24</v>
      </c>
      <c r="K110" t="s">
        <v>2300</v>
      </c>
      <c r="L110" t="s">
        <v>1805</v>
      </c>
      <c r="M110">
        <v>0</v>
      </c>
      <c r="N110">
        <v>21</v>
      </c>
      <c r="O110">
        <v>56</v>
      </c>
      <c r="P110">
        <v>0</v>
      </c>
      <c r="Q110">
        <v>21</v>
      </c>
    </row>
    <row r="111" spans="1:17" hidden="1" x14ac:dyDescent="0.25">
      <c r="A111" t="s">
        <v>3153</v>
      </c>
      <c r="B111" t="s">
        <v>3154</v>
      </c>
      <c r="C111">
        <v>110</v>
      </c>
      <c r="D111">
        <v>434</v>
      </c>
      <c r="E111">
        <v>1</v>
      </c>
      <c r="F111">
        <v>7</v>
      </c>
      <c r="G111">
        <v>100</v>
      </c>
      <c r="H111" t="s">
        <v>162</v>
      </c>
      <c r="I111" t="s">
        <v>162</v>
      </c>
      <c r="J111" t="s">
        <v>24</v>
      </c>
      <c r="K111" t="s">
        <v>2439</v>
      </c>
      <c r="L111" t="s">
        <v>108</v>
      </c>
      <c r="M111">
        <v>0</v>
      </c>
      <c r="N111">
        <v>22</v>
      </c>
      <c r="O111">
        <v>0</v>
      </c>
      <c r="P111">
        <v>0</v>
      </c>
      <c r="Q111">
        <v>22</v>
      </c>
    </row>
    <row r="112" spans="1:17" hidden="1" x14ac:dyDescent="0.25">
      <c r="A112" t="s">
        <v>3155</v>
      </c>
      <c r="B112" t="s">
        <v>3156</v>
      </c>
      <c r="C112">
        <v>111</v>
      </c>
      <c r="D112">
        <v>46</v>
      </c>
      <c r="E112">
        <v>1</v>
      </c>
      <c r="F112">
        <v>13</v>
      </c>
      <c r="G112">
        <v>101</v>
      </c>
      <c r="H112" t="s">
        <v>161</v>
      </c>
      <c r="I112" t="s">
        <v>161</v>
      </c>
      <c r="J112" t="s">
        <v>24</v>
      </c>
      <c r="K112" t="s">
        <v>1662</v>
      </c>
      <c r="L112" t="s">
        <v>14</v>
      </c>
      <c r="M112">
        <v>0</v>
      </c>
      <c r="N112">
        <v>22</v>
      </c>
      <c r="O112">
        <v>1</v>
      </c>
      <c r="P112">
        <v>0</v>
      </c>
      <c r="Q112">
        <v>22</v>
      </c>
    </row>
    <row r="113" spans="1:17" hidden="1" x14ac:dyDescent="0.25">
      <c r="A113" t="s">
        <v>3157</v>
      </c>
      <c r="B113" t="s">
        <v>3158</v>
      </c>
      <c r="C113">
        <v>112</v>
      </c>
      <c r="D113">
        <v>142</v>
      </c>
      <c r="E113">
        <v>1</v>
      </c>
      <c r="F113">
        <v>31</v>
      </c>
      <c r="G113">
        <v>102</v>
      </c>
      <c r="H113" t="s">
        <v>160</v>
      </c>
      <c r="I113" t="s">
        <v>160</v>
      </c>
      <c r="J113" t="s">
        <v>24</v>
      </c>
      <c r="K113" t="s">
        <v>1065</v>
      </c>
      <c r="L113" t="s">
        <v>12</v>
      </c>
      <c r="M113">
        <v>0</v>
      </c>
      <c r="N113">
        <v>22</v>
      </c>
      <c r="O113">
        <v>2</v>
      </c>
      <c r="P113">
        <v>0</v>
      </c>
      <c r="Q113">
        <v>22</v>
      </c>
    </row>
    <row r="114" spans="1:17" x14ac:dyDescent="0.25">
      <c r="A114" t="s">
        <v>3159</v>
      </c>
      <c r="B114" t="s">
        <v>3160</v>
      </c>
      <c r="C114">
        <v>113</v>
      </c>
      <c r="D114">
        <v>421</v>
      </c>
      <c r="E114">
        <v>1</v>
      </c>
      <c r="F114">
        <v>2</v>
      </c>
      <c r="G114">
        <v>11</v>
      </c>
      <c r="H114" t="s">
        <v>158</v>
      </c>
      <c r="I114" t="s">
        <v>158</v>
      </c>
      <c r="J114" t="s">
        <v>23</v>
      </c>
      <c r="K114" t="s">
        <v>365</v>
      </c>
      <c r="L114" t="s">
        <v>154</v>
      </c>
      <c r="M114">
        <v>19</v>
      </c>
      <c r="N114">
        <v>22</v>
      </c>
      <c r="O114">
        <v>5</v>
      </c>
      <c r="P114">
        <v>0</v>
      </c>
      <c r="Q114">
        <v>22</v>
      </c>
    </row>
    <row r="115" spans="1:17" hidden="1" x14ac:dyDescent="0.25">
      <c r="A115" t="s">
        <v>3161</v>
      </c>
      <c r="B115" t="s">
        <v>3162</v>
      </c>
      <c r="C115">
        <v>114</v>
      </c>
      <c r="D115">
        <v>59</v>
      </c>
      <c r="E115">
        <v>1</v>
      </c>
      <c r="F115">
        <v>2</v>
      </c>
      <c r="G115">
        <v>12</v>
      </c>
      <c r="H115" t="s">
        <v>159</v>
      </c>
      <c r="I115" t="s">
        <v>159</v>
      </c>
      <c r="J115" t="s">
        <v>23</v>
      </c>
      <c r="K115" t="s">
        <v>991</v>
      </c>
      <c r="L115" t="s">
        <v>14</v>
      </c>
      <c r="M115">
        <v>0</v>
      </c>
      <c r="N115">
        <v>22</v>
      </c>
      <c r="O115">
        <v>7</v>
      </c>
      <c r="P115">
        <v>0</v>
      </c>
      <c r="Q115">
        <v>22</v>
      </c>
    </row>
    <row r="116" spans="1:17" hidden="1" x14ac:dyDescent="0.25">
      <c r="A116" t="s">
        <v>3163</v>
      </c>
      <c r="B116" t="s">
        <v>3164</v>
      </c>
      <c r="C116">
        <v>115</v>
      </c>
      <c r="D116">
        <v>416</v>
      </c>
      <c r="E116">
        <v>1</v>
      </c>
      <c r="F116">
        <v>14</v>
      </c>
      <c r="G116">
        <v>103</v>
      </c>
      <c r="H116" t="s">
        <v>161</v>
      </c>
      <c r="I116" t="s">
        <v>161</v>
      </c>
      <c r="J116" t="s">
        <v>24</v>
      </c>
      <c r="K116" t="s">
        <v>264</v>
      </c>
      <c r="L116" t="s">
        <v>12</v>
      </c>
      <c r="M116">
        <v>0</v>
      </c>
      <c r="N116">
        <v>22</v>
      </c>
      <c r="O116">
        <v>12</v>
      </c>
      <c r="P116">
        <v>0</v>
      </c>
      <c r="Q116">
        <v>22</v>
      </c>
    </row>
    <row r="117" spans="1:17" hidden="1" x14ac:dyDescent="0.25">
      <c r="A117" t="s">
        <v>3165</v>
      </c>
      <c r="B117" t="s">
        <v>3166</v>
      </c>
      <c r="C117">
        <v>116</v>
      </c>
      <c r="D117">
        <v>344</v>
      </c>
      <c r="E117">
        <v>1</v>
      </c>
      <c r="F117">
        <v>4</v>
      </c>
      <c r="G117">
        <v>13</v>
      </c>
      <c r="H117" t="s">
        <v>157</v>
      </c>
      <c r="I117" t="s">
        <v>157</v>
      </c>
      <c r="J117" t="s">
        <v>23</v>
      </c>
      <c r="K117" t="s">
        <v>782</v>
      </c>
      <c r="L117" t="s">
        <v>12</v>
      </c>
      <c r="M117">
        <v>0</v>
      </c>
      <c r="N117">
        <v>22</v>
      </c>
      <c r="O117">
        <v>13</v>
      </c>
      <c r="P117">
        <v>0</v>
      </c>
      <c r="Q117">
        <v>22</v>
      </c>
    </row>
    <row r="118" spans="1:17" hidden="1" x14ac:dyDescent="0.25">
      <c r="A118" t="s">
        <v>3167</v>
      </c>
      <c r="B118" t="s">
        <v>3168</v>
      </c>
      <c r="C118">
        <v>117</v>
      </c>
      <c r="D118">
        <v>371</v>
      </c>
      <c r="E118">
        <v>1</v>
      </c>
      <c r="F118">
        <v>15</v>
      </c>
      <c r="G118">
        <v>104</v>
      </c>
      <c r="H118" t="s">
        <v>161</v>
      </c>
      <c r="I118" t="s">
        <v>161</v>
      </c>
      <c r="J118" t="s">
        <v>24</v>
      </c>
      <c r="K118" t="s">
        <v>1496</v>
      </c>
      <c r="L118" t="s">
        <v>108</v>
      </c>
      <c r="M118">
        <v>0</v>
      </c>
      <c r="N118">
        <v>22</v>
      </c>
      <c r="O118">
        <v>18</v>
      </c>
      <c r="P118">
        <v>0</v>
      </c>
      <c r="Q118">
        <v>22</v>
      </c>
    </row>
    <row r="119" spans="1:17" hidden="1" x14ac:dyDescent="0.25">
      <c r="A119" t="s">
        <v>3169</v>
      </c>
      <c r="B119" t="s">
        <v>3170</v>
      </c>
      <c r="C119">
        <v>118</v>
      </c>
      <c r="D119">
        <v>492</v>
      </c>
      <c r="E119">
        <v>1</v>
      </c>
      <c r="F119">
        <v>16</v>
      </c>
      <c r="G119">
        <v>105</v>
      </c>
      <c r="H119" t="s">
        <v>161</v>
      </c>
      <c r="I119" t="s">
        <v>161</v>
      </c>
      <c r="J119" t="s">
        <v>24</v>
      </c>
      <c r="K119" t="s">
        <v>1654</v>
      </c>
      <c r="L119" t="s">
        <v>12</v>
      </c>
      <c r="M119">
        <v>0</v>
      </c>
      <c r="N119">
        <v>22</v>
      </c>
      <c r="O119">
        <v>20</v>
      </c>
      <c r="P119">
        <v>0</v>
      </c>
      <c r="Q119">
        <v>22</v>
      </c>
    </row>
    <row r="120" spans="1:17" hidden="1" x14ac:dyDescent="0.25">
      <c r="A120" t="s">
        <v>3171</v>
      </c>
      <c r="B120" t="s">
        <v>3172</v>
      </c>
      <c r="C120">
        <v>119</v>
      </c>
      <c r="D120">
        <v>330</v>
      </c>
      <c r="E120">
        <v>1</v>
      </c>
      <c r="F120">
        <v>3</v>
      </c>
      <c r="G120">
        <v>14</v>
      </c>
      <c r="H120" t="s">
        <v>156</v>
      </c>
      <c r="I120" t="s">
        <v>156</v>
      </c>
      <c r="J120" t="s">
        <v>23</v>
      </c>
      <c r="K120" t="s">
        <v>188</v>
      </c>
      <c r="L120" t="s">
        <v>108</v>
      </c>
      <c r="M120">
        <v>0</v>
      </c>
      <c r="N120">
        <v>22</v>
      </c>
      <c r="O120">
        <v>21</v>
      </c>
      <c r="P120">
        <v>0</v>
      </c>
      <c r="Q120">
        <v>22</v>
      </c>
    </row>
    <row r="121" spans="1:17" hidden="1" x14ac:dyDescent="0.25">
      <c r="A121" t="s">
        <v>3173</v>
      </c>
      <c r="B121" t="s">
        <v>3174</v>
      </c>
      <c r="C121">
        <v>120</v>
      </c>
      <c r="D121">
        <v>378</v>
      </c>
      <c r="E121">
        <v>1</v>
      </c>
      <c r="F121">
        <v>4</v>
      </c>
      <c r="G121">
        <v>15</v>
      </c>
      <c r="H121" t="s">
        <v>156</v>
      </c>
      <c r="I121" t="s">
        <v>156</v>
      </c>
      <c r="J121" t="s">
        <v>23</v>
      </c>
      <c r="K121" t="s">
        <v>2216</v>
      </c>
      <c r="L121" t="s">
        <v>1805</v>
      </c>
      <c r="M121">
        <v>0</v>
      </c>
      <c r="N121">
        <v>22</v>
      </c>
      <c r="O121">
        <v>22</v>
      </c>
      <c r="P121">
        <v>0</v>
      </c>
      <c r="Q121">
        <v>22</v>
      </c>
    </row>
    <row r="122" spans="1:17" hidden="1" x14ac:dyDescent="0.25">
      <c r="A122" t="s">
        <v>3175</v>
      </c>
      <c r="B122" t="s">
        <v>3176</v>
      </c>
      <c r="C122">
        <v>121</v>
      </c>
      <c r="D122">
        <v>79</v>
      </c>
      <c r="E122">
        <v>1</v>
      </c>
      <c r="F122">
        <v>3</v>
      </c>
      <c r="G122">
        <v>16</v>
      </c>
      <c r="H122" t="s">
        <v>159</v>
      </c>
      <c r="I122" t="s">
        <v>159</v>
      </c>
      <c r="J122" t="s">
        <v>23</v>
      </c>
      <c r="K122" t="s">
        <v>436</v>
      </c>
      <c r="L122" t="s">
        <v>14</v>
      </c>
      <c r="M122">
        <v>0</v>
      </c>
      <c r="N122">
        <v>22</v>
      </c>
      <c r="O122">
        <v>22</v>
      </c>
      <c r="P122">
        <v>0</v>
      </c>
      <c r="Q122">
        <v>22</v>
      </c>
    </row>
    <row r="123" spans="1:17" hidden="1" x14ac:dyDescent="0.25">
      <c r="A123" t="s">
        <v>3177</v>
      </c>
      <c r="B123" t="s">
        <v>3178</v>
      </c>
      <c r="C123">
        <v>122</v>
      </c>
      <c r="D123">
        <v>429</v>
      </c>
      <c r="E123">
        <v>1</v>
      </c>
      <c r="F123">
        <v>32</v>
      </c>
      <c r="G123">
        <v>106</v>
      </c>
      <c r="H123" t="s">
        <v>160</v>
      </c>
      <c r="I123" t="s">
        <v>160</v>
      </c>
      <c r="J123" t="s">
        <v>24</v>
      </c>
      <c r="K123" t="s">
        <v>1756</v>
      </c>
      <c r="L123" t="s">
        <v>155</v>
      </c>
      <c r="M123">
        <v>0</v>
      </c>
      <c r="N123">
        <v>22</v>
      </c>
      <c r="O123">
        <v>26</v>
      </c>
      <c r="P123">
        <v>0</v>
      </c>
      <c r="Q123">
        <v>22</v>
      </c>
    </row>
    <row r="124" spans="1:17" hidden="1" x14ac:dyDescent="0.25">
      <c r="A124" t="s">
        <v>3179</v>
      </c>
      <c r="B124" t="s">
        <v>3180</v>
      </c>
      <c r="C124">
        <v>123</v>
      </c>
      <c r="D124">
        <v>86</v>
      </c>
      <c r="E124">
        <v>1</v>
      </c>
      <c r="F124">
        <v>5</v>
      </c>
      <c r="G124">
        <v>17</v>
      </c>
      <c r="H124" t="s">
        <v>156</v>
      </c>
      <c r="I124" t="s">
        <v>156</v>
      </c>
      <c r="J124" t="s">
        <v>23</v>
      </c>
      <c r="K124" t="s">
        <v>2930</v>
      </c>
      <c r="L124" t="s">
        <v>63</v>
      </c>
      <c r="M124">
        <v>0</v>
      </c>
      <c r="N124">
        <v>22</v>
      </c>
      <c r="O124">
        <v>27</v>
      </c>
      <c r="P124">
        <v>0</v>
      </c>
      <c r="Q124">
        <v>22</v>
      </c>
    </row>
    <row r="125" spans="1:17" hidden="1" x14ac:dyDescent="0.25">
      <c r="A125" t="s">
        <v>2120</v>
      </c>
      <c r="B125" t="s">
        <v>3181</v>
      </c>
      <c r="C125">
        <v>124</v>
      </c>
      <c r="D125">
        <v>106</v>
      </c>
      <c r="E125">
        <v>1</v>
      </c>
      <c r="F125">
        <v>1</v>
      </c>
      <c r="G125">
        <v>107</v>
      </c>
      <c r="H125" t="s">
        <v>1817</v>
      </c>
      <c r="I125" t="s">
        <v>1817</v>
      </c>
      <c r="J125" t="s">
        <v>24</v>
      </c>
      <c r="K125" t="s">
        <v>547</v>
      </c>
      <c r="L125" t="s">
        <v>654</v>
      </c>
      <c r="M125">
        <v>0</v>
      </c>
      <c r="N125">
        <v>22</v>
      </c>
      <c r="O125">
        <v>29</v>
      </c>
      <c r="P125">
        <v>0</v>
      </c>
      <c r="Q125">
        <v>22</v>
      </c>
    </row>
    <row r="126" spans="1:17" x14ac:dyDescent="0.25">
      <c r="A126" t="s">
        <v>3182</v>
      </c>
      <c r="B126" t="s">
        <v>3183</v>
      </c>
      <c r="C126">
        <v>125</v>
      </c>
      <c r="D126">
        <v>362</v>
      </c>
      <c r="E126">
        <v>1</v>
      </c>
      <c r="F126">
        <v>4</v>
      </c>
      <c r="G126">
        <v>18</v>
      </c>
      <c r="H126" t="s">
        <v>159</v>
      </c>
      <c r="I126" t="s">
        <v>159</v>
      </c>
      <c r="J126" t="s">
        <v>23</v>
      </c>
      <c r="K126" t="s">
        <v>1928</v>
      </c>
      <c r="L126" t="s">
        <v>154</v>
      </c>
      <c r="M126">
        <v>18</v>
      </c>
      <c r="N126">
        <v>22</v>
      </c>
      <c r="O126">
        <v>37</v>
      </c>
      <c r="P126">
        <v>0</v>
      </c>
      <c r="Q126">
        <v>22</v>
      </c>
    </row>
    <row r="127" spans="1:17" hidden="1" x14ac:dyDescent="0.25">
      <c r="A127" t="s">
        <v>3184</v>
      </c>
      <c r="B127" t="s">
        <v>3185</v>
      </c>
      <c r="C127">
        <v>126</v>
      </c>
      <c r="D127">
        <v>138</v>
      </c>
      <c r="E127">
        <v>1</v>
      </c>
      <c r="F127">
        <v>17</v>
      </c>
      <c r="G127">
        <v>108</v>
      </c>
      <c r="H127" t="s">
        <v>161</v>
      </c>
      <c r="I127" t="s">
        <v>161</v>
      </c>
      <c r="J127" t="s">
        <v>24</v>
      </c>
      <c r="K127" t="s">
        <v>440</v>
      </c>
      <c r="L127" t="s">
        <v>63</v>
      </c>
      <c r="M127">
        <v>0</v>
      </c>
      <c r="N127">
        <v>22</v>
      </c>
      <c r="O127">
        <v>38</v>
      </c>
      <c r="P127">
        <v>0</v>
      </c>
      <c r="Q127">
        <v>22</v>
      </c>
    </row>
    <row r="128" spans="1:17" hidden="1" x14ac:dyDescent="0.25">
      <c r="A128" t="s">
        <v>3186</v>
      </c>
      <c r="B128" t="s">
        <v>3187</v>
      </c>
      <c r="C128">
        <v>127</v>
      </c>
      <c r="D128">
        <v>392</v>
      </c>
      <c r="E128">
        <v>1</v>
      </c>
      <c r="F128">
        <v>8</v>
      </c>
      <c r="G128">
        <v>109</v>
      </c>
      <c r="H128" t="s">
        <v>162</v>
      </c>
      <c r="I128" t="s">
        <v>162</v>
      </c>
      <c r="J128" t="s">
        <v>24</v>
      </c>
      <c r="K128" t="s">
        <v>841</v>
      </c>
      <c r="L128" t="s">
        <v>38</v>
      </c>
      <c r="M128">
        <v>0</v>
      </c>
      <c r="N128">
        <v>22</v>
      </c>
      <c r="O128">
        <v>42</v>
      </c>
      <c r="P128">
        <v>0</v>
      </c>
      <c r="Q128">
        <v>22</v>
      </c>
    </row>
    <row r="129" spans="1:17" hidden="1" x14ac:dyDescent="0.25">
      <c r="A129" t="s">
        <v>3188</v>
      </c>
      <c r="B129" t="s">
        <v>3189</v>
      </c>
      <c r="C129">
        <v>128</v>
      </c>
      <c r="D129">
        <v>500</v>
      </c>
      <c r="E129">
        <v>1</v>
      </c>
      <c r="F129">
        <v>18</v>
      </c>
      <c r="G129">
        <v>110</v>
      </c>
      <c r="H129" t="s">
        <v>161</v>
      </c>
      <c r="I129" t="s">
        <v>161</v>
      </c>
      <c r="J129" t="s">
        <v>24</v>
      </c>
      <c r="K129" t="s">
        <v>434</v>
      </c>
      <c r="L129" t="s">
        <v>63</v>
      </c>
      <c r="M129">
        <v>0</v>
      </c>
      <c r="N129">
        <v>22</v>
      </c>
      <c r="O129">
        <v>48</v>
      </c>
      <c r="P129">
        <v>0</v>
      </c>
      <c r="Q129">
        <v>22</v>
      </c>
    </row>
    <row r="130" spans="1:17" hidden="1" x14ac:dyDescent="0.25">
      <c r="A130" t="s">
        <v>3190</v>
      </c>
      <c r="B130" t="s">
        <v>3191</v>
      </c>
      <c r="C130">
        <v>129</v>
      </c>
      <c r="D130">
        <v>72</v>
      </c>
      <c r="E130">
        <v>1</v>
      </c>
      <c r="F130">
        <v>49</v>
      </c>
      <c r="G130">
        <v>111</v>
      </c>
      <c r="H130" t="s">
        <v>67</v>
      </c>
      <c r="I130" t="s">
        <v>67</v>
      </c>
      <c r="J130" t="s">
        <v>24</v>
      </c>
      <c r="K130" t="s">
        <v>2275</v>
      </c>
      <c r="L130" t="s">
        <v>43</v>
      </c>
      <c r="M130">
        <v>0</v>
      </c>
      <c r="N130">
        <v>22</v>
      </c>
      <c r="O130">
        <v>50</v>
      </c>
      <c r="P130">
        <v>0</v>
      </c>
      <c r="Q130">
        <v>22</v>
      </c>
    </row>
    <row r="131" spans="1:17" hidden="1" x14ac:dyDescent="0.25">
      <c r="A131" t="s">
        <v>3192</v>
      </c>
      <c r="B131" t="s">
        <v>3193</v>
      </c>
      <c r="C131">
        <v>130</v>
      </c>
      <c r="D131">
        <v>134</v>
      </c>
      <c r="E131">
        <v>1</v>
      </c>
      <c r="F131">
        <v>50</v>
      </c>
      <c r="G131">
        <v>112</v>
      </c>
      <c r="H131" t="s">
        <v>67</v>
      </c>
      <c r="I131" t="s">
        <v>67</v>
      </c>
      <c r="J131" t="s">
        <v>24</v>
      </c>
      <c r="K131" t="s">
        <v>275</v>
      </c>
      <c r="L131" t="s">
        <v>63</v>
      </c>
      <c r="M131">
        <v>0</v>
      </c>
      <c r="N131">
        <v>22</v>
      </c>
      <c r="O131">
        <v>51</v>
      </c>
      <c r="P131">
        <v>0</v>
      </c>
      <c r="Q131">
        <v>22</v>
      </c>
    </row>
    <row r="132" spans="1:17" hidden="1" x14ac:dyDescent="0.25">
      <c r="A132" t="s">
        <v>3194</v>
      </c>
      <c r="B132" t="s">
        <v>3195</v>
      </c>
      <c r="C132">
        <v>131</v>
      </c>
      <c r="D132">
        <v>73</v>
      </c>
      <c r="E132">
        <v>1</v>
      </c>
      <c r="F132">
        <v>51</v>
      </c>
      <c r="G132">
        <v>113</v>
      </c>
      <c r="H132" t="s">
        <v>67</v>
      </c>
      <c r="I132" t="s">
        <v>67</v>
      </c>
      <c r="J132" t="s">
        <v>24</v>
      </c>
      <c r="K132" t="s">
        <v>1773</v>
      </c>
      <c r="L132" t="s">
        <v>1805</v>
      </c>
      <c r="M132">
        <v>0</v>
      </c>
      <c r="N132">
        <v>22</v>
      </c>
      <c r="O132">
        <v>52</v>
      </c>
      <c r="P132">
        <v>0</v>
      </c>
      <c r="Q132">
        <v>22</v>
      </c>
    </row>
    <row r="133" spans="1:17" hidden="1" x14ac:dyDescent="0.25">
      <c r="A133" t="s">
        <v>3196</v>
      </c>
      <c r="B133" t="s">
        <v>3197</v>
      </c>
      <c r="C133">
        <v>132</v>
      </c>
      <c r="D133">
        <v>383</v>
      </c>
      <c r="E133">
        <v>1</v>
      </c>
      <c r="F133">
        <v>33</v>
      </c>
      <c r="G133">
        <v>114</v>
      </c>
      <c r="H133" t="s">
        <v>160</v>
      </c>
      <c r="I133" t="s">
        <v>160</v>
      </c>
      <c r="J133" t="s">
        <v>24</v>
      </c>
      <c r="K133" t="s">
        <v>1468</v>
      </c>
      <c r="L133" t="s">
        <v>155</v>
      </c>
      <c r="M133">
        <v>0</v>
      </c>
      <c r="N133">
        <v>22</v>
      </c>
      <c r="O133">
        <v>55</v>
      </c>
      <c r="P133">
        <v>0</v>
      </c>
      <c r="Q133">
        <v>22</v>
      </c>
    </row>
    <row r="134" spans="1:17" hidden="1" x14ac:dyDescent="0.25">
      <c r="A134" t="s">
        <v>3198</v>
      </c>
      <c r="B134" t="s">
        <v>3199</v>
      </c>
      <c r="C134">
        <v>133</v>
      </c>
      <c r="D134">
        <v>6</v>
      </c>
      <c r="E134">
        <v>1</v>
      </c>
      <c r="F134">
        <v>3</v>
      </c>
      <c r="G134">
        <v>19</v>
      </c>
      <c r="H134" t="s">
        <v>158</v>
      </c>
      <c r="I134" t="s">
        <v>158</v>
      </c>
      <c r="J134" t="s">
        <v>23</v>
      </c>
      <c r="K134" t="s">
        <v>193</v>
      </c>
      <c r="L134" t="s">
        <v>43</v>
      </c>
      <c r="M134">
        <v>0</v>
      </c>
      <c r="N134">
        <v>23</v>
      </c>
      <c r="O134">
        <v>5</v>
      </c>
      <c r="P134">
        <v>0</v>
      </c>
      <c r="Q134">
        <v>23</v>
      </c>
    </row>
    <row r="135" spans="1:17" hidden="1" x14ac:dyDescent="0.25">
      <c r="A135" t="s">
        <v>3200</v>
      </c>
      <c r="B135" t="s">
        <v>3201</v>
      </c>
      <c r="C135">
        <v>134</v>
      </c>
      <c r="D135">
        <v>104</v>
      </c>
      <c r="E135">
        <v>1</v>
      </c>
      <c r="F135">
        <v>52</v>
      </c>
      <c r="G135">
        <v>115</v>
      </c>
      <c r="H135" t="s">
        <v>67</v>
      </c>
      <c r="I135" t="s">
        <v>67</v>
      </c>
      <c r="J135" t="s">
        <v>24</v>
      </c>
      <c r="K135" t="s">
        <v>2341</v>
      </c>
      <c r="L135" t="s">
        <v>14</v>
      </c>
      <c r="M135">
        <v>0</v>
      </c>
      <c r="N135">
        <v>23</v>
      </c>
      <c r="O135">
        <v>12</v>
      </c>
      <c r="P135">
        <v>0</v>
      </c>
      <c r="Q135">
        <v>23</v>
      </c>
    </row>
    <row r="136" spans="1:17" hidden="1" x14ac:dyDescent="0.25">
      <c r="A136" t="s">
        <v>3202</v>
      </c>
      <c r="B136" t="s">
        <v>3203</v>
      </c>
      <c r="C136">
        <v>135</v>
      </c>
      <c r="D136">
        <v>375</v>
      </c>
      <c r="E136">
        <v>1</v>
      </c>
      <c r="F136">
        <v>34</v>
      </c>
      <c r="G136">
        <v>116</v>
      </c>
      <c r="H136" t="s">
        <v>160</v>
      </c>
      <c r="I136" t="s">
        <v>160</v>
      </c>
      <c r="J136" t="s">
        <v>24</v>
      </c>
      <c r="K136" t="s">
        <v>211</v>
      </c>
      <c r="L136" t="s">
        <v>38</v>
      </c>
      <c r="M136">
        <v>0</v>
      </c>
      <c r="N136">
        <v>23</v>
      </c>
      <c r="O136">
        <v>13</v>
      </c>
      <c r="P136">
        <v>0</v>
      </c>
      <c r="Q136">
        <v>23</v>
      </c>
    </row>
    <row r="137" spans="1:17" hidden="1" x14ac:dyDescent="0.25">
      <c r="A137" t="s">
        <v>3204</v>
      </c>
      <c r="B137" t="s">
        <v>3205</v>
      </c>
      <c r="C137">
        <v>136</v>
      </c>
      <c r="D137">
        <v>135</v>
      </c>
      <c r="E137">
        <v>1</v>
      </c>
      <c r="F137">
        <v>35</v>
      </c>
      <c r="G137">
        <v>117</v>
      </c>
      <c r="H137" t="s">
        <v>160</v>
      </c>
      <c r="I137" t="s">
        <v>160</v>
      </c>
      <c r="J137" t="s">
        <v>24</v>
      </c>
      <c r="K137" t="s">
        <v>1826</v>
      </c>
      <c r="L137" t="s">
        <v>63</v>
      </c>
      <c r="M137">
        <v>0</v>
      </c>
      <c r="N137">
        <v>23</v>
      </c>
      <c r="O137">
        <v>18</v>
      </c>
      <c r="P137">
        <v>0</v>
      </c>
      <c r="Q137">
        <v>23</v>
      </c>
    </row>
    <row r="138" spans="1:17" hidden="1" x14ac:dyDescent="0.25">
      <c r="A138" t="s">
        <v>3206</v>
      </c>
      <c r="B138" t="s">
        <v>3207</v>
      </c>
      <c r="C138">
        <v>137</v>
      </c>
      <c r="D138">
        <v>100</v>
      </c>
      <c r="E138">
        <v>1</v>
      </c>
      <c r="F138">
        <v>5</v>
      </c>
      <c r="G138">
        <v>20</v>
      </c>
      <c r="H138" t="s">
        <v>157</v>
      </c>
      <c r="I138" t="s">
        <v>157</v>
      </c>
      <c r="J138" t="s">
        <v>23</v>
      </c>
      <c r="K138" t="s">
        <v>379</v>
      </c>
      <c r="L138" t="s">
        <v>12</v>
      </c>
      <c r="M138">
        <v>0</v>
      </c>
      <c r="N138">
        <v>23</v>
      </c>
      <c r="O138">
        <v>21</v>
      </c>
      <c r="P138">
        <v>0</v>
      </c>
      <c r="Q138">
        <v>23</v>
      </c>
    </row>
    <row r="139" spans="1:17" hidden="1" x14ac:dyDescent="0.25">
      <c r="A139" t="s">
        <v>3208</v>
      </c>
      <c r="B139" t="s">
        <v>3209</v>
      </c>
      <c r="C139">
        <v>138</v>
      </c>
      <c r="D139">
        <v>26</v>
      </c>
      <c r="E139">
        <v>1</v>
      </c>
      <c r="F139">
        <v>6</v>
      </c>
      <c r="G139">
        <v>21</v>
      </c>
      <c r="H139" t="s">
        <v>157</v>
      </c>
      <c r="I139" t="s">
        <v>157</v>
      </c>
      <c r="J139" t="s">
        <v>23</v>
      </c>
      <c r="K139" t="s">
        <v>2218</v>
      </c>
      <c r="L139" t="s">
        <v>1805</v>
      </c>
      <c r="M139">
        <v>0</v>
      </c>
      <c r="N139">
        <v>23</v>
      </c>
      <c r="O139">
        <v>23</v>
      </c>
      <c r="P139">
        <v>0</v>
      </c>
      <c r="Q139">
        <v>23</v>
      </c>
    </row>
    <row r="140" spans="1:17" hidden="1" x14ac:dyDescent="0.25">
      <c r="A140" t="s">
        <v>3210</v>
      </c>
      <c r="B140" t="s">
        <v>3211</v>
      </c>
      <c r="C140">
        <v>139</v>
      </c>
      <c r="D140">
        <v>141</v>
      </c>
      <c r="E140">
        <v>1</v>
      </c>
      <c r="F140">
        <v>53</v>
      </c>
      <c r="G140">
        <v>118</v>
      </c>
      <c r="H140" t="s">
        <v>67</v>
      </c>
      <c r="I140" t="s">
        <v>67</v>
      </c>
      <c r="J140" t="s">
        <v>24</v>
      </c>
      <c r="K140" t="s">
        <v>2942</v>
      </c>
      <c r="L140" t="s">
        <v>14</v>
      </c>
      <c r="M140">
        <v>0</v>
      </c>
      <c r="N140">
        <v>23</v>
      </c>
      <c r="O140">
        <v>26</v>
      </c>
      <c r="P140">
        <v>0</v>
      </c>
      <c r="Q140">
        <v>23</v>
      </c>
    </row>
    <row r="141" spans="1:17" hidden="1" x14ac:dyDescent="0.25">
      <c r="A141" t="s">
        <v>3212</v>
      </c>
      <c r="B141" t="s">
        <v>3213</v>
      </c>
      <c r="C141">
        <v>140</v>
      </c>
      <c r="D141">
        <v>469</v>
      </c>
      <c r="E141">
        <v>1</v>
      </c>
      <c r="F141">
        <v>4</v>
      </c>
      <c r="G141">
        <v>22</v>
      </c>
      <c r="H141" t="s">
        <v>158</v>
      </c>
      <c r="I141" t="s">
        <v>158</v>
      </c>
      <c r="J141" t="s">
        <v>23</v>
      </c>
      <c r="K141" t="s">
        <v>1511</v>
      </c>
      <c r="L141" t="s">
        <v>155</v>
      </c>
      <c r="M141">
        <v>0</v>
      </c>
      <c r="N141">
        <v>23</v>
      </c>
      <c r="O141">
        <v>31</v>
      </c>
      <c r="P141">
        <v>0</v>
      </c>
      <c r="Q141">
        <v>23</v>
      </c>
    </row>
    <row r="142" spans="1:17" hidden="1" x14ac:dyDescent="0.25">
      <c r="A142" t="s">
        <v>3214</v>
      </c>
      <c r="B142" t="s">
        <v>3215</v>
      </c>
      <c r="C142">
        <v>141</v>
      </c>
      <c r="D142">
        <v>349</v>
      </c>
      <c r="E142">
        <v>1</v>
      </c>
      <c r="F142">
        <v>5</v>
      </c>
      <c r="G142">
        <v>23</v>
      </c>
      <c r="H142" t="s">
        <v>158</v>
      </c>
      <c r="I142" t="s">
        <v>158</v>
      </c>
      <c r="J142" t="s">
        <v>23</v>
      </c>
      <c r="K142" t="s">
        <v>1005</v>
      </c>
      <c r="L142" t="s">
        <v>14</v>
      </c>
      <c r="M142">
        <v>0</v>
      </c>
      <c r="N142">
        <v>23</v>
      </c>
      <c r="O142">
        <v>33</v>
      </c>
      <c r="P142">
        <v>0</v>
      </c>
      <c r="Q142">
        <v>23</v>
      </c>
    </row>
    <row r="143" spans="1:17" hidden="1" x14ac:dyDescent="0.25">
      <c r="A143" t="s">
        <v>3216</v>
      </c>
      <c r="B143" t="s">
        <v>3217</v>
      </c>
      <c r="C143">
        <v>142</v>
      </c>
      <c r="D143">
        <v>126</v>
      </c>
      <c r="E143">
        <v>1</v>
      </c>
      <c r="F143">
        <v>6</v>
      </c>
      <c r="G143">
        <v>24</v>
      </c>
      <c r="H143" t="s">
        <v>158</v>
      </c>
      <c r="I143" t="s">
        <v>158</v>
      </c>
      <c r="J143" t="s">
        <v>23</v>
      </c>
      <c r="K143" t="s">
        <v>2937</v>
      </c>
      <c r="L143" t="s">
        <v>10</v>
      </c>
      <c r="M143">
        <v>0</v>
      </c>
      <c r="N143">
        <v>23</v>
      </c>
      <c r="O143">
        <v>36</v>
      </c>
      <c r="P143">
        <v>0</v>
      </c>
      <c r="Q143">
        <v>23</v>
      </c>
    </row>
    <row r="144" spans="1:17" hidden="1" x14ac:dyDescent="0.25">
      <c r="A144" t="s">
        <v>3218</v>
      </c>
      <c r="B144" t="s">
        <v>3219</v>
      </c>
      <c r="C144">
        <v>143</v>
      </c>
      <c r="D144">
        <v>327</v>
      </c>
      <c r="E144">
        <v>1</v>
      </c>
      <c r="F144">
        <v>2</v>
      </c>
      <c r="G144">
        <v>119</v>
      </c>
      <c r="H144" t="s">
        <v>1817</v>
      </c>
      <c r="I144" t="s">
        <v>1817</v>
      </c>
      <c r="J144" t="s">
        <v>24</v>
      </c>
      <c r="K144" t="s">
        <v>421</v>
      </c>
      <c r="L144" t="s">
        <v>14</v>
      </c>
      <c r="M144">
        <v>0</v>
      </c>
      <c r="N144">
        <v>23</v>
      </c>
      <c r="O144">
        <v>37</v>
      </c>
      <c r="P144">
        <v>0</v>
      </c>
      <c r="Q144">
        <v>23</v>
      </c>
    </row>
    <row r="145" spans="1:17" hidden="1" x14ac:dyDescent="0.25">
      <c r="A145" t="s">
        <v>3220</v>
      </c>
      <c r="B145" t="s">
        <v>3221</v>
      </c>
      <c r="C145">
        <v>144</v>
      </c>
      <c r="D145">
        <v>352</v>
      </c>
      <c r="E145">
        <v>1</v>
      </c>
      <c r="F145">
        <v>36</v>
      </c>
      <c r="G145">
        <v>120</v>
      </c>
      <c r="H145" t="s">
        <v>160</v>
      </c>
      <c r="I145" t="s">
        <v>160</v>
      </c>
      <c r="J145" t="s">
        <v>24</v>
      </c>
      <c r="K145" t="s">
        <v>2944</v>
      </c>
      <c r="L145" t="s">
        <v>12</v>
      </c>
      <c r="M145">
        <v>0</v>
      </c>
      <c r="N145">
        <v>23</v>
      </c>
      <c r="O145">
        <v>38</v>
      </c>
      <c r="P145">
        <v>0</v>
      </c>
      <c r="Q145">
        <v>23</v>
      </c>
    </row>
    <row r="146" spans="1:17" hidden="1" x14ac:dyDescent="0.25">
      <c r="A146" t="s">
        <v>3222</v>
      </c>
      <c r="B146" t="s">
        <v>3223</v>
      </c>
      <c r="C146">
        <v>145</v>
      </c>
      <c r="D146">
        <v>113</v>
      </c>
      <c r="E146">
        <v>1</v>
      </c>
      <c r="F146">
        <v>9</v>
      </c>
      <c r="G146">
        <v>121</v>
      </c>
      <c r="H146" t="s">
        <v>162</v>
      </c>
      <c r="I146" t="s">
        <v>162</v>
      </c>
      <c r="J146" t="s">
        <v>24</v>
      </c>
      <c r="K146" t="s">
        <v>1164</v>
      </c>
      <c r="L146" t="s">
        <v>2480</v>
      </c>
      <c r="M146">
        <v>0</v>
      </c>
      <c r="N146">
        <v>23</v>
      </c>
      <c r="O146">
        <v>39</v>
      </c>
      <c r="P146">
        <v>0</v>
      </c>
      <c r="Q146">
        <v>23</v>
      </c>
    </row>
    <row r="147" spans="1:17" hidden="1" x14ac:dyDescent="0.25">
      <c r="A147" t="s">
        <v>3224</v>
      </c>
      <c r="B147" t="s">
        <v>3225</v>
      </c>
      <c r="C147">
        <v>146</v>
      </c>
      <c r="D147">
        <v>52</v>
      </c>
      <c r="E147">
        <v>1</v>
      </c>
      <c r="F147">
        <v>6</v>
      </c>
      <c r="G147">
        <v>25</v>
      </c>
      <c r="H147" t="s">
        <v>156</v>
      </c>
      <c r="I147" t="s">
        <v>156</v>
      </c>
      <c r="J147" t="s">
        <v>23</v>
      </c>
      <c r="K147" t="s">
        <v>1589</v>
      </c>
      <c r="L147" t="s">
        <v>12</v>
      </c>
      <c r="M147">
        <v>0</v>
      </c>
      <c r="N147">
        <v>23</v>
      </c>
      <c r="O147">
        <v>41</v>
      </c>
      <c r="P147">
        <v>0</v>
      </c>
      <c r="Q147">
        <v>23</v>
      </c>
    </row>
    <row r="148" spans="1:17" hidden="1" x14ac:dyDescent="0.25">
      <c r="A148" t="s">
        <v>3226</v>
      </c>
      <c r="B148" t="s">
        <v>3227</v>
      </c>
      <c r="C148">
        <v>147</v>
      </c>
      <c r="D148">
        <v>116</v>
      </c>
      <c r="E148">
        <v>1</v>
      </c>
      <c r="F148">
        <v>7</v>
      </c>
      <c r="G148">
        <v>26</v>
      </c>
      <c r="H148" t="s">
        <v>157</v>
      </c>
      <c r="I148" t="s">
        <v>157</v>
      </c>
      <c r="J148" t="s">
        <v>23</v>
      </c>
      <c r="K148" t="s">
        <v>1836</v>
      </c>
      <c r="L148" t="s">
        <v>43</v>
      </c>
      <c r="M148">
        <v>0</v>
      </c>
      <c r="N148">
        <v>23</v>
      </c>
      <c r="O148">
        <v>42</v>
      </c>
      <c r="P148">
        <v>0</v>
      </c>
      <c r="Q148">
        <v>23</v>
      </c>
    </row>
    <row r="149" spans="1:17" hidden="1" x14ac:dyDescent="0.25">
      <c r="A149" t="s">
        <v>3228</v>
      </c>
      <c r="B149" t="s">
        <v>3229</v>
      </c>
      <c r="C149">
        <v>148</v>
      </c>
      <c r="D149">
        <v>145</v>
      </c>
      <c r="E149">
        <v>1</v>
      </c>
      <c r="F149">
        <v>54</v>
      </c>
      <c r="G149">
        <v>122</v>
      </c>
      <c r="H149" t="s">
        <v>67</v>
      </c>
      <c r="I149" t="s">
        <v>67</v>
      </c>
      <c r="J149" t="s">
        <v>24</v>
      </c>
      <c r="K149" t="s">
        <v>2943</v>
      </c>
      <c r="L149" t="s">
        <v>2264</v>
      </c>
      <c r="M149">
        <v>0</v>
      </c>
      <c r="N149">
        <v>23</v>
      </c>
      <c r="O149">
        <v>43</v>
      </c>
      <c r="P149">
        <v>0</v>
      </c>
      <c r="Q149">
        <v>23</v>
      </c>
    </row>
    <row r="150" spans="1:17" hidden="1" x14ac:dyDescent="0.25">
      <c r="A150" t="s">
        <v>3230</v>
      </c>
      <c r="B150" t="s">
        <v>3231</v>
      </c>
      <c r="C150">
        <v>149</v>
      </c>
      <c r="D150">
        <v>382</v>
      </c>
      <c r="E150">
        <v>1</v>
      </c>
      <c r="F150">
        <v>10</v>
      </c>
      <c r="G150">
        <v>123</v>
      </c>
      <c r="H150" t="s">
        <v>162</v>
      </c>
      <c r="I150" t="s">
        <v>162</v>
      </c>
      <c r="J150" t="s">
        <v>24</v>
      </c>
      <c r="K150" t="s">
        <v>371</v>
      </c>
      <c r="L150" t="s">
        <v>155</v>
      </c>
      <c r="M150">
        <v>0</v>
      </c>
      <c r="N150">
        <v>23</v>
      </c>
      <c r="O150">
        <v>44</v>
      </c>
      <c r="P150">
        <v>0</v>
      </c>
      <c r="Q150">
        <v>23</v>
      </c>
    </row>
    <row r="151" spans="1:17" x14ac:dyDescent="0.25">
      <c r="A151" t="s">
        <v>3232</v>
      </c>
      <c r="B151" t="s">
        <v>3233</v>
      </c>
      <c r="C151">
        <v>150</v>
      </c>
      <c r="D151">
        <v>424</v>
      </c>
      <c r="E151">
        <v>1</v>
      </c>
      <c r="F151">
        <v>8</v>
      </c>
      <c r="G151">
        <v>27</v>
      </c>
      <c r="H151" t="s">
        <v>157</v>
      </c>
      <c r="I151" t="s">
        <v>157</v>
      </c>
      <c r="J151" t="s">
        <v>23</v>
      </c>
      <c r="K151" t="s">
        <v>1059</v>
      </c>
      <c r="L151" t="s">
        <v>154</v>
      </c>
      <c r="M151">
        <v>17</v>
      </c>
      <c r="N151">
        <v>23</v>
      </c>
      <c r="O151">
        <v>45</v>
      </c>
      <c r="P151">
        <v>0</v>
      </c>
      <c r="Q151">
        <v>23</v>
      </c>
    </row>
    <row r="152" spans="1:17" hidden="1" x14ac:dyDescent="0.25">
      <c r="A152" t="s">
        <v>3234</v>
      </c>
      <c r="B152" t="s">
        <v>3235</v>
      </c>
      <c r="C152">
        <v>151</v>
      </c>
      <c r="D152">
        <v>397</v>
      </c>
      <c r="E152">
        <v>1</v>
      </c>
      <c r="F152">
        <v>37</v>
      </c>
      <c r="G152">
        <v>124</v>
      </c>
      <c r="H152" t="s">
        <v>160</v>
      </c>
      <c r="I152" t="s">
        <v>160</v>
      </c>
      <c r="J152" t="s">
        <v>24</v>
      </c>
      <c r="K152" t="s">
        <v>1784</v>
      </c>
      <c r="L152" t="s">
        <v>12</v>
      </c>
      <c r="M152">
        <v>0</v>
      </c>
      <c r="N152">
        <v>23</v>
      </c>
      <c r="O152">
        <v>46</v>
      </c>
      <c r="P152">
        <v>0</v>
      </c>
      <c r="Q152">
        <v>23</v>
      </c>
    </row>
    <row r="153" spans="1:17" hidden="1" x14ac:dyDescent="0.25">
      <c r="A153" t="s">
        <v>3236</v>
      </c>
      <c r="B153" t="s">
        <v>3237</v>
      </c>
      <c r="C153">
        <v>152</v>
      </c>
      <c r="D153">
        <v>415</v>
      </c>
      <c r="E153">
        <v>1</v>
      </c>
      <c r="F153">
        <v>5</v>
      </c>
      <c r="G153">
        <v>28</v>
      </c>
      <c r="H153" t="s">
        <v>159</v>
      </c>
      <c r="I153" t="s">
        <v>159</v>
      </c>
      <c r="J153" t="s">
        <v>23</v>
      </c>
      <c r="K153" t="s">
        <v>375</v>
      </c>
      <c r="L153" t="s">
        <v>108</v>
      </c>
      <c r="M153">
        <v>0</v>
      </c>
      <c r="N153">
        <v>23</v>
      </c>
      <c r="O153">
        <v>49</v>
      </c>
      <c r="P153">
        <v>0</v>
      </c>
      <c r="Q153">
        <v>23</v>
      </c>
    </row>
    <row r="154" spans="1:17" hidden="1" x14ac:dyDescent="0.25">
      <c r="A154" t="s">
        <v>3238</v>
      </c>
      <c r="B154" t="s">
        <v>3239</v>
      </c>
      <c r="C154">
        <v>153</v>
      </c>
      <c r="D154">
        <v>400</v>
      </c>
      <c r="E154">
        <v>1</v>
      </c>
      <c r="F154">
        <v>38</v>
      </c>
      <c r="G154">
        <v>125</v>
      </c>
      <c r="H154" t="s">
        <v>160</v>
      </c>
      <c r="I154" t="s">
        <v>160</v>
      </c>
      <c r="J154" t="s">
        <v>24</v>
      </c>
      <c r="K154" t="s">
        <v>1465</v>
      </c>
      <c r="L154" t="s">
        <v>12</v>
      </c>
      <c r="M154">
        <v>0</v>
      </c>
      <c r="N154">
        <v>23</v>
      </c>
      <c r="O154">
        <v>57</v>
      </c>
      <c r="P154">
        <v>0</v>
      </c>
      <c r="Q154">
        <v>23</v>
      </c>
    </row>
    <row r="155" spans="1:17" hidden="1" x14ac:dyDescent="0.25">
      <c r="A155" t="s">
        <v>3240</v>
      </c>
      <c r="B155" t="s">
        <v>3241</v>
      </c>
      <c r="C155">
        <v>154</v>
      </c>
      <c r="D155">
        <v>481</v>
      </c>
      <c r="E155">
        <v>1</v>
      </c>
      <c r="F155">
        <v>55</v>
      </c>
      <c r="G155">
        <v>126</v>
      </c>
      <c r="H155" t="s">
        <v>67</v>
      </c>
      <c r="I155" t="s">
        <v>67</v>
      </c>
      <c r="J155" t="s">
        <v>24</v>
      </c>
      <c r="K155" t="s">
        <v>2349</v>
      </c>
      <c r="L155" t="s">
        <v>63</v>
      </c>
      <c r="M155">
        <v>0</v>
      </c>
      <c r="N155">
        <v>24</v>
      </c>
      <c r="O155">
        <v>1</v>
      </c>
      <c r="P155">
        <v>0</v>
      </c>
      <c r="Q155">
        <v>24</v>
      </c>
    </row>
    <row r="156" spans="1:17" hidden="1" x14ac:dyDescent="0.25">
      <c r="A156" t="s">
        <v>3242</v>
      </c>
      <c r="B156" t="s">
        <v>3243</v>
      </c>
      <c r="C156">
        <v>155</v>
      </c>
      <c r="D156">
        <v>112</v>
      </c>
      <c r="E156">
        <v>1</v>
      </c>
      <c r="F156">
        <v>7</v>
      </c>
      <c r="G156">
        <v>29</v>
      </c>
      <c r="H156" t="s">
        <v>156</v>
      </c>
      <c r="I156" t="s">
        <v>156</v>
      </c>
      <c r="J156" t="s">
        <v>23</v>
      </c>
      <c r="K156" t="s">
        <v>1777</v>
      </c>
      <c r="L156" t="s">
        <v>12</v>
      </c>
      <c r="M156">
        <v>0</v>
      </c>
      <c r="N156">
        <v>24</v>
      </c>
      <c r="O156">
        <v>1</v>
      </c>
      <c r="P156">
        <v>0</v>
      </c>
      <c r="Q156">
        <v>24</v>
      </c>
    </row>
    <row r="157" spans="1:17" x14ac:dyDescent="0.25">
      <c r="A157" t="s">
        <v>3244</v>
      </c>
      <c r="B157" t="s">
        <v>3245</v>
      </c>
      <c r="C157">
        <v>156</v>
      </c>
      <c r="D157">
        <v>498</v>
      </c>
      <c r="E157">
        <v>1</v>
      </c>
      <c r="F157">
        <v>7</v>
      </c>
      <c r="G157">
        <v>30</v>
      </c>
      <c r="H157" t="s">
        <v>158</v>
      </c>
      <c r="I157" t="s">
        <v>158</v>
      </c>
      <c r="J157" t="s">
        <v>23</v>
      </c>
      <c r="K157" t="s">
        <v>2353</v>
      </c>
      <c r="L157" t="s">
        <v>154</v>
      </c>
      <c r="M157">
        <v>16</v>
      </c>
      <c r="N157">
        <v>24</v>
      </c>
      <c r="O157">
        <v>2</v>
      </c>
      <c r="P157">
        <v>0</v>
      </c>
      <c r="Q157">
        <v>24</v>
      </c>
    </row>
    <row r="158" spans="1:17" hidden="1" x14ac:dyDescent="0.25">
      <c r="A158" t="s">
        <v>3246</v>
      </c>
      <c r="B158" t="s">
        <v>3247</v>
      </c>
      <c r="C158">
        <v>157</v>
      </c>
      <c r="D158">
        <v>343</v>
      </c>
      <c r="E158">
        <v>1</v>
      </c>
      <c r="F158">
        <v>8</v>
      </c>
      <c r="G158">
        <v>31</v>
      </c>
      <c r="H158" t="s">
        <v>158</v>
      </c>
      <c r="I158" t="s">
        <v>158</v>
      </c>
      <c r="J158" t="s">
        <v>23</v>
      </c>
      <c r="K158" t="s">
        <v>181</v>
      </c>
      <c r="L158" t="s">
        <v>12</v>
      </c>
      <c r="M158">
        <v>0</v>
      </c>
      <c r="N158">
        <v>24</v>
      </c>
      <c r="O158">
        <v>3</v>
      </c>
      <c r="P158">
        <v>0</v>
      </c>
      <c r="Q158">
        <v>24</v>
      </c>
    </row>
    <row r="159" spans="1:17" hidden="1" x14ac:dyDescent="0.25">
      <c r="A159" t="s">
        <v>3248</v>
      </c>
      <c r="B159" t="s">
        <v>3249</v>
      </c>
      <c r="C159">
        <v>158</v>
      </c>
      <c r="D159">
        <v>127</v>
      </c>
      <c r="E159">
        <v>1</v>
      </c>
      <c r="F159">
        <v>8</v>
      </c>
      <c r="G159">
        <v>32</v>
      </c>
      <c r="H159" t="s">
        <v>156</v>
      </c>
      <c r="I159" t="s">
        <v>156</v>
      </c>
      <c r="J159" t="s">
        <v>23</v>
      </c>
      <c r="K159" t="s">
        <v>2938</v>
      </c>
      <c r="L159" t="s">
        <v>10</v>
      </c>
      <c r="M159">
        <v>0</v>
      </c>
      <c r="N159">
        <v>24</v>
      </c>
      <c r="O159">
        <v>5</v>
      </c>
      <c r="P159">
        <v>0</v>
      </c>
      <c r="Q159">
        <v>24</v>
      </c>
    </row>
    <row r="160" spans="1:17" hidden="1" x14ac:dyDescent="0.25">
      <c r="A160" t="s">
        <v>3250</v>
      </c>
      <c r="B160" t="s">
        <v>3251</v>
      </c>
      <c r="C160">
        <v>159</v>
      </c>
      <c r="D160">
        <v>428</v>
      </c>
      <c r="E160">
        <v>1</v>
      </c>
      <c r="F160">
        <v>39</v>
      </c>
      <c r="G160">
        <v>127</v>
      </c>
      <c r="H160" t="s">
        <v>160</v>
      </c>
      <c r="I160" t="s">
        <v>160</v>
      </c>
      <c r="J160" t="s">
        <v>24</v>
      </c>
      <c r="K160" t="s">
        <v>2939</v>
      </c>
      <c r="L160" t="s">
        <v>38</v>
      </c>
      <c r="M160">
        <v>0</v>
      </c>
      <c r="N160">
        <v>24</v>
      </c>
      <c r="O160">
        <v>7</v>
      </c>
      <c r="P160">
        <v>0</v>
      </c>
      <c r="Q160">
        <v>24</v>
      </c>
    </row>
    <row r="161" spans="1:17" hidden="1" x14ac:dyDescent="0.25">
      <c r="A161" t="s">
        <v>3252</v>
      </c>
      <c r="B161" t="s">
        <v>3253</v>
      </c>
      <c r="C161">
        <v>160</v>
      </c>
      <c r="D161">
        <v>408</v>
      </c>
      <c r="E161">
        <v>1</v>
      </c>
      <c r="F161">
        <v>9</v>
      </c>
      <c r="G161">
        <v>33</v>
      </c>
      <c r="H161" t="s">
        <v>156</v>
      </c>
      <c r="I161" t="s">
        <v>156</v>
      </c>
      <c r="J161" t="s">
        <v>23</v>
      </c>
      <c r="K161" t="s">
        <v>794</v>
      </c>
      <c r="L161" t="s">
        <v>108</v>
      </c>
      <c r="M161">
        <v>0</v>
      </c>
      <c r="N161">
        <v>24</v>
      </c>
      <c r="O161">
        <v>8</v>
      </c>
      <c r="P161">
        <v>0</v>
      </c>
      <c r="Q161">
        <v>24</v>
      </c>
    </row>
    <row r="162" spans="1:17" x14ac:dyDescent="0.25">
      <c r="A162" t="s">
        <v>3254</v>
      </c>
      <c r="B162" t="s">
        <v>3255</v>
      </c>
      <c r="C162">
        <v>161</v>
      </c>
      <c r="D162">
        <v>442</v>
      </c>
      <c r="E162">
        <v>1</v>
      </c>
      <c r="F162">
        <v>9</v>
      </c>
      <c r="G162">
        <v>34</v>
      </c>
      <c r="H162" t="s">
        <v>157</v>
      </c>
      <c r="I162" t="s">
        <v>157</v>
      </c>
      <c r="J162" t="s">
        <v>23</v>
      </c>
      <c r="K162" t="s">
        <v>1855</v>
      </c>
      <c r="L162" t="s">
        <v>154</v>
      </c>
      <c r="M162">
        <v>15</v>
      </c>
      <c r="N162">
        <v>24</v>
      </c>
      <c r="O162">
        <v>8</v>
      </c>
      <c r="P162">
        <v>0</v>
      </c>
      <c r="Q162">
        <v>24</v>
      </c>
    </row>
    <row r="163" spans="1:17" hidden="1" x14ac:dyDescent="0.25">
      <c r="A163" t="s">
        <v>3256</v>
      </c>
      <c r="B163" t="s">
        <v>3257</v>
      </c>
      <c r="C163">
        <v>162</v>
      </c>
      <c r="D163">
        <v>5</v>
      </c>
      <c r="E163">
        <v>1</v>
      </c>
      <c r="F163">
        <v>10</v>
      </c>
      <c r="G163">
        <v>35</v>
      </c>
      <c r="H163" t="s">
        <v>157</v>
      </c>
      <c r="I163" t="s">
        <v>157</v>
      </c>
      <c r="J163" t="s">
        <v>23</v>
      </c>
      <c r="K163" t="s">
        <v>675</v>
      </c>
      <c r="L163" t="s">
        <v>43</v>
      </c>
      <c r="M163">
        <v>0</v>
      </c>
      <c r="N163">
        <v>24</v>
      </c>
      <c r="O163">
        <v>9</v>
      </c>
      <c r="P163">
        <v>0</v>
      </c>
      <c r="Q163">
        <v>24</v>
      </c>
    </row>
    <row r="164" spans="1:17" hidden="1" x14ac:dyDescent="0.25">
      <c r="A164" t="s">
        <v>3258</v>
      </c>
      <c r="B164" t="s">
        <v>3259</v>
      </c>
      <c r="C164">
        <v>163</v>
      </c>
      <c r="D164">
        <v>33</v>
      </c>
      <c r="E164">
        <v>1</v>
      </c>
      <c r="F164">
        <v>19</v>
      </c>
      <c r="G164">
        <v>128</v>
      </c>
      <c r="H164" t="s">
        <v>161</v>
      </c>
      <c r="I164" t="s">
        <v>161</v>
      </c>
      <c r="J164" t="s">
        <v>24</v>
      </c>
      <c r="K164" t="s">
        <v>2455</v>
      </c>
      <c r="L164" t="s">
        <v>14</v>
      </c>
      <c r="M164">
        <v>0</v>
      </c>
      <c r="N164">
        <v>24</v>
      </c>
      <c r="O164">
        <v>15</v>
      </c>
      <c r="P164">
        <v>0</v>
      </c>
      <c r="Q164">
        <v>24</v>
      </c>
    </row>
    <row r="165" spans="1:17" hidden="1" x14ac:dyDescent="0.25">
      <c r="A165" t="s">
        <v>3260</v>
      </c>
      <c r="B165" t="s">
        <v>3261</v>
      </c>
      <c r="C165">
        <v>164</v>
      </c>
      <c r="D165">
        <v>82</v>
      </c>
      <c r="E165">
        <v>1</v>
      </c>
      <c r="F165">
        <v>40</v>
      </c>
      <c r="G165">
        <v>129</v>
      </c>
      <c r="H165" t="s">
        <v>160</v>
      </c>
      <c r="I165" t="s">
        <v>160</v>
      </c>
      <c r="J165" t="s">
        <v>24</v>
      </c>
      <c r="K165" t="s">
        <v>2927</v>
      </c>
      <c r="L165" t="s">
        <v>63</v>
      </c>
      <c r="M165">
        <v>0</v>
      </c>
      <c r="N165">
        <v>24</v>
      </c>
      <c r="O165">
        <v>22</v>
      </c>
      <c r="P165">
        <v>0</v>
      </c>
      <c r="Q165">
        <v>24</v>
      </c>
    </row>
    <row r="166" spans="1:17" hidden="1" x14ac:dyDescent="0.25">
      <c r="A166" t="s">
        <v>3262</v>
      </c>
      <c r="B166" t="s">
        <v>3263</v>
      </c>
      <c r="C166">
        <v>165</v>
      </c>
      <c r="D166">
        <v>64</v>
      </c>
      <c r="E166">
        <v>1</v>
      </c>
      <c r="F166">
        <v>20</v>
      </c>
      <c r="G166">
        <v>130</v>
      </c>
      <c r="H166" t="s">
        <v>161</v>
      </c>
      <c r="I166" t="s">
        <v>161</v>
      </c>
      <c r="J166" t="s">
        <v>24</v>
      </c>
      <c r="K166" t="s">
        <v>1575</v>
      </c>
      <c r="L166" t="s">
        <v>12</v>
      </c>
      <c r="M166">
        <v>0</v>
      </c>
      <c r="N166">
        <v>24</v>
      </c>
      <c r="O166">
        <v>23</v>
      </c>
      <c r="P166">
        <v>0</v>
      </c>
      <c r="Q166">
        <v>24</v>
      </c>
    </row>
    <row r="167" spans="1:17" hidden="1" x14ac:dyDescent="0.25">
      <c r="A167" t="s">
        <v>3264</v>
      </c>
      <c r="B167" t="s">
        <v>3265</v>
      </c>
      <c r="C167">
        <v>166</v>
      </c>
      <c r="D167">
        <v>414</v>
      </c>
      <c r="E167">
        <v>1</v>
      </c>
      <c r="F167">
        <v>21</v>
      </c>
      <c r="G167">
        <v>131</v>
      </c>
      <c r="H167" t="s">
        <v>161</v>
      </c>
      <c r="I167" t="s">
        <v>161</v>
      </c>
      <c r="J167" t="s">
        <v>24</v>
      </c>
      <c r="K167" t="s">
        <v>1571</v>
      </c>
      <c r="L167" t="s">
        <v>108</v>
      </c>
      <c r="M167">
        <v>0</v>
      </c>
      <c r="N167">
        <v>24</v>
      </c>
      <c r="O167">
        <v>24</v>
      </c>
      <c r="P167">
        <v>0</v>
      </c>
      <c r="Q167">
        <v>24</v>
      </c>
    </row>
    <row r="168" spans="1:17" hidden="1" x14ac:dyDescent="0.25">
      <c r="A168" t="s">
        <v>3266</v>
      </c>
      <c r="B168" t="s">
        <v>3267</v>
      </c>
      <c r="C168">
        <v>167</v>
      </c>
      <c r="D168">
        <v>478</v>
      </c>
      <c r="E168">
        <v>1</v>
      </c>
      <c r="F168">
        <v>11</v>
      </c>
      <c r="G168">
        <v>36</v>
      </c>
      <c r="H168" t="s">
        <v>157</v>
      </c>
      <c r="I168" t="s">
        <v>157</v>
      </c>
      <c r="J168" t="s">
        <v>23</v>
      </c>
      <c r="K168" t="s">
        <v>251</v>
      </c>
      <c r="L168" t="s">
        <v>63</v>
      </c>
      <c r="M168">
        <v>0</v>
      </c>
      <c r="N168">
        <v>24</v>
      </c>
      <c r="O168">
        <v>25</v>
      </c>
      <c r="P168">
        <v>0</v>
      </c>
      <c r="Q168">
        <v>24</v>
      </c>
    </row>
    <row r="169" spans="1:17" hidden="1" x14ac:dyDescent="0.25">
      <c r="A169" t="s">
        <v>3268</v>
      </c>
      <c r="B169" t="s">
        <v>3269</v>
      </c>
      <c r="C169">
        <v>168</v>
      </c>
      <c r="D169">
        <v>356</v>
      </c>
      <c r="E169">
        <v>1</v>
      </c>
      <c r="F169">
        <v>11</v>
      </c>
      <c r="G169">
        <v>132</v>
      </c>
      <c r="H169" t="s">
        <v>162</v>
      </c>
      <c r="I169" t="s">
        <v>162</v>
      </c>
      <c r="J169" t="s">
        <v>24</v>
      </c>
      <c r="K169" t="s">
        <v>2736</v>
      </c>
      <c r="L169" t="s">
        <v>108</v>
      </c>
      <c r="M169">
        <v>0</v>
      </c>
      <c r="N169">
        <v>24</v>
      </c>
      <c r="O169">
        <v>30</v>
      </c>
      <c r="P169">
        <v>0</v>
      </c>
      <c r="Q169">
        <v>24</v>
      </c>
    </row>
    <row r="170" spans="1:17" hidden="1" x14ac:dyDescent="0.25">
      <c r="A170" t="s">
        <v>3270</v>
      </c>
      <c r="B170" t="s">
        <v>3271</v>
      </c>
      <c r="C170">
        <v>169</v>
      </c>
      <c r="D170">
        <v>444</v>
      </c>
      <c r="E170">
        <v>1</v>
      </c>
      <c r="F170">
        <v>56</v>
      </c>
      <c r="G170">
        <v>133</v>
      </c>
      <c r="H170" t="s">
        <v>67</v>
      </c>
      <c r="I170" t="s">
        <v>67</v>
      </c>
      <c r="J170" t="s">
        <v>24</v>
      </c>
      <c r="K170" t="s">
        <v>2456</v>
      </c>
      <c r="L170" t="s">
        <v>12</v>
      </c>
      <c r="M170">
        <v>0</v>
      </c>
      <c r="N170">
        <v>24</v>
      </c>
      <c r="O170">
        <v>31</v>
      </c>
      <c r="P170">
        <v>0</v>
      </c>
      <c r="Q170">
        <v>24</v>
      </c>
    </row>
    <row r="171" spans="1:17" hidden="1" x14ac:dyDescent="0.25">
      <c r="A171" t="s">
        <v>3272</v>
      </c>
      <c r="B171" t="s">
        <v>3273</v>
      </c>
      <c r="C171">
        <v>170</v>
      </c>
      <c r="D171">
        <v>483</v>
      </c>
      <c r="E171">
        <v>1</v>
      </c>
      <c r="F171">
        <v>41</v>
      </c>
      <c r="G171">
        <v>134</v>
      </c>
      <c r="H171" t="s">
        <v>160</v>
      </c>
      <c r="I171" t="s">
        <v>160</v>
      </c>
      <c r="J171" t="s">
        <v>24</v>
      </c>
      <c r="K171" t="s">
        <v>961</v>
      </c>
      <c r="L171" t="s">
        <v>12</v>
      </c>
      <c r="M171">
        <v>0</v>
      </c>
      <c r="N171">
        <v>24</v>
      </c>
      <c r="O171">
        <v>38</v>
      </c>
      <c r="P171">
        <v>0</v>
      </c>
      <c r="Q171">
        <v>24</v>
      </c>
    </row>
    <row r="172" spans="1:17" hidden="1" x14ac:dyDescent="0.25">
      <c r="A172" t="s">
        <v>3274</v>
      </c>
      <c r="B172" t="s">
        <v>3275</v>
      </c>
      <c r="C172">
        <v>171</v>
      </c>
      <c r="D172">
        <v>37</v>
      </c>
      <c r="E172">
        <v>1</v>
      </c>
      <c r="F172">
        <v>6</v>
      </c>
      <c r="G172">
        <v>37</v>
      </c>
      <c r="H172" t="s">
        <v>159</v>
      </c>
      <c r="I172" t="s">
        <v>159</v>
      </c>
      <c r="J172" t="s">
        <v>23</v>
      </c>
      <c r="K172" t="s">
        <v>617</v>
      </c>
      <c r="L172" t="s">
        <v>14</v>
      </c>
      <c r="M172">
        <v>0</v>
      </c>
      <c r="N172">
        <v>24</v>
      </c>
      <c r="O172">
        <v>45</v>
      </c>
      <c r="P172">
        <v>0</v>
      </c>
      <c r="Q172">
        <v>24</v>
      </c>
    </row>
    <row r="173" spans="1:17" hidden="1" x14ac:dyDescent="0.25">
      <c r="A173" t="s">
        <v>3276</v>
      </c>
      <c r="B173" t="s">
        <v>3277</v>
      </c>
      <c r="C173">
        <v>172</v>
      </c>
      <c r="D173">
        <v>347</v>
      </c>
      <c r="E173">
        <v>1</v>
      </c>
      <c r="F173">
        <v>7</v>
      </c>
      <c r="G173">
        <v>38</v>
      </c>
      <c r="H173" t="s">
        <v>159</v>
      </c>
      <c r="I173" t="s">
        <v>159</v>
      </c>
      <c r="J173" t="s">
        <v>23</v>
      </c>
      <c r="K173" t="s">
        <v>1182</v>
      </c>
      <c r="L173" t="s">
        <v>63</v>
      </c>
      <c r="M173">
        <v>0</v>
      </c>
      <c r="N173">
        <v>24</v>
      </c>
      <c r="O173">
        <v>45</v>
      </c>
      <c r="P173">
        <v>0</v>
      </c>
      <c r="Q173">
        <v>24</v>
      </c>
    </row>
    <row r="174" spans="1:17" hidden="1" x14ac:dyDescent="0.25">
      <c r="A174" t="s">
        <v>3278</v>
      </c>
      <c r="B174" t="s">
        <v>3279</v>
      </c>
      <c r="C174">
        <v>173</v>
      </c>
      <c r="D174">
        <v>439</v>
      </c>
      <c r="E174">
        <v>1</v>
      </c>
      <c r="F174">
        <v>22</v>
      </c>
      <c r="G174">
        <v>135</v>
      </c>
      <c r="H174" t="s">
        <v>161</v>
      </c>
      <c r="I174" t="s">
        <v>161</v>
      </c>
      <c r="J174" t="s">
        <v>24</v>
      </c>
      <c r="K174" t="s">
        <v>1792</v>
      </c>
      <c r="L174" t="s">
        <v>1805</v>
      </c>
      <c r="M174">
        <v>0</v>
      </c>
      <c r="N174">
        <v>24</v>
      </c>
      <c r="O174">
        <v>51</v>
      </c>
      <c r="P174">
        <v>0</v>
      </c>
      <c r="Q174">
        <v>24</v>
      </c>
    </row>
    <row r="175" spans="1:17" hidden="1" x14ac:dyDescent="0.25">
      <c r="A175" t="s">
        <v>3280</v>
      </c>
      <c r="B175" t="s">
        <v>3281</v>
      </c>
      <c r="C175">
        <v>174</v>
      </c>
      <c r="D175">
        <v>449</v>
      </c>
      <c r="E175">
        <v>1</v>
      </c>
      <c r="F175">
        <v>23</v>
      </c>
      <c r="G175">
        <v>136</v>
      </c>
      <c r="H175" t="s">
        <v>161</v>
      </c>
      <c r="I175" t="s">
        <v>161</v>
      </c>
      <c r="J175" t="s">
        <v>24</v>
      </c>
      <c r="K175" t="s">
        <v>1891</v>
      </c>
      <c r="L175" t="s">
        <v>14</v>
      </c>
      <c r="M175">
        <v>0</v>
      </c>
      <c r="N175">
        <v>24</v>
      </c>
      <c r="O175">
        <v>53</v>
      </c>
      <c r="P175">
        <v>0</v>
      </c>
      <c r="Q175">
        <v>24</v>
      </c>
    </row>
    <row r="176" spans="1:17" hidden="1" x14ac:dyDescent="0.25">
      <c r="A176" t="s">
        <v>3282</v>
      </c>
      <c r="B176" t="s">
        <v>3283</v>
      </c>
      <c r="C176">
        <v>175</v>
      </c>
      <c r="D176">
        <v>489</v>
      </c>
      <c r="E176">
        <v>1</v>
      </c>
      <c r="F176">
        <v>24</v>
      </c>
      <c r="G176">
        <v>137</v>
      </c>
      <c r="H176" t="s">
        <v>161</v>
      </c>
      <c r="I176" t="s">
        <v>161</v>
      </c>
      <c r="J176" t="s">
        <v>24</v>
      </c>
      <c r="K176" t="s">
        <v>2233</v>
      </c>
      <c r="L176" t="s">
        <v>38</v>
      </c>
      <c r="M176">
        <v>0</v>
      </c>
      <c r="N176">
        <v>24</v>
      </c>
      <c r="O176">
        <v>59</v>
      </c>
      <c r="P176">
        <v>0</v>
      </c>
      <c r="Q176">
        <v>24</v>
      </c>
    </row>
    <row r="177" spans="1:17" hidden="1" x14ac:dyDescent="0.25">
      <c r="A177" t="s">
        <v>3284</v>
      </c>
      <c r="B177" t="s">
        <v>3285</v>
      </c>
      <c r="C177">
        <v>176</v>
      </c>
      <c r="D177">
        <v>67</v>
      </c>
      <c r="E177">
        <v>1</v>
      </c>
      <c r="F177">
        <v>42</v>
      </c>
      <c r="G177">
        <v>138</v>
      </c>
      <c r="H177" t="s">
        <v>160</v>
      </c>
      <c r="I177" t="s">
        <v>160</v>
      </c>
      <c r="J177" t="s">
        <v>24</v>
      </c>
      <c r="K177" t="s">
        <v>355</v>
      </c>
      <c r="L177" t="s">
        <v>63</v>
      </c>
      <c r="M177">
        <v>0</v>
      </c>
      <c r="N177">
        <v>25</v>
      </c>
      <c r="O177">
        <v>0</v>
      </c>
      <c r="P177">
        <v>0</v>
      </c>
      <c r="Q177">
        <v>25</v>
      </c>
    </row>
    <row r="178" spans="1:17" hidden="1" x14ac:dyDescent="0.25">
      <c r="A178" t="s">
        <v>3286</v>
      </c>
      <c r="B178" t="s">
        <v>3287</v>
      </c>
      <c r="C178">
        <v>177</v>
      </c>
      <c r="D178">
        <v>94</v>
      </c>
      <c r="E178">
        <v>1</v>
      </c>
      <c r="F178">
        <v>43</v>
      </c>
      <c r="G178">
        <v>139</v>
      </c>
      <c r="H178" t="s">
        <v>160</v>
      </c>
      <c r="I178" t="s">
        <v>160</v>
      </c>
      <c r="J178" t="s">
        <v>24</v>
      </c>
      <c r="K178" t="s">
        <v>1897</v>
      </c>
      <c r="L178" t="s">
        <v>1400</v>
      </c>
      <c r="M178">
        <v>0</v>
      </c>
      <c r="N178">
        <v>25</v>
      </c>
      <c r="O178">
        <v>1</v>
      </c>
      <c r="P178">
        <v>0</v>
      </c>
      <c r="Q178">
        <v>25</v>
      </c>
    </row>
    <row r="179" spans="1:17" hidden="1" x14ac:dyDescent="0.25">
      <c r="A179" t="s">
        <v>3288</v>
      </c>
      <c r="B179" t="s">
        <v>3289</v>
      </c>
      <c r="C179">
        <v>178</v>
      </c>
      <c r="D179">
        <v>85</v>
      </c>
      <c r="E179">
        <v>1</v>
      </c>
      <c r="F179">
        <v>12</v>
      </c>
      <c r="G179">
        <v>39</v>
      </c>
      <c r="H179" t="s">
        <v>157</v>
      </c>
      <c r="I179" t="s">
        <v>157</v>
      </c>
      <c r="J179" t="s">
        <v>23</v>
      </c>
      <c r="K179" t="s">
        <v>2298</v>
      </c>
      <c r="L179" t="s">
        <v>12</v>
      </c>
      <c r="M179">
        <v>0</v>
      </c>
      <c r="N179">
        <v>25</v>
      </c>
      <c r="O179">
        <v>4</v>
      </c>
      <c r="P179">
        <v>0</v>
      </c>
      <c r="Q179">
        <v>25</v>
      </c>
    </row>
    <row r="180" spans="1:17" hidden="1" x14ac:dyDescent="0.25">
      <c r="A180" t="s">
        <v>3290</v>
      </c>
      <c r="B180" t="s">
        <v>3291</v>
      </c>
      <c r="C180">
        <v>179</v>
      </c>
      <c r="D180">
        <v>21</v>
      </c>
      <c r="E180">
        <v>1</v>
      </c>
      <c r="F180">
        <v>44</v>
      </c>
      <c r="G180">
        <v>140</v>
      </c>
      <c r="H180" t="s">
        <v>160</v>
      </c>
      <c r="I180" t="s">
        <v>160</v>
      </c>
      <c r="J180" t="s">
        <v>24</v>
      </c>
      <c r="K180" t="s">
        <v>2360</v>
      </c>
      <c r="L180" t="s">
        <v>12</v>
      </c>
      <c r="M180">
        <v>0</v>
      </c>
      <c r="N180">
        <v>25</v>
      </c>
      <c r="O180">
        <v>4</v>
      </c>
      <c r="P180">
        <v>0</v>
      </c>
      <c r="Q180">
        <v>25</v>
      </c>
    </row>
    <row r="181" spans="1:17" x14ac:dyDescent="0.25">
      <c r="A181" t="s">
        <v>3292</v>
      </c>
      <c r="B181" t="s">
        <v>3293</v>
      </c>
      <c r="C181">
        <v>180</v>
      </c>
      <c r="D181">
        <v>418</v>
      </c>
      <c r="E181">
        <v>1</v>
      </c>
      <c r="F181">
        <v>13</v>
      </c>
      <c r="G181">
        <v>40</v>
      </c>
      <c r="H181" t="s">
        <v>157</v>
      </c>
      <c r="I181" t="s">
        <v>157</v>
      </c>
      <c r="J181" t="s">
        <v>23</v>
      </c>
      <c r="K181" t="s">
        <v>2438</v>
      </c>
      <c r="L181" t="s">
        <v>154</v>
      </c>
      <c r="M181">
        <v>14</v>
      </c>
      <c r="N181">
        <v>25</v>
      </c>
      <c r="O181">
        <v>5</v>
      </c>
      <c r="P181">
        <v>0</v>
      </c>
      <c r="Q181">
        <v>25</v>
      </c>
    </row>
    <row r="182" spans="1:17" hidden="1" x14ac:dyDescent="0.25">
      <c r="A182" t="s">
        <v>3294</v>
      </c>
      <c r="B182" t="s">
        <v>3295</v>
      </c>
      <c r="C182">
        <v>181</v>
      </c>
      <c r="D182">
        <v>105</v>
      </c>
      <c r="E182">
        <v>1</v>
      </c>
      <c r="F182">
        <v>9</v>
      </c>
      <c r="G182">
        <v>41</v>
      </c>
      <c r="H182" t="s">
        <v>158</v>
      </c>
      <c r="I182" t="s">
        <v>158</v>
      </c>
      <c r="J182" t="s">
        <v>23</v>
      </c>
      <c r="K182" t="s">
        <v>1452</v>
      </c>
      <c r="L182" t="s">
        <v>14</v>
      </c>
      <c r="M182">
        <v>0</v>
      </c>
      <c r="N182">
        <v>25</v>
      </c>
      <c r="O182">
        <v>6</v>
      </c>
      <c r="P182">
        <v>0</v>
      </c>
      <c r="Q182">
        <v>25</v>
      </c>
    </row>
    <row r="183" spans="1:17" hidden="1" x14ac:dyDescent="0.25">
      <c r="A183" t="s">
        <v>3296</v>
      </c>
      <c r="B183" t="s">
        <v>3297</v>
      </c>
      <c r="C183">
        <v>182</v>
      </c>
      <c r="D183">
        <v>8</v>
      </c>
      <c r="E183">
        <v>1</v>
      </c>
      <c r="F183">
        <v>10</v>
      </c>
      <c r="G183">
        <v>42</v>
      </c>
      <c r="H183" t="s">
        <v>156</v>
      </c>
      <c r="I183" t="s">
        <v>156</v>
      </c>
      <c r="J183" t="s">
        <v>23</v>
      </c>
      <c r="K183" t="s">
        <v>1899</v>
      </c>
      <c r="L183" t="s">
        <v>43</v>
      </c>
      <c r="M183">
        <v>0</v>
      </c>
      <c r="N183">
        <v>25</v>
      </c>
      <c r="O183">
        <v>7</v>
      </c>
      <c r="P183">
        <v>0</v>
      </c>
      <c r="Q183">
        <v>25</v>
      </c>
    </row>
    <row r="184" spans="1:17" hidden="1" x14ac:dyDescent="0.25">
      <c r="A184" t="s">
        <v>3298</v>
      </c>
      <c r="B184" t="s">
        <v>3299</v>
      </c>
      <c r="C184">
        <v>183</v>
      </c>
      <c r="D184">
        <v>19</v>
      </c>
      <c r="E184">
        <v>1</v>
      </c>
      <c r="F184">
        <v>10</v>
      </c>
      <c r="G184">
        <v>43</v>
      </c>
      <c r="H184" t="s">
        <v>158</v>
      </c>
      <c r="I184" t="s">
        <v>158</v>
      </c>
      <c r="J184" t="s">
        <v>23</v>
      </c>
      <c r="K184" t="s">
        <v>185</v>
      </c>
      <c r="L184" t="s">
        <v>12</v>
      </c>
      <c r="M184">
        <v>0</v>
      </c>
      <c r="N184">
        <v>25</v>
      </c>
      <c r="O184">
        <v>8</v>
      </c>
      <c r="P184">
        <v>0</v>
      </c>
      <c r="Q184">
        <v>25</v>
      </c>
    </row>
    <row r="185" spans="1:17" hidden="1" x14ac:dyDescent="0.25">
      <c r="A185" t="s">
        <v>3300</v>
      </c>
      <c r="B185" t="s">
        <v>3301</v>
      </c>
      <c r="C185">
        <v>184</v>
      </c>
      <c r="D185">
        <v>473</v>
      </c>
      <c r="E185">
        <v>1</v>
      </c>
      <c r="F185">
        <v>11</v>
      </c>
      <c r="G185">
        <v>44</v>
      </c>
      <c r="H185" t="s">
        <v>158</v>
      </c>
      <c r="I185" t="s">
        <v>158</v>
      </c>
      <c r="J185" t="s">
        <v>23</v>
      </c>
      <c r="K185" t="s">
        <v>2223</v>
      </c>
      <c r="L185" t="s">
        <v>38</v>
      </c>
      <c r="M185">
        <v>0</v>
      </c>
      <c r="N185">
        <v>25</v>
      </c>
      <c r="O185">
        <v>15</v>
      </c>
      <c r="P185">
        <v>0</v>
      </c>
      <c r="Q185">
        <v>25</v>
      </c>
    </row>
    <row r="186" spans="1:17" hidden="1" x14ac:dyDescent="0.25">
      <c r="A186" t="s">
        <v>3302</v>
      </c>
      <c r="B186" t="s">
        <v>3303</v>
      </c>
      <c r="C186">
        <v>185</v>
      </c>
      <c r="D186">
        <v>380</v>
      </c>
      <c r="E186">
        <v>1</v>
      </c>
      <c r="F186">
        <v>25</v>
      </c>
      <c r="G186">
        <v>141</v>
      </c>
      <c r="H186" t="s">
        <v>161</v>
      </c>
      <c r="I186" t="s">
        <v>161</v>
      </c>
      <c r="J186" t="s">
        <v>24</v>
      </c>
      <c r="K186" t="s">
        <v>1799</v>
      </c>
      <c r="L186" t="s">
        <v>1805</v>
      </c>
      <c r="M186">
        <v>0</v>
      </c>
      <c r="N186">
        <v>25</v>
      </c>
      <c r="O186">
        <v>19</v>
      </c>
      <c r="P186">
        <v>0</v>
      </c>
      <c r="Q186">
        <v>25</v>
      </c>
    </row>
    <row r="187" spans="1:17" hidden="1" x14ac:dyDescent="0.25">
      <c r="A187" t="s">
        <v>3304</v>
      </c>
      <c r="B187" t="s">
        <v>3305</v>
      </c>
      <c r="C187">
        <v>186</v>
      </c>
      <c r="D187">
        <v>91</v>
      </c>
      <c r="E187">
        <v>1</v>
      </c>
      <c r="F187">
        <v>8</v>
      </c>
      <c r="G187">
        <v>45</v>
      </c>
      <c r="H187" t="s">
        <v>159</v>
      </c>
      <c r="I187" t="s">
        <v>159</v>
      </c>
      <c r="J187" t="s">
        <v>23</v>
      </c>
      <c r="K187" t="s">
        <v>279</v>
      </c>
      <c r="L187" t="s">
        <v>108</v>
      </c>
      <c r="M187">
        <v>0</v>
      </c>
      <c r="N187">
        <v>25</v>
      </c>
      <c r="O187">
        <v>21</v>
      </c>
      <c r="P187">
        <v>0</v>
      </c>
      <c r="Q187">
        <v>25</v>
      </c>
    </row>
    <row r="188" spans="1:17" hidden="1" x14ac:dyDescent="0.25">
      <c r="A188" t="s">
        <v>3306</v>
      </c>
      <c r="B188" t="s">
        <v>3307</v>
      </c>
      <c r="C188">
        <v>187</v>
      </c>
      <c r="D188">
        <v>391</v>
      </c>
      <c r="E188">
        <v>1</v>
      </c>
      <c r="F188">
        <v>45</v>
      </c>
      <c r="G188">
        <v>142</v>
      </c>
      <c r="H188" t="s">
        <v>160</v>
      </c>
      <c r="I188" t="s">
        <v>160</v>
      </c>
      <c r="J188" t="s">
        <v>24</v>
      </c>
      <c r="K188" t="s">
        <v>788</v>
      </c>
      <c r="L188" t="s">
        <v>155</v>
      </c>
      <c r="M188">
        <v>0</v>
      </c>
      <c r="N188">
        <v>25</v>
      </c>
      <c r="O188">
        <v>29</v>
      </c>
      <c r="P188">
        <v>0</v>
      </c>
      <c r="Q188">
        <v>25</v>
      </c>
    </row>
    <row r="189" spans="1:17" hidden="1" x14ac:dyDescent="0.25">
      <c r="A189" t="s">
        <v>3308</v>
      </c>
      <c r="B189" t="s">
        <v>3309</v>
      </c>
      <c r="C189">
        <v>188</v>
      </c>
      <c r="D189">
        <v>468</v>
      </c>
      <c r="E189">
        <v>1</v>
      </c>
      <c r="F189">
        <v>26</v>
      </c>
      <c r="G189">
        <v>143</v>
      </c>
      <c r="H189" t="s">
        <v>161</v>
      </c>
      <c r="I189" t="s">
        <v>161</v>
      </c>
      <c r="J189" t="s">
        <v>24</v>
      </c>
      <c r="K189" t="s">
        <v>1390</v>
      </c>
      <c r="L189" t="s">
        <v>38</v>
      </c>
      <c r="M189">
        <v>0</v>
      </c>
      <c r="N189">
        <v>25</v>
      </c>
      <c r="O189">
        <v>31</v>
      </c>
      <c r="P189">
        <v>0</v>
      </c>
      <c r="Q189">
        <v>25</v>
      </c>
    </row>
    <row r="190" spans="1:17" hidden="1" x14ac:dyDescent="0.25">
      <c r="A190" t="s">
        <v>3310</v>
      </c>
      <c r="B190" t="s">
        <v>3311</v>
      </c>
      <c r="C190">
        <v>189</v>
      </c>
      <c r="D190">
        <v>325</v>
      </c>
      <c r="E190">
        <v>1</v>
      </c>
      <c r="F190">
        <v>9</v>
      </c>
      <c r="G190">
        <v>46</v>
      </c>
      <c r="H190" t="s">
        <v>159</v>
      </c>
      <c r="I190" t="s">
        <v>159</v>
      </c>
      <c r="J190" t="s">
        <v>23</v>
      </c>
      <c r="K190" t="s">
        <v>749</v>
      </c>
      <c r="L190" t="s">
        <v>14</v>
      </c>
      <c r="M190">
        <v>0</v>
      </c>
      <c r="N190">
        <v>25</v>
      </c>
      <c r="O190">
        <v>35</v>
      </c>
      <c r="P190">
        <v>0</v>
      </c>
      <c r="Q190">
        <v>25</v>
      </c>
    </row>
    <row r="191" spans="1:17" hidden="1" x14ac:dyDescent="0.25">
      <c r="A191" t="s">
        <v>3312</v>
      </c>
      <c r="B191" t="s">
        <v>3313</v>
      </c>
      <c r="C191">
        <v>190</v>
      </c>
      <c r="D191">
        <v>36</v>
      </c>
      <c r="E191">
        <v>1</v>
      </c>
      <c r="F191">
        <v>27</v>
      </c>
      <c r="G191">
        <v>144</v>
      </c>
      <c r="H191" t="s">
        <v>161</v>
      </c>
      <c r="I191" t="s">
        <v>161</v>
      </c>
      <c r="J191" t="s">
        <v>24</v>
      </c>
      <c r="K191" t="s">
        <v>1410</v>
      </c>
      <c r="L191" t="s">
        <v>63</v>
      </c>
      <c r="M191">
        <v>0</v>
      </c>
      <c r="N191">
        <v>25</v>
      </c>
      <c r="O191">
        <v>45</v>
      </c>
      <c r="P191">
        <v>0</v>
      </c>
      <c r="Q191">
        <v>25</v>
      </c>
    </row>
    <row r="192" spans="1:17" hidden="1" x14ac:dyDescent="0.25">
      <c r="A192" t="s">
        <v>3314</v>
      </c>
      <c r="B192" t="s">
        <v>3315</v>
      </c>
      <c r="C192">
        <v>191</v>
      </c>
      <c r="D192">
        <v>25</v>
      </c>
      <c r="E192">
        <v>1</v>
      </c>
      <c r="F192">
        <v>14</v>
      </c>
      <c r="G192">
        <v>47</v>
      </c>
      <c r="H192" t="s">
        <v>157</v>
      </c>
      <c r="I192" t="s">
        <v>157</v>
      </c>
      <c r="J192" t="s">
        <v>23</v>
      </c>
      <c r="K192" t="s">
        <v>2029</v>
      </c>
      <c r="L192" t="s">
        <v>38</v>
      </c>
      <c r="M192">
        <v>0</v>
      </c>
      <c r="N192">
        <v>25</v>
      </c>
      <c r="O192">
        <v>47</v>
      </c>
      <c r="P192">
        <v>0</v>
      </c>
      <c r="Q192">
        <v>25</v>
      </c>
    </row>
    <row r="193" spans="1:17" hidden="1" x14ac:dyDescent="0.25">
      <c r="A193" t="s">
        <v>3316</v>
      </c>
      <c r="B193" t="s">
        <v>3317</v>
      </c>
      <c r="C193">
        <v>192</v>
      </c>
      <c r="D193">
        <v>351</v>
      </c>
      <c r="E193">
        <v>1</v>
      </c>
      <c r="F193">
        <v>57</v>
      </c>
      <c r="G193">
        <v>145</v>
      </c>
      <c r="H193" t="s">
        <v>67</v>
      </c>
      <c r="I193" t="s">
        <v>67</v>
      </c>
      <c r="J193" t="s">
        <v>24</v>
      </c>
      <c r="K193" t="s">
        <v>2735</v>
      </c>
      <c r="L193" t="s">
        <v>155</v>
      </c>
      <c r="M193">
        <v>0</v>
      </c>
      <c r="N193">
        <v>25</v>
      </c>
      <c r="O193">
        <v>48</v>
      </c>
      <c r="P193">
        <v>0</v>
      </c>
      <c r="Q193">
        <v>25</v>
      </c>
    </row>
    <row r="194" spans="1:17" x14ac:dyDescent="0.25">
      <c r="A194" t="s">
        <v>3318</v>
      </c>
      <c r="B194" t="s">
        <v>3319</v>
      </c>
      <c r="C194">
        <v>193</v>
      </c>
      <c r="D194">
        <v>369</v>
      </c>
      <c r="E194">
        <v>1</v>
      </c>
      <c r="F194">
        <v>12</v>
      </c>
      <c r="G194">
        <v>146</v>
      </c>
      <c r="H194" t="s">
        <v>162</v>
      </c>
      <c r="I194" t="s">
        <v>162</v>
      </c>
      <c r="J194" t="s">
        <v>24</v>
      </c>
      <c r="K194" t="s">
        <v>456</v>
      </c>
      <c r="L194" t="s">
        <v>154</v>
      </c>
      <c r="M194">
        <v>15</v>
      </c>
      <c r="N194">
        <v>25</v>
      </c>
      <c r="O194">
        <v>48</v>
      </c>
      <c r="P194">
        <v>0</v>
      </c>
      <c r="Q194">
        <v>25</v>
      </c>
    </row>
    <row r="195" spans="1:17" hidden="1" x14ac:dyDescent="0.25">
      <c r="A195" t="s">
        <v>3320</v>
      </c>
      <c r="B195" t="s">
        <v>3321</v>
      </c>
      <c r="C195">
        <v>194</v>
      </c>
      <c r="D195">
        <v>491</v>
      </c>
      <c r="E195">
        <v>1</v>
      </c>
      <c r="F195">
        <v>15</v>
      </c>
      <c r="G195">
        <v>48</v>
      </c>
      <c r="H195" t="s">
        <v>157</v>
      </c>
      <c r="I195" t="s">
        <v>157</v>
      </c>
      <c r="J195" t="s">
        <v>23</v>
      </c>
      <c r="K195" t="s">
        <v>280</v>
      </c>
      <c r="L195" t="s">
        <v>155</v>
      </c>
      <c r="M195">
        <v>0</v>
      </c>
      <c r="N195">
        <v>25</v>
      </c>
      <c r="O195">
        <v>51</v>
      </c>
      <c r="P195">
        <v>0</v>
      </c>
      <c r="Q195">
        <v>25</v>
      </c>
    </row>
    <row r="196" spans="1:17" hidden="1" x14ac:dyDescent="0.25">
      <c r="A196" t="s">
        <v>3322</v>
      </c>
      <c r="B196" t="s">
        <v>3323</v>
      </c>
      <c r="C196">
        <v>195</v>
      </c>
      <c r="D196">
        <v>337</v>
      </c>
      <c r="E196">
        <v>1</v>
      </c>
      <c r="F196">
        <v>58</v>
      </c>
      <c r="G196">
        <v>147</v>
      </c>
      <c r="H196" t="s">
        <v>67</v>
      </c>
      <c r="I196" t="s">
        <v>67</v>
      </c>
      <c r="J196" t="s">
        <v>24</v>
      </c>
      <c r="K196" t="s">
        <v>2229</v>
      </c>
      <c r="L196" t="s">
        <v>12</v>
      </c>
      <c r="M196">
        <v>0</v>
      </c>
      <c r="N196">
        <v>25</v>
      </c>
      <c r="O196">
        <v>55</v>
      </c>
      <c r="P196">
        <v>0</v>
      </c>
      <c r="Q196">
        <v>25</v>
      </c>
    </row>
    <row r="197" spans="1:17" hidden="1" x14ac:dyDescent="0.25">
      <c r="A197" t="s">
        <v>3324</v>
      </c>
      <c r="B197" t="s">
        <v>3325</v>
      </c>
      <c r="C197">
        <v>196</v>
      </c>
      <c r="D197">
        <v>92</v>
      </c>
      <c r="E197">
        <v>1</v>
      </c>
      <c r="F197">
        <v>28</v>
      </c>
      <c r="G197">
        <v>148</v>
      </c>
      <c r="H197" t="s">
        <v>161</v>
      </c>
      <c r="I197" t="s">
        <v>161</v>
      </c>
      <c r="J197" t="s">
        <v>24</v>
      </c>
      <c r="K197" t="s">
        <v>2461</v>
      </c>
      <c r="L197" t="s">
        <v>12</v>
      </c>
      <c r="M197">
        <v>0</v>
      </c>
      <c r="N197">
        <v>25</v>
      </c>
      <c r="O197">
        <v>56</v>
      </c>
      <c r="P197">
        <v>0</v>
      </c>
      <c r="Q197">
        <v>25</v>
      </c>
    </row>
    <row r="198" spans="1:17" hidden="1" x14ac:dyDescent="0.25">
      <c r="A198" t="s">
        <v>3326</v>
      </c>
      <c r="B198" t="s">
        <v>3327</v>
      </c>
      <c r="C198">
        <v>197</v>
      </c>
      <c r="D198">
        <v>99</v>
      </c>
      <c r="E198">
        <v>1</v>
      </c>
      <c r="F198">
        <v>11</v>
      </c>
      <c r="G198">
        <v>49</v>
      </c>
      <c r="H198" t="s">
        <v>156</v>
      </c>
      <c r="I198" t="s">
        <v>156</v>
      </c>
      <c r="J198" t="s">
        <v>23</v>
      </c>
      <c r="K198" t="s">
        <v>1713</v>
      </c>
      <c r="L198" t="s">
        <v>108</v>
      </c>
      <c r="M198">
        <v>0</v>
      </c>
      <c r="N198">
        <v>25</v>
      </c>
      <c r="O198">
        <v>57</v>
      </c>
      <c r="P198">
        <v>0</v>
      </c>
      <c r="Q198">
        <v>25</v>
      </c>
    </row>
    <row r="199" spans="1:17" hidden="1" x14ac:dyDescent="0.25">
      <c r="A199" t="s">
        <v>3328</v>
      </c>
      <c r="B199" t="s">
        <v>3329</v>
      </c>
      <c r="C199">
        <v>198</v>
      </c>
      <c r="D199">
        <v>495</v>
      </c>
      <c r="E199">
        <v>1</v>
      </c>
      <c r="F199">
        <v>12</v>
      </c>
      <c r="G199">
        <v>50</v>
      </c>
      <c r="H199" t="s">
        <v>158</v>
      </c>
      <c r="I199" t="s">
        <v>158</v>
      </c>
      <c r="J199" t="s">
        <v>23</v>
      </c>
      <c r="K199" t="s">
        <v>2759</v>
      </c>
      <c r="L199" t="s">
        <v>505</v>
      </c>
      <c r="M199">
        <v>0</v>
      </c>
      <c r="N199">
        <v>26</v>
      </c>
      <c r="O199">
        <v>3</v>
      </c>
      <c r="P199">
        <v>0</v>
      </c>
      <c r="Q199">
        <v>26</v>
      </c>
    </row>
    <row r="200" spans="1:17" hidden="1" x14ac:dyDescent="0.25">
      <c r="A200" t="s">
        <v>3330</v>
      </c>
      <c r="B200" t="s">
        <v>3331</v>
      </c>
      <c r="C200">
        <v>199</v>
      </c>
      <c r="D200">
        <v>437</v>
      </c>
      <c r="E200">
        <v>1</v>
      </c>
      <c r="F200">
        <v>16</v>
      </c>
      <c r="G200">
        <v>51</v>
      </c>
      <c r="H200" t="s">
        <v>157</v>
      </c>
      <c r="I200" t="s">
        <v>157</v>
      </c>
      <c r="J200" t="s">
        <v>23</v>
      </c>
      <c r="K200" t="s">
        <v>2234</v>
      </c>
      <c r="L200" t="s">
        <v>1805</v>
      </c>
      <c r="M200">
        <v>0</v>
      </c>
      <c r="N200">
        <v>26</v>
      </c>
      <c r="O200">
        <v>6</v>
      </c>
      <c r="P200">
        <v>0</v>
      </c>
      <c r="Q200">
        <v>26</v>
      </c>
    </row>
    <row r="201" spans="1:17" hidden="1" x14ac:dyDescent="0.25">
      <c r="A201" t="s">
        <v>3332</v>
      </c>
      <c r="B201" t="s">
        <v>3333</v>
      </c>
      <c r="C201">
        <v>200</v>
      </c>
      <c r="D201">
        <v>151</v>
      </c>
      <c r="E201">
        <v>1</v>
      </c>
      <c r="F201">
        <v>13</v>
      </c>
      <c r="G201">
        <v>149</v>
      </c>
      <c r="H201" t="s">
        <v>162</v>
      </c>
      <c r="I201" t="s">
        <v>162</v>
      </c>
      <c r="J201" t="s">
        <v>24</v>
      </c>
      <c r="K201" t="s">
        <v>2946</v>
      </c>
      <c r="L201" t="s">
        <v>15</v>
      </c>
      <c r="M201">
        <v>0</v>
      </c>
      <c r="N201">
        <v>26</v>
      </c>
      <c r="O201">
        <v>8</v>
      </c>
      <c r="P201">
        <v>0</v>
      </c>
      <c r="Q201">
        <v>26</v>
      </c>
    </row>
    <row r="202" spans="1:17" hidden="1" x14ac:dyDescent="0.25">
      <c r="A202" t="s">
        <v>3334</v>
      </c>
      <c r="B202" t="s">
        <v>3335</v>
      </c>
      <c r="C202">
        <v>201</v>
      </c>
      <c r="D202">
        <v>454</v>
      </c>
      <c r="E202">
        <v>1</v>
      </c>
      <c r="F202">
        <v>14</v>
      </c>
      <c r="G202">
        <v>150</v>
      </c>
      <c r="H202" t="s">
        <v>162</v>
      </c>
      <c r="I202" t="s">
        <v>162</v>
      </c>
      <c r="J202" t="s">
        <v>24</v>
      </c>
      <c r="K202" t="s">
        <v>2751</v>
      </c>
      <c r="L202" t="s">
        <v>14</v>
      </c>
      <c r="M202">
        <v>0</v>
      </c>
      <c r="N202">
        <v>26</v>
      </c>
      <c r="O202">
        <v>9</v>
      </c>
      <c r="P202">
        <v>0</v>
      </c>
      <c r="Q202">
        <v>26</v>
      </c>
    </row>
    <row r="203" spans="1:17" hidden="1" x14ac:dyDescent="0.25">
      <c r="A203" t="s">
        <v>3336</v>
      </c>
      <c r="B203" t="s">
        <v>3337</v>
      </c>
      <c r="C203">
        <v>202</v>
      </c>
      <c r="D203">
        <v>403</v>
      </c>
      <c r="E203">
        <v>1</v>
      </c>
      <c r="F203">
        <v>29</v>
      </c>
      <c r="G203">
        <v>151</v>
      </c>
      <c r="H203" t="s">
        <v>161</v>
      </c>
      <c r="I203" t="s">
        <v>161</v>
      </c>
      <c r="J203" t="s">
        <v>24</v>
      </c>
      <c r="K203" t="s">
        <v>451</v>
      </c>
      <c r="L203" t="s">
        <v>1325</v>
      </c>
      <c r="M203">
        <v>0</v>
      </c>
      <c r="N203">
        <v>26</v>
      </c>
      <c r="O203">
        <v>10</v>
      </c>
      <c r="P203">
        <v>0</v>
      </c>
      <c r="Q203">
        <v>26</v>
      </c>
    </row>
    <row r="204" spans="1:17" hidden="1" x14ac:dyDescent="0.25">
      <c r="A204" t="s">
        <v>3338</v>
      </c>
      <c r="B204" t="s">
        <v>3339</v>
      </c>
      <c r="C204">
        <v>203</v>
      </c>
      <c r="D204">
        <v>143</v>
      </c>
      <c r="E204">
        <v>1</v>
      </c>
      <c r="F204">
        <v>13</v>
      </c>
      <c r="G204">
        <v>52</v>
      </c>
      <c r="H204" t="s">
        <v>158</v>
      </c>
      <c r="I204" t="s">
        <v>158</v>
      </c>
      <c r="J204" t="s">
        <v>23</v>
      </c>
      <c r="K204" t="s">
        <v>1178</v>
      </c>
      <c r="L204" t="s">
        <v>12</v>
      </c>
      <c r="M204">
        <v>0</v>
      </c>
      <c r="N204">
        <v>26</v>
      </c>
      <c r="O204">
        <v>11</v>
      </c>
      <c r="P204">
        <v>0</v>
      </c>
      <c r="Q204">
        <v>26</v>
      </c>
    </row>
    <row r="205" spans="1:17" hidden="1" x14ac:dyDescent="0.25">
      <c r="A205" t="s">
        <v>3340</v>
      </c>
      <c r="B205" t="s">
        <v>3341</v>
      </c>
      <c r="C205">
        <v>204</v>
      </c>
      <c r="D205">
        <v>471</v>
      </c>
      <c r="E205">
        <v>1</v>
      </c>
      <c r="F205">
        <v>14</v>
      </c>
      <c r="G205">
        <v>53</v>
      </c>
      <c r="H205" t="s">
        <v>158</v>
      </c>
      <c r="I205" t="s">
        <v>158</v>
      </c>
      <c r="J205" t="s">
        <v>23</v>
      </c>
      <c r="K205" t="s">
        <v>1516</v>
      </c>
      <c r="L205" t="s">
        <v>38</v>
      </c>
      <c r="M205">
        <v>0</v>
      </c>
      <c r="N205">
        <v>26</v>
      </c>
      <c r="O205">
        <v>16</v>
      </c>
      <c r="P205">
        <v>0</v>
      </c>
      <c r="Q205">
        <v>26</v>
      </c>
    </row>
    <row r="206" spans="1:17" hidden="1" x14ac:dyDescent="0.25">
      <c r="A206" t="s">
        <v>3342</v>
      </c>
      <c r="B206" t="s">
        <v>3343</v>
      </c>
      <c r="C206">
        <v>205</v>
      </c>
      <c r="D206">
        <v>23</v>
      </c>
      <c r="E206">
        <v>1</v>
      </c>
      <c r="F206">
        <v>12</v>
      </c>
      <c r="G206">
        <v>54</v>
      </c>
      <c r="H206" t="s">
        <v>156</v>
      </c>
      <c r="I206" t="s">
        <v>156</v>
      </c>
      <c r="J206" t="s">
        <v>23</v>
      </c>
      <c r="K206" t="s">
        <v>2763</v>
      </c>
      <c r="L206" t="s">
        <v>63</v>
      </c>
      <c r="M206">
        <v>0</v>
      </c>
      <c r="N206">
        <v>26</v>
      </c>
      <c r="O206">
        <v>17</v>
      </c>
      <c r="P206">
        <v>0</v>
      </c>
      <c r="Q206">
        <v>26</v>
      </c>
    </row>
    <row r="207" spans="1:17" hidden="1" x14ac:dyDescent="0.25">
      <c r="A207" t="s">
        <v>3344</v>
      </c>
      <c r="B207" t="s">
        <v>3345</v>
      </c>
      <c r="C207">
        <v>206</v>
      </c>
      <c r="D207">
        <v>476</v>
      </c>
      <c r="E207">
        <v>1</v>
      </c>
      <c r="F207">
        <v>15</v>
      </c>
      <c r="G207">
        <v>55</v>
      </c>
      <c r="H207" t="s">
        <v>158</v>
      </c>
      <c r="I207" t="s">
        <v>158</v>
      </c>
      <c r="J207" t="s">
        <v>23</v>
      </c>
      <c r="K207" t="s">
        <v>1183</v>
      </c>
      <c r="L207" t="s">
        <v>108</v>
      </c>
      <c r="M207">
        <v>0</v>
      </c>
      <c r="N207">
        <v>26</v>
      </c>
      <c r="O207">
        <v>19</v>
      </c>
      <c r="P207">
        <v>0</v>
      </c>
      <c r="Q207">
        <v>26</v>
      </c>
    </row>
    <row r="208" spans="1:17" hidden="1" x14ac:dyDescent="0.25">
      <c r="A208" t="s">
        <v>3346</v>
      </c>
      <c r="B208" t="s">
        <v>3347</v>
      </c>
      <c r="C208">
        <v>207</v>
      </c>
      <c r="D208">
        <v>387</v>
      </c>
      <c r="E208">
        <v>1</v>
      </c>
      <c r="F208">
        <v>17</v>
      </c>
      <c r="G208">
        <v>56</v>
      </c>
      <c r="H208" t="s">
        <v>157</v>
      </c>
      <c r="I208" t="s">
        <v>157</v>
      </c>
      <c r="J208" t="s">
        <v>23</v>
      </c>
      <c r="K208" t="s">
        <v>2027</v>
      </c>
      <c r="L208" t="s">
        <v>1805</v>
      </c>
      <c r="M208">
        <v>0</v>
      </c>
      <c r="N208">
        <v>26</v>
      </c>
      <c r="O208">
        <v>21</v>
      </c>
      <c r="P208">
        <v>0</v>
      </c>
      <c r="Q208">
        <v>26</v>
      </c>
    </row>
    <row r="209" spans="1:17" x14ac:dyDescent="0.25">
      <c r="A209" t="s">
        <v>3348</v>
      </c>
      <c r="B209" t="s">
        <v>3349</v>
      </c>
      <c r="C209">
        <v>208</v>
      </c>
      <c r="D209">
        <v>63</v>
      </c>
      <c r="E209">
        <v>1</v>
      </c>
      <c r="F209">
        <v>16</v>
      </c>
      <c r="G209">
        <v>57</v>
      </c>
      <c r="H209" t="s">
        <v>158</v>
      </c>
      <c r="I209" t="s">
        <v>158</v>
      </c>
      <c r="J209" t="s">
        <v>23</v>
      </c>
      <c r="K209" t="s">
        <v>476</v>
      </c>
      <c r="L209" t="s">
        <v>154</v>
      </c>
      <c r="M209">
        <v>13</v>
      </c>
      <c r="N209">
        <v>26</v>
      </c>
      <c r="O209">
        <v>21</v>
      </c>
      <c r="P209">
        <v>0</v>
      </c>
      <c r="Q209">
        <v>26</v>
      </c>
    </row>
    <row r="210" spans="1:17" hidden="1" x14ac:dyDescent="0.25">
      <c r="A210" t="s">
        <v>3350</v>
      </c>
      <c r="B210" t="s">
        <v>3351</v>
      </c>
      <c r="C210">
        <v>209</v>
      </c>
      <c r="D210">
        <v>409</v>
      </c>
      <c r="E210">
        <v>1</v>
      </c>
      <c r="F210">
        <v>46</v>
      </c>
      <c r="G210">
        <v>152</v>
      </c>
      <c r="H210" t="s">
        <v>160</v>
      </c>
      <c r="I210" t="s">
        <v>160</v>
      </c>
      <c r="J210" t="s">
        <v>24</v>
      </c>
      <c r="K210" t="s">
        <v>2744</v>
      </c>
      <c r="L210" t="s">
        <v>12</v>
      </c>
      <c r="M210">
        <v>0</v>
      </c>
      <c r="N210">
        <v>26</v>
      </c>
      <c r="O210">
        <v>25</v>
      </c>
      <c r="P210">
        <v>0</v>
      </c>
      <c r="Q210">
        <v>26</v>
      </c>
    </row>
    <row r="211" spans="1:17" hidden="1" x14ac:dyDescent="0.25">
      <c r="A211" t="s">
        <v>3352</v>
      </c>
      <c r="B211" t="s">
        <v>3353</v>
      </c>
      <c r="C211">
        <v>210</v>
      </c>
      <c r="D211">
        <v>149</v>
      </c>
      <c r="E211">
        <v>1</v>
      </c>
      <c r="F211">
        <v>10</v>
      </c>
      <c r="G211">
        <v>58</v>
      </c>
      <c r="H211" t="s">
        <v>159</v>
      </c>
      <c r="I211" t="s">
        <v>159</v>
      </c>
      <c r="J211" t="s">
        <v>23</v>
      </c>
      <c r="K211" t="s">
        <v>1398</v>
      </c>
      <c r="L211" t="s">
        <v>12</v>
      </c>
      <c r="M211">
        <v>0</v>
      </c>
      <c r="N211">
        <v>26</v>
      </c>
      <c r="O211">
        <v>28</v>
      </c>
      <c r="P211">
        <v>0</v>
      </c>
      <c r="Q211">
        <v>26</v>
      </c>
    </row>
    <row r="212" spans="1:17" hidden="1" x14ac:dyDescent="0.25">
      <c r="A212" t="s">
        <v>3354</v>
      </c>
      <c r="B212" t="s">
        <v>3355</v>
      </c>
      <c r="C212">
        <v>211</v>
      </c>
      <c r="D212">
        <v>78</v>
      </c>
      <c r="E212">
        <v>1</v>
      </c>
      <c r="F212">
        <v>15</v>
      </c>
      <c r="G212">
        <v>153</v>
      </c>
      <c r="H212" t="s">
        <v>162</v>
      </c>
      <c r="I212" t="s">
        <v>162</v>
      </c>
      <c r="J212" t="s">
        <v>24</v>
      </c>
      <c r="K212" t="s">
        <v>1105</v>
      </c>
      <c r="L212" t="s">
        <v>43</v>
      </c>
      <c r="M212">
        <v>0</v>
      </c>
      <c r="N212">
        <v>26</v>
      </c>
      <c r="O212">
        <v>32</v>
      </c>
      <c r="P212">
        <v>0</v>
      </c>
      <c r="Q212">
        <v>26</v>
      </c>
    </row>
    <row r="213" spans="1:17" hidden="1" x14ac:dyDescent="0.25">
      <c r="A213" t="s">
        <v>3356</v>
      </c>
      <c r="B213" t="s">
        <v>3357</v>
      </c>
      <c r="C213">
        <v>212</v>
      </c>
      <c r="D213">
        <v>60</v>
      </c>
      <c r="E213">
        <v>1</v>
      </c>
      <c r="F213">
        <v>17</v>
      </c>
      <c r="G213">
        <v>59</v>
      </c>
      <c r="H213" t="s">
        <v>158</v>
      </c>
      <c r="I213" t="s">
        <v>158</v>
      </c>
      <c r="J213" t="s">
        <v>23</v>
      </c>
      <c r="K213" t="s">
        <v>2279</v>
      </c>
      <c r="L213" t="s">
        <v>38</v>
      </c>
      <c r="M213">
        <v>0</v>
      </c>
      <c r="N213">
        <v>26</v>
      </c>
      <c r="O213">
        <v>36</v>
      </c>
      <c r="P213">
        <v>0</v>
      </c>
      <c r="Q213">
        <v>26</v>
      </c>
    </row>
    <row r="214" spans="1:17" hidden="1" x14ac:dyDescent="0.25">
      <c r="A214" t="s">
        <v>3358</v>
      </c>
      <c r="B214" t="s">
        <v>3359</v>
      </c>
      <c r="C214">
        <v>213</v>
      </c>
      <c r="D214">
        <v>20</v>
      </c>
      <c r="E214">
        <v>1</v>
      </c>
      <c r="F214">
        <v>16</v>
      </c>
      <c r="G214">
        <v>154</v>
      </c>
      <c r="H214" t="s">
        <v>162</v>
      </c>
      <c r="I214" t="s">
        <v>162</v>
      </c>
      <c r="J214" t="s">
        <v>24</v>
      </c>
      <c r="K214" t="s">
        <v>544</v>
      </c>
      <c r="L214" t="s">
        <v>54</v>
      </c>
      <c r="M214">
        <v>0</v>
      </c>
      <c r="N214">
        <v>26</v>
      </c>
      <c r="O214">
        <v>46</v>
      </c>
      <c r="P214">
        <v>0</v>
      </c>
      <c r="Q214">
        <v>26</v>
      </c>
    </row>
    <row r="215" spans="1:17" hidden="1" x14ac:dyDescent="0.25">
      <c r="A215" t="s">
        <v>3360</v>
      </c>
      <c r="B215" t="s">
        <v>3361</v>
      </c>
      <c r="C215">
        <v>214</v>
      </c>
      <c r="D215">
        <v>31</v>
      </c>
      <c r="E215">
        <v>1</v>
      </c>
      <c r="F215">
        <v>11</v>
      </c>
      <c r="G215">
        <v>60</v>
      </c>
      <c r="H215" t="s">
        <v>159</v>
      </c>
      <c r="I215" t="s">
        <v>159</v>
      </c>
      <c r="J215" t="s">
        <v>23</v>
      </c>
      <c r="K215" t="s">
        <v>1677</v>
      </c>
      <c r="L215" t="s">
        <v>2756</v>
      </c>
      <c r="M215">
        <v>0</v>
      </c>
      <c r="N215">
        <v>26</v>
      </c>
      <c r="O215">
        <v>50</v>
      </c>
      <c r="P215">
        <v>0</v>
      </c>
      <c r="Q215">
        <v>26</v>
      </c>
    </row>
    <row r="216" spans="1:17" hidden="1" x14ac:dyDescent="0.25">
      <c r="A216" t="s">
        <v>3362</v>
      </c>
      <c r="B216" t="s">
        <v>3363</v>
      </c>
      <c r="C216">
        <v>215</v>
      </c>
      <c r="D216">
        <v>326</v>
      </c>
      <c r="E216">
        <v>1</v>
      </c>
      <c r="F216">
        <v>18</v>
      </c>
      <c r="G216">
        <v>61</v>
      </c>
      <c r="H216" t="s">
        <v>157</v>
      </c>
      <c r="I216" t="s">
        <v>157</v>
      </c>
      <c r="J216" t="s">
        <v>23</v>
      </c>
      <c r="K216" t="s">
        <v>1681</v>
      </c>
      <c r="L216" t="s">
        <v>12</v>
      </c>
      <c r="M216">
        <v>0</v>
      </c>
      <c r="N216">
        <v>26</v>
      </c>
      <c r="O216">
        <v>54</v>
      </c>
      <c r="P216">
        <v>0</v>
      </c>
      <c r="Q216">
        <v>26</v>
      </c>
    </row>
    <row r="217" spans="1:17" hidden="1" x14ac:dyDescent="0.25">
      <c r="A217" t="s">
        <v>3364</v>
      </c>
      <c r="B217" t="s">
        <v>3365</v>
      </c>
      <c r="C217">
        <v>216</v>
      </c>
      <c r="D217">
        <v>479</v>
      </c>
      <c r="E217">
        <v>1</v>
      </c>
      <c r="F217">
        <v>17</v>
      </c>
      <c r="G217">
        <v>155</v>
      </c>
      <c r="H217" t="s">
        <v>162</v>
      </c>
      <c r="I217" t="s">
        <v>162</v>
      </c>
      <c r="J217" t="s">
        <v>24</v>
      </c>
      <c r="K217" t="s">
        <v>2287</v>
      </c>
      <c r="L217" t="s">
        <v>1805</v>
      </c>
      <c r="M217">
        <v>0</v>
      </c>
      <c r="N217">
        <v>26</v>
      </c>
      <c r="O217">
        <v>55</v>
      </c>
      <c r="P217">
        <v>0</v>
      </c>
      <c r="Q217">
        <v>26</v>
      </c>
    </row>
    <row r="218" spans="1:17" hidden="1" x14ac:dyDescent="0.25">
      <c r="A218" t="s">
        <v>3366</v>
      </c>
      <c r="B218" t="s">
        <v>3367</v>
      </c>
      <c r="C218">
        <v>217</v>
      </c>
      <c r="D218">
        <v>389</v>
      </c>
      <c r="E218">
        <v>1</v>
      </c>
      <c r="F218">
        <v>59</v>
      </c>
      <c r="G218">
        <v>156</v>
      </c>
      <c r="H218" t="s">
        <v>67</v>
      </c>
      <c r="I218" t="s">
        <v>67</v>
      </c>
      <c r="J218" t="s">
        <v>24</v>
      </c>
      <c r="K218" t="s">
        <v>1420</v>
      </c>
      <c r="L218" t="s">
        <v>155</v>
      </c>
      <c r="M218">
        <v>0</v>
      </c>
      <c r="N218">
        <v>27</v>
      </c>
      <c r="O218">
        <v>6</v>
      </c>
      <c r="P218">
        <v>0</v>
      </c>
      <c r="Q218">
        <v>27</v>
      </c>
    </row>
    <row r="219" spans="1:17" hidden="1" x14ac:dyDescent="0.25">
      <c r="A219" t="s">
        <v>3368</v>
      </c>
      <c r="B219" t="s">
        <v>3369</v>
      </c>
      <c r="C219">
        <v>218</v>
      </c>
      <c r="D219">
        <v>34</v>
      </c>
      <c r="E219">
        <v>1</v>
      </c>
      <c r="F219">
        <v>12</v>
      </c>
      <c r="G219">
        <v>62</v>
      </c>
      <c r="H219" t="s">
        <v>159</v>
      </c>
      <c r="I219" t="s">
        <v>159</v>
      </c>
      <c r="J219" t="s">
        <v>23</v>
      </c>
      <c r="K219" t="s">
        <v>174</v>
      </c>
      <c r="L219" t="s">
        <v>12</v>
      </c>
      <c r="M219">
        <v>0</v>
      </c>
      <c r="N219">
        <v>27</v>
      </c>
      <c r="O219">
        <v>8</v>
      </c>
      <c r="P219">
        <v>0</v>
      </c>
      <c r="Q219">
        <v>27</v>
      </c>
    </row>
    <row r="220" spans="1:17" hidden="1" x14ac:dyDescent="0.25">
      <c r="A220" t="s">
        <v>3370</v>
      </c>
      <c r="B220" t="s">
        <v>3371</v>
      </c>
      <c r="C220">
        <v>219</v>
      </c>
      <c r="D220">
        <v>496</v>
      </c>
      <c r="E220">
        <v>1</v>
      </c>
      <c r="F220">
        <v>47</v>
      </c>
      <c r="G220">
        <v>157</v>
      </c>
      <c r="H220" t="s">
        <v>160</v>
      </c>
      <c r="I220" t="s">
        <v>160</v>
      </c>
      <c r="J220" t="s">
        <v>24</v>
      </c>
      <c r="K220" t="s">
        <v>2760</v>
      </c>
      <c r="L220" t="s">
        <v>155</v>
      </c>
      <c r="M220">
        <v>0</v>
      </c>
      <c r="N220">
        <v>27</v>
      </c>
      <c r="O220">
        <v>10</v>
      </c>
      <c r="P220">
        <v>0</v>
      </c>
      <c r="Q220">
        <v>27</v>
      </c>
    </row>
    <row r="221" spans="1:17" hidden="1" x14ac:dyDescent="0.25">
      <c r="A221" t="s">
        <v>3372</v>
      </c>
      <c r="B221" t="s">
        <v>3373</v>
      </c>
      <c r="C221">
        <v>220</v>
      </c>
      <c r="D221">
        <v>333</v>
      </c>
      <c r="E221">
        <v>1</v>
      </c>
      <c r="F221">
        <v>13</v>
      </c>
      <c r="G221">
        <v>63</v>
      </c>
      <c r="H221" t="s">
        <v>159</v>
      </c>
      <c r="I221" t="s">
        <v>159</v>
      </c>
      <c r="J221" t="s">
        <v>23</v>
      </c>
      <c r="K221" t="s">
        <v>258</v>
      </c>
      <c r="L221" t="s">
        <v>12</v>
      </c>
      <c r="M221">
        <v>0</v>
      </c>
      <c r="N221">
        <v>27</v>
      </c>
      <c r="O221">
        <v>11</v>
      </c>
      <c r="P221">
        <v>0</v>
      </c>
      <c r="Q221">
        <v>27</v>
      </c>
    </row>
    <row r="222" spans="1:17" hidden="1" x14ac:dyDescent="0.25">
      <c r="A222" t="s">
        <v>3374</v>
      </c>
      <c r="B222" t="s">
        <v>3375</v>
      </c>
      <c r="C222">
        <v>221</v>
      </c>
      <c r="D222">
        <v>490</v>
      </c>
      <c r="E222">
        <v>1</v>
      </c>
      <c r="F222">
        <v>18</v>
      </c>
      <c r="G222">
        <v>64</v>
      </c>
      <c r="H222" t="s">
        <v>158</v>
      </c>
      <c r="I222" t="s">
        <v>158</v>
      </c>
      <c r="J222" t="s">
        <v>23</v>
      </c>
      <c r="K222" t="s">
        <v>1366</v>
      </c>
      <c r="L222" t="s">
        <v>38</v>
      </c>
      <c r="M222">
        <v>0</v>
      </c>
      <c r="N222">
        <v>27</v>
      </c>
      <c r="O222">
        <v>12</v>
      </c>
      <c r="P222">
        <v>0</v>
      </c>
      <c r="Q222">
        <v>27</v>
      </c>
    </row>
    <row r="223" spans="1:17" hidden="1" x14ac:dyDescent="0.25">
      <c r="A223" t="s">
        <v>3376</v>
      </c>
      <c r="B223" t="s">
        <v>3377</v>
      </c>
      <c r="C223">
        <v>222</v>
      </c>
      <c r="D223">
        <v>350</v>
      </c>
      <c r="E223">
        <v>1</v>
      </c>
      <c r="F223">
        <v>14</v>
      </c>
      <c r="G223">
        <v>65</v>
      </c>
      <c r="H223" t="s">
        <v>159</v>
      </c>
      <c r="I223" t="s">
        <v>159</v>
      </c>
      <c r="J223" t="s">
        <v>23</v>
      </c>
      <c r="K223" t="s">
        <v>2437</v>
      </c>
      <c r="L223" t="s">
        <v>108</v>
      </c>
      <c r="M223">
        <v>0</v>
      </c>
      <c r="N223">
        <v>27</v>
      </c>
      <c r="O223">
        <v>16</v>
      </c>
      <c r="P223">
        <v>0</v>
      </c>
      <c r="Q223">
        <v>27</v>
      </c>
    </row>
    <row r="224" spans="1:17" hidden="1" x14ac:dyDescent="0.25">
      <c r="A224" t="s">
        <v>3378</v>
      </c>
      <c r="B224" t="s">
        <v>3379</v>
      </c>
      <c r="C224">
        <v>223</v>
      </c>
      <c r="D224">
        <v>385</v>
      </c>
      <c r="E224">
        <v>1</v>
      </c>
      <c r="F224">
        <v>48</v>
      </c>
      <c r="G224">
        <v>158</v>
      </c>
      <c r="H224" t="s">
        <v>160</v>
      </c>
      <c r="I224" t="s">
        <v>160</v>
      </c>
      <c r="J224" t="s">
        <v>24</v>
      </c>
      <c r="K224" t="s">
        <v>219</v>
      </c>
      <c r="L224" t="s">
        <v>38</v>
      </c>
      <c r="M224">
        <v>0</v>
      </c>
      <c r="N224">
        <v>27</v>
      </c>
      <c r="O224">
        <v>17</v>
      </c>
      <c r="P224">
        <v>0</v>
      </c>
      <c r="Q224">
        <v>27</v>
      </c>
    </row>
    <row r="225" spans="1:17" hidden="1" x14ac:dyDescent="0.25">
      <c r="A225" t="s">
        <v>3380</v>
      </c>
      <c r="B225" t="s">
        <v>3381</v>
      </c>
      <c r="C225">
        <v>224</v>
      </c>
      <c r="D225">
        <v>446</v>
      </c>
      <c r="E225">
        <v>1</v>
      </c>
      <c r="F225">
        <v>19</v>
      </c>
      <c r="G225">
        <v>66</v>
      </c>
      <c r="H225" t="s">
        <v>158</v>
      </c>
      <c r="I225" t="s">
        <v>158</v>
      </c>
      <c r="J225" t="s">
        <v>23</v>
      </c>
      <c r="K225" t="s">
        <v>1133</v>
      </c>
      <c r="L225" t="s">
        <v>38</v>
      </c>
      <c r="M225">
        <v>0</v>
      </c>
      <c r="N225">
        <v>27</v>
      </c>
      <c r="O225">
        <v>26</v>
      </c>
      <c r="P225">
        <v>0</v>
      </c>
      <c r="Q225">
        <v>27</v>
      </c>
    </row>
    <row r="226" spans="1:17" hidden="1" x14ac:dyDescent="0.25">
      <c r="A226" t="s">
        <v>3382</v>
      </c>
      <c r="B226" t="s">
        <v>3383</v>
      </c>
      <c r="C226">
        <v>225</v>
      </c>
      <c r="D226">
        <v>332</v>
      </c>
      <c r="E226">
        <v>1</v>
      </c>
      <c r="F226">
        <v>20</v>
      </c>
      <c r="G226">
        <v>67</v>
      </c>
      <c r="H226" t="s">
        <v>158</v>
      </c>
      <c r="I226" t="s">
        <v>158</v>
      </c>
      <c r="J226" t="s">
        <v>23</v>
      </c>
      <c r="K226" t="s">
        <v>1159</v>
      </c>
      <c r="L226" t="s">
        <v>155</v>
      </c>
      <c r="M226">
        <v>0</v>
      </c>
      <c r="N226">
        <v>27</v>
      </c>
      <c r="O226">
        <v>32</v>
      </c>
      <c r="P226">
        <v>0</v>
      </c>
      <c r="Q226">
        <v>27</v>
      </c>
    </row>
    <row r="227" spans="1:17" hidden="1" x14ac:dyDescent="0.25">
      <c r="A227" t="s">
        <v>3384</v>
      </c>
      <c r="B227" t="s">
        <v>3385</v>
      </c>
      <c r="C227">
        <v>226</v>
      </c>
      <c r="D227">
        <v>411</v>
      </c>
      <c r="E227">
        <v>1</v>
      </c>
      <c r="F227">
        <v>21</v>
      </c>
      <c r="G227">
        <v>68</v>
      </c>
      <c r="H227" t="s">
        <v>158</v>
      </c>
      <c r="I227" t="s">
        <v>158</v>
      </c>
      <c r="J227" t="s">
        <v>23</v>
      </c>
      <c r="K227" t="s">
        <v>916</v>
      </c>
      <c r="L227" t="s">
        <v>108</v>
      </c>
      <c r="M227">
        <v>0</v>
      </c>
      <c r="N227">
        <v>27</v>
      </c>
      <c r="O227">
        <v>33</v>
      </c>
      <c r="P227">
        <v>0</v>
      </c>
      <c r="Q227">
        <v>27</v>
      </c>
    </row>
    <row r="228" spans="1:17" hidden="1" x14ac:dyDescent="0.25">
      <c r="A228" t="s">
        <v>3386</v>
      </c>
      <c r="B228" t="s">
        <v>3387</v>
      </c>
      <c r="C228">
        <v>227</v>
      </c>
      <c r="D228">
        <v>487</v>
      </c>
      <c r="E228">
        <v>1</v>
      </c>
      <c r="F228">
        <v>22</v>
      </c>
      <c r="G228">
        <v>69</v>
      </c>
      <c r="H228" t="s">
        <v>158</v>
      </c>
      <c r="I228" t="s">
        <v>158</v>
      </c>
      <c r="J228" t="s">
        <v>23</v>
      </c>
      <c r="K228" t="s">
        <v>385</v>
      </c>
      <c r="L228" t="s">
        <v>2253</v>
      </c>
      <c r="M228">
        <v>0</v>
      </c>
      <c r="N228">
        <v>27</v>
      </c>
      <c r="O228">
        <v>39</v>
      </c>
      <c r="P228">
        <v>0</v>
      </c>
      <c r="Q228">
        <v>27</v>
      </c>
    </row>
    <row r="229" spans="1:17" x14ac:dyDescent="0.25">
      <c r="A229" t="s">
        <v>3388</v>
      </c>
      <c r="B229" t="s">
        <v>3389</v>
      </c>
      <c r="C229">
        <v>228</v>
      </c>
      <c r="D229">
        <v>61</v>
      </c>
      <c r="E229">
        <v>1</v>
      </c>
      <c r="F229">
        <v>23</v>
      </c>
      <c r="G229">
        <v>70</v>
      </c>
      <c r="H229" t="s">
        <v>158</v>
      </c>
      <c r="I229" t="s">
        <v>158</v>
      </c>
      <c r="J229" t="s">
        <v>23</v>
      </c>
      <c r="K229" t="s">
        <v>1455</v>
      </c>
      <c r="L229" t="s">
        <v>154</v>
      </c>
      <c r="M229">
        <v>12</v>
      </c>
      <c r="N229">
        <v>27</v>
      </c>
      <c r="O229">
        <v>42</v>
      </c>
      <c r="P229">
        <v>0</v>
      </c>
      <c r="Q229">
        <v>27</v>
      </c>
    </row>
    <row r="230" spans="1:17" hidden="1" x14ac:dyDescent="0.25">
      <c r="A230" t="s">
        <v>3390</v>
      </c>
      <c r="B230" t="s">
        <v>3391</v>
      </c>
      <c r="C230">
        <v>229</v>
      </c>
      <c r="D230">
        <v>150</v>
      </c>
      <c r="E230">
        <v>1</v>
      </c>
      <c r="F230">
        <v>15</v>
      </c>
      <c r="G230">
        <v>71</v>
      </c>
      <c r="H230" t="s">
        <v>159</v>
      </c>
      <c r="I230" t="s">
        <v>159</v>
      </c>
      <c r="J230" t="s">
        <v>23</v>
      </c>
      <c r="K230" t="s">
        <v>1760</v>
      </c>
      <c r="L230" t="s">
        <v>12</v>
      </c>
      <c r="M230">
        <v>0</v>
      </c>
      <c r="N230">
        <v>27</v>
      </c>
      <c r="O230">
        <v>56</v>
      </c>
      <c r="P230">
        <v>0</v>
      </c>
      <c r="Q230">
        <v>27</v>
      </c>
    </row>
    <row r="231" spans="1:17" hidden="1" x14ac:dyDescent="0.25">
      <c r="A231" t="s">
        <v>3392</v>
      </c>
      <c r="B231" t="s">
        <v>3393</v>
      </c>
      <c r="C231">
        <v>230</v>
      </c>
      <c r="D231">
        <v>70</v>
      </c>
      <c r="E231">
        <v>1</v>
      </c>
      <c r="F231">
        <v>13</v>
      </c>
      <c r="G231">
        <v>72</v>
      </c>
      <c r="H231" t="s">
        <v>156</v>
      </c>
      <c r="I231" t="s">
        <v>156</v>
      </c>
      <c r="J231" t="s">
        <v>23</v>
      </c>
      <c r="K231" t="s">
        <v>2774</v>
      </c>
      <c r="L231" t="s">
        <v>2745</v>
      </c>
      <c r="M231">
        <v>0</v>
      </c>
      <c r="N231">
        <v>27</v>
      </c>
      <c r="O231">
        <v>59</v>
      </c>
      <c r="P231">
        <v>0</v>
      </c>
      <c r="Q231">
        <v>27</v>
      </c>
    </row>
    <row r="232" spans="1:17" x14ac:dyDescent="0.25">
      <c r="A232" t="s">
        <v>3394</v>
      </c>
      <c r="B232" t="s">
        <v>3395</v>
      </c>
      <c r="C232">
        <v>231</v>
      </c>
      <c r="D232">
        <v>30</v>
      </c>
      <c r="E232">
        <v>1</v>
      </c>
      <c r="F232">
        <v>19</v>
      </c>
      <c r="G232">
        <v>73</v>
      </c>
      <c r="H232" t="s">
        <v>157</v>
      </c>
      <c r="I232" t="s">
        <v>157</v>
      </c>
      <c r="J232" t="s">
        <v>23</v>
      </c>
      <c r="K232" t="s">
        <v>566</v>
      </c>
      <c r="L232" t="s">
        <v>154</v>
      </c>
      <c r="M232">
        <v>11</v>
      </c>
      <c r="N232">
        <v>28</v>
      </c>
      <c r="O232">
        <v>1</v>
      </c>
      <c r="P232">
        <v>0</v>
      </c>
      <c r="Q232">
        <v>28</v>
      </c>
    </row>
    <row r="233" spans="1:17" hidden="1" x14ac:dyDescent="0.25">
      <c r="A233" t="s">
        <v>3396</v>
      </c>
      <c r="B233" t="s">
        <v>3397</v>
      </c>
      <c r="C233">
        <v>232</v>
      </c>
      <c r="D233">
        <v>130</v>
      </c>
      <c r="E233">
        <v>1</v>
      </c>
      <c r="F233">
        <v>30</v>
      </c>
      <c r="G233">
        <v>159</v>
      </c>
      <c r="H233" t="s">
        <v>161</v>
      </c>
      <c r="I233" t="s">
        <v>161</v>
      </c>
      <c r="J233" t="s">
        <v>24</v>
      </c>
      <c r="K233" t="s">
        <v>2941</v>
      </c>
      <c r="L233" t="s">
        <v>10</v>
      </c>
      <c r="M233">
        <v>0</v>
      </c>
      <c r="N233">
        <v>28</v>
      </c>
      <c r="O233">
        <v>4</v>
      </c>
      <c r="P233">
        <v>0</v>
      </c>
      <c r="Q233">
        <v>28</v>
      </c>
    </row>
    <row r="234" spans="1:17" hidden="1" x14ac:dyDescent="0.25">
      <c r="A234" t="s">
        <v>3398</v>
      </c>
      <c r="B234" t="s">
        <v>3399</v>
      </c>
      <c r="C234">
        <v>233</v>
      </c>
      <c r="D234">
        <v>445</v>
      </c>
      <c r="E234">
        <v>1</v>
      </c>
      <c r="F234">
        <v>14</v>
      </c>
      <c r="G234">
        <v>74</v>
      </c>
      <c r="H234" t="s">
        <v>156</v>
      </c>
      <c r="I234" t="s">
        <v>156</v>
      </c>
      <c r="J234" t="s">
        <v>23</v>
      </c>
      <c r="K234" t="s">
        <v>2379</v>
      </c>
      <c r="L234" t="s">
        <v>1805</v>
      </c>
      <c r="M234">
        <v>0</v>
      </c>
      <c r="N234">
        <v>28</v>
      </c>
      <c r="O234">
        <v>5</v>
      </c>
      <c r="P234">
        <v>0</v>
      </c>
      <c r="Q234">
        <v>28</v>
      </c>
    </row>
    <row r="235" spans="1:17" hidden="1" x14ac:dyDescent="0.25">
      <c r="A235" t="s">
        <v>3400</v>
      </c>
      <c r="B235" t="s">
        <v>3401</v>
      </c>
      <c r="C235">
        <v>234</v>
      </c>
      <c r="D235">
        <v>62</v>
      </c>
      <c r="E235">
        <v>1</v>
      </c>
      <c r="F235">
        <v>20</v>
      </c>
      <c r="G235">
        <v>75</v>
      </c>
      <c r="H235" t="s">
        <v>157</v>
      </c>
      <c r="I235" t="s">
        <v>157</v>
      </c>
      <c r="J235" t="s">
        <v>23</v>
      </c>
      <c r="K235" t="s">
        <v>1368</v>
      </c>
      <c r="L235" t="s">
        <v>63</v>
      </c>
      <c r="M235">
        <v>0</v>
      </c>
      <c r="N235">
        <v>28</v>
      </c>
      <c r="O235">
        <v>7</v>
      </c>
      <c r="P235">
        <v>0</v>
      </c>
      <c r="Q235">
        <v>28</v>
      </c>
    </row>
    <row r="236" spans="1:17" hidden="1" x14ac:dyDescent="0.25">
      <c r="A236" t="s">
        <v>3402</v>
      </c>
      <c r="B236" t="s">
        <v>3403</v>
      </c>
      <c r="C236">
        <v>235</v>
      </c>
      <c r="D236">
        <v>432</v>
      </c>
      <c r="E236">
        <v>1</v>
      </c>
      <c r="F236">
        <v>31</v>
      </c>
      <c r="G236">
        <v>160</v>
      </c>
      <c r="H236" t="s">
        <v>161</v>
      </c>
      <c r="I236" t="s">
        <v>161</v>
      </c>
      <c r="J236" t="s">
        <v>24</v>
      </c>
      <c r="K236" t="s">
        <v>1153</v>
      </c>
      <c r="L236" t="s">
        <v>155</v>
      </c>
      <c r="M236">
        <v>0</v>
      </c>
      <c r="N236">
        <v>28</v>
      </c>
      <c r="O236">
        <v>8</v>
      </c>
      <c r="P236">
        <v>0</v>
      </c>
      <c r="Q236">
        <v>28</v>
      </c>
    </row>
    <row r="237" spans="1:17" hidden="1" x14ac:dyDescent="0.25">
      <c r="A237" t="s">
        <v>3404</v>
      </c>
      <c r="B237" t="s">
        <v>3405</v>
      </c>
      <c r="C237">
        <v>236</v>
      </c>
      <c r="D237">
        <v>97</v>
      </c>
      <c r="E237">
        <v>1</v>
      </c>
      <c r="F237">
        <v>15</v>
      </c>
      <c r="G237">
        <v>76</v>
      </c>
      <c r="H237" t="s">
        <v>156</v>
      </c>
      <c r="I237" t="s">
        <v>156</v>
      </c>
      <c r="J237" t="s">
        <v>23</v>
      </c>
      <c r="K237" t="s">
        <v>2239</v>
      </c>
      <c r="L237" t="s">
        <v>63</v>
      </c>
      <c r="M237">
        <v>0</v>
      </c>
      <c r="N237">
        <v>28</v>
      </c>
      <c r="O237">
        <v>9</v>
      </c>
      <c r="P237">
        <v>0</v>
      </c>
      <c r="Q237">
        <v>28</v>
      </c>
    </row>
    <row r="238" spans="1:17" hidden="1" x14ac:dyDescent="0.25">
      <c r="A238" t="s">
        <v>3406</v>
      </c>
      <c r="B238" t="s">
        <v>3407</v>
      </c>
      <c r="C238">
        <v>237</v>
      </c>
      <c r="D238">
        <v>109</v>
      </c>
      <c r="E238">
        <v>1</v>
      </c>
      <c r="F238">
        <v>18</v>
      </c>
      <c r="G238">
        <v>161</v>
      </c>
      <c r="H238" t="s">
        <v>162</v>
      </c>
      <c r="I238" t="s">
        <v>162</v>
      </c>
      <c r="J238" t="s">
        <v>24</v>
      </c>
      <c r="K238" t="s">
        <v>462</v>
      </c>
      <c r="L238" t="s">
        <v>505</v>
      </c>
      <c r="M238">
        <v>0</v>
      </c>
      <c r="N238">
        <v>28</v>
      </c>
      <c r="O238">
        <v>12</v>
      </c>
      <c r="P238">
        <v>0</v>
      </c>
      <c r="Q238">
        <v>28</v>
      </c>
    </row>
    <row r="239" spans="1:17" hidden="1" x14ac:dyDescent="0.25">
      <c r="A239" t="s">
        <v>3408</v>
      </c>
      <c r="B239" t="s">
        <v>3409</v>
      </c>
      <c r="C239">
        <v>238</v>
      </c>
      <c r="D239">
        <v>359</v>
      </c>
      <c r="E239">
        <v>1</v>
      </c>
      <c r="F239">
        <v>24</v>
      </c>
      <c r="G239">
        <v>77</v>
      </c>
      <c r="H239" t="s">
        <v>158</v>
      </c>
      <c r="I239" t="s">
        <v>158</v>
      </c>
      <c r="J239" t="s">
        <v>23</v>
      </c>
      <c r="K239" t="s">
        <v>179</v>
      </c>
      <c r="L239" t="s">
        <v>12</v>
      </c>
      <c r="M239">
        <v>0</v>
      </c>
      <c r="N239">
        <v>28</v>
      </c>
      <c r="O239">
        <v>13</v>
      </c>
      <c r="P239">
        <v>0</v>
      </c>
      <c r="Q239">
        <v>28</v>
      </c>
    </row>
    <row r="240" spans="1:17" hidden="1" x14ac:dyDescent="0.25">
      <c r="A240" t="s">
        <v>3410</v>
      </c>
      <c r="B240" t="s">
        <v>3411</v>
      </c>
      <c r="C240">
        <v>239</v>
      </c>
      <c r="D240">
        <v>10</v>
      </c>
      <c r="E240">
        <v>1</v>
      </c>
      <c r="F240">
        <v>21</v>
      </c>
      <c r="G240">
        <v>78</v>
      </c>
      <c r="H240" t="s">
        <v>157</v>
      </c>
      <c r="I240" t="s">
        <v>157</v>
      </c>
      <c r="J240" t="s">
        <v>23</v>
      </c>
      <c r="K240" t="s">
        <v>1840</v>
      </c>
      <c r="L240" t="s">
        <v>43</v>
      </c>
      <c r="M240">
        <v>0</v>
      </c>
      <c r="N240">
        <v>28</v>
      </c>
      <c r="O240">
        <v>15</v>
      </c>
      <c r="P240">
        <v>0</v>
      </c>
      <c r="Q240">
        <v>28</v>
      </c>
    </row>
    <row r="241" spans="1:17" hidden="1" x14ac:dyDescent="0.25">
      <c r="A241" t="s">
        <v>3412</v>
      </c>
      <c r="B241" t="s">
        <v>3413</v>
      </c>
      <c r="C241">
        <v>240</v>
      </c>
      <c r="D241">
        <v>144</v>
      </c>
      <c r="E241">
        <v>1</v>
      </c>
      <c r="F241">
        <v>25</v>
      </c>
      <c r="G241">
        <v>79</v>
      </c>
      <c r="H241" t="s">
        <v>158</v>
      </c>
      <c r="I241" t="s">
        <v>158</v>
      </c>
      <c r="J241" t="s">
        <v>23</v>
      </c>
      <c r="K241" t="s">
        <v>1388</v>
      </c>
      <c r="L241" t="s">
        <v>12</v>
      </c>
      <c r="M241">
        <v>0</v>
      </c>
      <c r="N241">
        <v>28</v>
      </c>
      <c r="O241">
        <v>17</v>
      </c>
      <c r="P241">
        <v>0</v>
      </c>
      <c r="Q241">
        <v>28</v>
      </c>
    </row>
    <row r="242" spans="1:17" hidden="1" x14ac:dyDescent="0.25">
      <c r="A242" t="s">
        <v>2121</v>
      </c>
      <c r="B242" t="s">
        <v>3414</v>
      </c>
      <c r="C242">
        <v>241</v>
      </c>
      <c r="D242">
        <v>423</v>
      </c>
      <c r="E242">
        <v>1</v>
      </c>
      <c r="F242">
        <v>1</v>
      </c>
      <c r="G242">
        <v>80</v>
      </c>
      <c r="H242" t="s">
        <v>1818</v>
      </c>
      <c r="I242" t="s">
        <v>1818</v>
      </c>
      <c r="J242" t="s">
        <v>23</v>
      </c>
      <c r="K242" t="s">
        <v>2746</v>
      </c>
      <c r="L242" t="s">
        <v>155</v>
      </c>
      <c r="M242">
        <v>0</v>
      </c>
      <c r="N242">
        <v>28</v>
      </c>
      <c r="O242">
        <v>29</v>
      </c>
      <c r="P242">
        <v>0</v>
      </c>
      <c r="Q242">
        <v>28</v>
      </c>
    </row>
    <row r="243" spans="1:17" hidden="1" x14ac:dyDescent="0.25">
      <c r="A243" t="s">
        <v>3415</v>
      </c>
      <c r="B243" t="s">
        <v>3416</v>
      </c>
      <c r="C243">
        <v>242</v>
      </c>
      <c r="D243">
        <v>361</v>
      </c>
      <c r="E243">
        <v>1</v>
      </c>
      <c r="F243">
        <v>3</v>
      </c>
      <c r="G243">
        <v>162</v>
      </c>
      <c r="H243" t="s">
        <v>1817</v>
      </c>
      <c r="I243" t="s">
        <v>1817</v>
      </c>
      <c r="J243" t="s">
        <v>24</v>
      </c>
      <c r="K243" t="s">
        <v>1081</v>
      </c>
      <c r="L243" t="s">
        <v>108</v>
      </c>
      <c r="M243">
        <v>0</v>
      </c>
      <c r="N243">
        <v>28</v>
      </c>
      <c r="O243">
        <v>32</v>
      </c>
      <c r="P243">
        <v>0</v>
      </c>
      <c r="Q243">
        <v>28</v>
      </c>
    </row>
    <row r="244" spans="1:17" hidden="1" x14ac:dyDescent="0.25">
      <c r="A244" t="s">
        <v>3417</v>
      </c>
      <c r="B244" t="s">
        <v>3418</v>
      </c>
      <c r="C244">
        <v>243</v>
      </c>
      <c r="D244">
        <v>459</v>
      </c>
      <c r="E244">
        <v>1</v>
      </c>
      <c r="F244">
        <v>19</v>
      </c>
      <c r="G244">
        <v>163</v>
      </c>
      <c r="H244" t="s">
        <v>162</v>
      </c>
      <c r="I244" t="s">
        <v>162</v>
      </c>
      <c r="J244" t="s">
        <v>24</v>
      </c>
      <c r="K244" t="s">
        <v>214</v>
      </c>
      <c r="L244" t="s">
        <v>38</v>
      </c>
      <c r="M244">
        <v>0</v>
      </c>
      <c r="N244">
        <v>28</v>
      </c>
      <c r="O244">
        <v>34</v>
      </c>
      <c r="P244">
        <v>0</v>
      </c>
      <c r="Q244">
        <v>28</v>
      </c>
    </row>
    <row r="245" spans="1:17" hidden="1" x14ac:dyDescent="0.25">
      <c r="A245" t="s">
        <v>3419</v>
      </c>
      <c r="B245" t="s">
        <v>3420</v>
      </c>
      <c r="C245">
        <v>244</v>
      </c>
      <c r="D245">
        <v>480</v>
      </c>
      <c r="E245">
        <v>1</v>
      </c>
      <c r="F245">
        <v>22</v>
      </c>
      <c r="G245">
        <v>81</v>
      </c>
      <c r="H245" t="s">
        <v>157</v>
      </c>
      <c r="I245" t="s">
        <v>157</v>
      </c>
      <c r="J245" t="s">
        <v>23</v>
      </c>
      <c r="K245" t="s">
        <v>2272</v>
      </c>
      <c r="L245" t="s">
        <v>155</v>
      </c>
      <c r="M245">
        <v>0</v>
      </c>
      <c r="N245">
        <v>28</v>
      </c>
      <c r="O245">
        <v>42</v>
      </c>
      <c r="P245">
        <v>0</v>
      </c>
      <c r="Q245">
        <v>28</v>
      </c>
    </row>
    <row r="246" spans="1:17" x14ac:dyDescent="0.25">
      <c r="A246" t="s">
        <v>3421</v>
      </c>
      <c r="B246" t="s">
        <v>3422</v>
      </c>
      <c r="C246">
        <v>245</v>
      </c>
      <c r="D246">
        <v>358</v>
      </c>
      <c r="E246">
        <v>1</v>
      </c>
      <c r="F246">
        <v>16</v>
      </c>
      <c r="G246">
        <v>82</v>
      </c>
      <c r="H246" t="s">
        <v>159</v>
      </c>
      <c r="I246" t="s">
        <v>159</v>
      </c>
      <c r="J246" t="s">
        <v>23</v>
      </c>
      <c r="K246" t="s">
        <v>509</v>
      </c>
      <c r="L246" t="s">
        <v>154</v>
      </c>
      <c r="M246">
        <v>10</v>
      </c>
      <c r="N246">
        <v>28</v>
      </c>
      <c r="O246">
        <v>5</v>
      </c>
      <c r="P246">
        <v>0</v>
      </c>
      <c r="Q246">
        <v>28</v>
      </c>
    </row>
    <row r="247" spans="1:17" hidden="1" x14ac:dyDescent="0.25">
      <c r="A247" t="s">
        <v>3423</v>
      </c>
      <c r="B247" t="s">
        <v>3424</v>
      </c>
      <c r="C247">
        <v>246</v>
      </c>
      <c r="D247">
        <v>354</v>
      </c>
      <c r="E247">
        <v>1</v>
      </c>
      <c r="F247">
        <v>26</v>
      </c>
      <c r="G247">
        <v>83</v>
      </c>
      <c r="H247" t="s">
        <v>158</v>
      </c>
      <c r="I247" t="s">
        <v>158</v>
      </c>
      <c r="J247" t="s">
        <v>23</v>
      </c>
      <c r="K247" t="s">
        <v>1769</v>
      </c>
      <c r="L247" t="s">
        <v>63</v>
      </c>
      <c r="M247">
        <v>0</v>
      </c>
      <c r="N247">
        <v>28</v>
      </c>
      <c r="O247">
        <v>56</v>
      </c>
      <c r="P247">
        <v>0</v>
      </c>
      <c r="Q247">
        <v>28</v>
      </c>
    </row>
    <row r="248" spans="1:17" hidden="1" x14ac:dyDescent="0.25">
      <c r="A248" t="s">
        <v>3425</v>
      </c>
      <c r="B248" t="s">
        <v>3426</v>
      </c>
      <c r="C248">
        <v>247</v>
      </c>
      <c r="D248">
        <v>448</v>
      </c>
      <c r="E248">
        <v>1</v>
      </c>
      <c r="F248">
        <v>60</v>
      </c>
      <c r="G248">
        <v>164</v>
      </c>
      <c r="H248" t="s">
        <v>67</v>
      </c>
      <c r="I248" t="s">
        <v>67</v>
      </c>
      <c r="J248" t="s">
        <v>24</v>
      </c>
      <c r="K248" t="s">
        <v>2748</v>
      </c>
      <c r="L248" t="s">
        <v>63</v>
      </c>
      <c r="M248">
        <v>0</v>
      </c>
      <c r="N248">
        <v>29</v>
      </c>
      <c r="O248">
        <v>7</v>
      </c>
      <c r="P248">
        <v>0</v>
      </c>
      <c r="Q248">
        <v>29</v>
      </c>
    </row>
    <row r="249" spans="1:17" hidden="1" x14ac:dyDescent="0.25">
      <c r="A249" t="s">
        <v>3427</v>
      </c>
      <c r="B249" t="s">
        <v>3428</v>
      </c>
      <c r="C249">
        <v>248</v>
      </c>
      <c r="D249">
        <v>75</v>
      </c>
      <c r="E249">
        <v>1</v>
      </c>
      <c r="F249">
        <v>61</v>
      </c>
      <c r="G249">
        <v>165</v>
      </c>
      <c r="H249" t="s">
        <v>67</v>
      </c>
      <c r="I249" t="s">
        <v>67</v>
      </c>
      <c r="J249" t="s">
        <v>24</v>
      </c>
      <c r="K249" t="s">
        <v>2387</v>
      </c>
      <c r="L249" t="s">
        <v>1805</v>
      </c>
      <c r="M249">
        <v>0</v>
      </c>
      <c r="N249">
        <v>29</v>
      </c>
      <c r="O249">
        <v>10</v>
      </c>
      <c r="P249">
        <v>0</v>
      </c>
      <c r="Q249">
        <v>29</v>
      </c>
    </row>
    <row r="250" spans="1:17" hidden="1" x14ac:dyDescent="0.25">
      <c r="A250" t="s">
        <v>3429</v>
      </c>
      <c r="B250" t="s">
        <v>3430</v>
      </c>
      <c r="C250">
        <v>249</v>
      </c>
      <c r="D250">
        <v>393</v>
      </c>
      <c r="E250">
        <v>1</v>
      </c>
      <c r="F250">
        <v>17</v>
      </c>
      <c r="G250">
        <v>84</v>
      </c>
      <c r="H250" t="s">
        <v>159</v>
      </c>
      <c r="I250" t="s">
        <v>159</v>
      </c>
      <c r="J250" t="s">
        <v>23</v>
      </c>
      <c r="K250" t="s">
        <v>222</v>
      </c>
      <c r="L250" t="s">
        <v>38</v>
      </c>
      <c r="M250">
        <v>0</v>
      </c>
      <c r="N250">
        <v>29</v>
      </c>
      <c r="O250">
        <v>13</v>
      </c>
      <c r="P250">
        <v>0</v>
      </c>
      <c r="Q250">
        <v>29</v>
      </c>
    </row>
    <row r="251" spans="1:17" x14ac:dyDescent="0.25">
      <c r="A251" t="s">
        <v>3431</v>
      </c>
      <c r="B251" t="s">
        <v>3432</v>
      </c>
      <c r="C251">
        <v>250</v>
      </c>
      <c r="D251">
        <v>140</v>
      </c>
      <c r="E251">
        <v>1</v>
      </c>
      <c r="F251">
        <v>4</v>
      </c>
      <c r="G251">
        <v>166</v>
      </c>
      <c r="H251" t="s">
        <v>1817</v>
      </c>
      <c r="I251" t="s">
        <v>1817</v>
      </c>
      <c r="J251" t="s">
        <v>24</v>
      </c>
      <c r="K251" t="s">
        <v>389</v>
      </c>
      <c r="L251" t="s">
        <v>154</v>
      </c>
      <c r="M251">
        <v>14</v>
      </c>
      <c r="N251">
        <v>29</v>
      </c>
      <c r="O251">
        <v>21</v>
      </c>
      <c r="P251">
        <v>0</v>
      </c>
      <c r="Q251">
        <v>29</v>
      </c>
    </row>
    <row r="252" spans="1:17" hidden="1" x14ac:dyDescent="0.25">
      <c r="A252" t="s">
        <v>3433</v>
      </c>
      <c r="B252" t="s">
        <v>3434</v>
      </c>
      <c r="C252">
        <v>251</v>
      </c>
      <c r="D252">
        <v>76</v>
      </c>
      <c r="E252">
        <v>1</v>
      </c>
      <c r="F252">
        <v>16</v>
      </c>
      <c r="G252">
        <v>85</v>
      </c>
      <c r="H252" t="s">
        <v>156</v>
      </c>
      <c r="I252" t="s">
        <v>156</v>
      </c>
      <c r="J252" t="s">
        <v>23</v>
      </c>
      <c r="K252" t="s">
        <v>2392</v>
      </c>
      <c r="L252" t="s">
        <v>1805</v>
      </c>
      <c r="M252">
        <v>0</v>
      </c>
      <c r="N252">
        <v>29</v>
      </c>
      <c r="O252">
        <v>37</v>
      </c>
      <c r="P252">
        <v>0</v>
      </c>
      <c r="Q252">
        <v>29</v>
      </c>
    </row>
    <row r="253" spans="1:17" hidden="1" x14ac:dyDescent="0.25">
      <c r="A253" t="s">
        <v>3435</v>
      </c>
      <c r="B253" t="s">
        <v>3436</v>
      </c>
      <c r="C253">
        <v>252</v>
      </c>
      <c r="D253">
        <v>12</v>
      </c>
      <c r="E253">
        <v>1</v>
      </c>
      <c r="F253">
        <v>32</v>
      </c>
      <c r="G253">
        <v>167</v>
      </c>
      <c r="H253" t="s">
        <v>161</v>
      </c>
      <c r="I253" t="s">
        <v>161</v>
      </c>
      <c r="J253" t="s">
        <v>24</v>
      </c>
      <c r="K253" t="s">
        <v>195</v>
      </c>
      <c r="L253" t="s">
        <v>108</v>
      </c>
      <c r="M253">
        <v>0</v>
      </c>
      <c r="N253">
        <v>29</v>
      </c>
      <c r="O253">
        <v>55</v>
      </c>
      <c r="P253">
        <v>0</v>
      </c>
      <c r="Q253">
        <v>29</v>
      </c>
    </row>
    <row r="254" spans="1:17" hidden="1" x14ac:dyDescent="0.25">
      <c r="A254" t="s">
        <v>3437</v>
      </c>
      <c r="B254" t="s">
        <v>3438</v>
      </c>
      <c r="C254">
        <v>253</v>
      </c>
      <c r="D254">
        <v>455</v>
      </c>
      <c r="E254">
        <v>1</v>
      </c>
      <c r="F254">
        <v>20</v>
      </c>
      <c r="G254">
        <v>168</v>
      </c>
      <c r="H254" t="s">
        <v>162</v>
      </c>
      <c r="I254" t="s">
        <v>162</v>
      </c>
      <c r="J254" t="s">
        <v>24</v>
      </c>
      <c r="K254" t="s">
        <v>2458</v>
      </c>
      <c r="L254" t="s">
        <v>38</v>
      </c>
      <c r="M254">
        <v>0</v>
      </c>
      <c r="N254">
        <v>30</v>
      </c>
      <c r="O254">
        <v>0</v>
      </c>
      <c r="P254">
        <v>0</v>
      </c>
      <c r="Q254">
        <v>30</v>
      </c>
    </row>
    <row r="255" spans="1:17" hidden="1" x14ac:dyDescent="0.25">
      <c r="A255" t="s">
        <v>3439</v>
      </c>
      <c r="B255" t="s">
        <v>3440</v>
      </c>
      <c r="C255">
        <v>254</v>
      </c>
      <c r="D255">
        <v>386</v>
      </c>
      <c r="E255">
        <v>1</v>
      </c>
      <c r="F255">
        <v>27</v>
      </c>
      <c r="G255">
        <v>86</v>
      </c>
      <c r="H255" t="s">
        <v>158</v>
      </c>
      <c r="I255" t="s">
        <v>158</v>
      </c>
      <c r="J255" t="s">
        <v>23</v>
      </c>
      <c r="K255" t="s">
        <v>2739</v>
      </c>
      <c r="L255" t="s">
        <v>108</v>
      </c>
      <c r="M255">
        <v>0</v>
      </c>
      <c r="N255">
        <v>30</v>
      </c>
      <c r="O255">
        <v>9</v>
      </c>
      <c r="P255">
        <v>0</v>
      </c>
      <c r="Q255">
        <v>30</v>
      </c>
    </row>
    <row r="256" spans="1:17" hidden="1" x14ac:dyDescent="0.25">
      <c r="A256" t="s">
        <v>3441</v>
      </c>
      <c r="B256" t="s">
        <v>3442</v>
      </c>
      <c r="C256">
        <v>255</v>
      </c>
      <c r="D256">
        <v>398</v>
      </c>
      <c r="E256">
        <v>1</v>
      </c>
      <c r="F256">
        <v>23</v>
      </c>
      <c r="G256">
        <v>87</v>
      </c>
      <c r="H256" t="s">
        <v>157</v>
      </c>
      <c r="I256" t="s">
        <v>157</v>
      </c>
      <c r="J256" t="s">
        <v>23</v>
      </c>
      <c r="K256" t="s">
        <v>1796</v>
      </c>
      <c r="L256" t="s">
        <v>155</v>
      </c>
      <c r="M256">
        <v>0</v>
      </c>
      <c r="N256">
        <v>30</v>
      </c>
      <c r="O256">
        <v>24</v>
      </c>
      <c r="P256">
        <v>0</v>
      </c>
      <c r="Q256">
        <v>30</v>
      </c>
    </row>
    <row r="257" spans="1:17" x14ac:dyDescent="0.25">
      <c r="A257" t="s">
        <v>3443</v>
      </c>
      <c r="B257" t="s">
        <v>3444</v>
      </c>
      <c r="C257">
        <v>256</v>
      </c>
      <c r="D257">
        <v>40</v>
      </c>
      <c r="E257">
        <v>1</v>
      </c>
      <c r="F257">
        <v>28</v>
      </c>
      <c r="G257">
        <v>88</v>
      </c>
      <c r="H257" t="s">
        <v>158</v>
      </c>
      <c r="I257" t="s">
        <v>158</v>
      </c>
      <c r="J257" t="s">
        <v>23</v>
      </c>
      <c r="K257" t="s">
        <v>475</v>
      </c>
      <c r="L257" t="s">
        <v>154</v>
      </c>
      <c r="M257">
        <v>9</v>
      </c>
      <c r="N257">
        <v>30</v>
      </c>
      <c r="O257">
        <v>28</v>
      </c>
      <c r="P257">
        <v>0</v>
      </c>
      <c r="Q257">
        <v>30</v>
      </c>
    </row>
    <row r="258" spans="1:17" hidden="1" x14ac:dyDescent="0.25">
      <c r="A258" t="s">
        <v>3445</v>
      </c>
      <c r="B258" t="s">
        <v>3446</v>
      </c>
      <c r="C258">
        <v>257</v>
      </c>
      <c r="D258">
        <v>35</v>
      </c>
      <c r="E258">
        <v>1</v>
      </c>
      <c r="F258">
        <v>21</v>
      </c>
      <c r="G258">
        <v>169</v>
      </c>
      <c r="H258" t="s">
        <v>162</v>
      </c>
      <c r="I258" t="s">
        <v>162</v>
      </c>
      <c r="J258" t="s">
        <v>24</v>
      </c>
      <c r="K258" t="s">
        <v>2765</v>
      </c>
      <c r="L258" t="s">
        <v>12</v>
      </c>
      <c r="M258">
        <v>0</v>
      </c>
      <c r="N258">
        <v>30</v>
      </c>
      <c r="O258">
        <v>52</v>
      </c>
      <c r="P258">
        <v>0</v>
      </c>
      <c r="Q258">
        <v>30</v>
      </c>
    </row>
    <row r="259" spans="1:17" hidden="1" x14ac:dyDescent="0.25">
      <c r="A259" t="s">
        <v>3447</v>
      </c>
      <c r="B259" t="s">
        <v>3448</v>
      </c>
      <c r="C259">
        <v>258</v>
      </c>
      <c r="D259">
        <v>90</v>
      </c>
      <c r="E259">
        <v>1</v>
      </c>
      <c r="F259">
        <v>24</v>
      </c>
      <c r="G259">
        <v>89</v>
      </c>
      <c r="H259" t="s">
        <v>157</v>
      </c>
      <c r="I259" t="s">
        <v>157</v>
      </c>
      <c r="J259" t="s">
        <v>23</v>
      </c>
      <c r="K259" t="s">
        <v>466</v>
      </c>
      <c r="L259" t="s">
        <v>63</v>
      </c>
      <c r="M259">
        <v>0</v>
      </c>
      <c r="N259">
        <v>30</v>
      </c>
      <c r="O259">
        <v>54</v>
      </c>
      <c r="P259">
        <v>0</v>
      </c>
      <c r="Q259">
        <v>30</v>
      </c>
    </row>
    <row r="260" spans="1:17" hidden="1" x14ac:dyDescent="0.25">
      <c r="A260" t="s">
        <v>3449</v>
      </c>
      <c r="B260" t="s">
        <v>3450</v>
      </c>
      <c r="C260">
        <v>259</v>
      </c>
      <c r="D260">
        <v>458</v>
      </c>
      <c r="E260">
        <v>1</v>
      </c>
      <c r="F260">
        <v>29</v>
      </c>
      <c r="G260">
        <v>90</v>
      </c>
      <c r="H260" t="s">
        <v>158</v>
      </c>
      <c r="I260" t="s">
        <v>158</v>
      </c>
      <c r="J260" t="s">
        <v>23</v>
      </c>
      <c r="K260" t="s">
        <v>387</v>
      </c>
      <c r="L260" t="s">
        <v>38</v>
      </c>
      <c r="M260">
        <v>0</v>
      </c>
      <c r="N260">
        <v>31</v>
      </c>
      <c r="O260">
        <v>0</v>
      </c>
      <c r="P260">
        <v>0</v>
      </c>
      <c r="Q260">
        <v>31</v>
      </c>
    </row>
    <row r="261" spans="1:17" x14ac:dyDescent="0.25">
      <c r="A261" t="s">
        <v>3451</v>
      </c>
      <c r="B261" t="s">
        <v>3452</v>
      </c>
      <c r="C261">
        <v>260</v>
      </c>
      <c r="D261">
        <v>24</v>
      </c>
      <c r="E261">
        <v>1</v>
      </c>
      <c r="F261">
        <v>30</v>
      </c>
      <c r="G261">
        <v>91</v>
      </c>
      <c r="H261" t="s">
        <v>158</v>
      </c>
      <c r="I261" t="s">
        <v>158</v>
      </c>
      <c r="J261" t="s">
        <v>23</v>
      </c>
      <c r="K261" t="s">
        <v>967</v>
      </c>
      <c r="L261" t="s">
        <v>154</v>
      </c>
      <c r="M261">
        <v>8</v>
      </c>
      <c r="N261">
        <v>31</v>
      </c>
      <c r="O261">
        <v>3</v>
      </c>
      <c r="P261">
        <v>0</v>
      </c>
      <c r="Q261">
        <v>31</v>
      </c>
    </row>
    <row r="262" spans="1:17" hidden="1" x14ac:dyDescent="0.25">
      <c r="A262" t="s">
        <v>3453</v>
      </c>
      <c r="B262" t="s">
        <v>3454</v>
      </c>
      <c r="C262">
        <v>261</v>
      </c>
      <c r="D262">
        <v>101</v>
      </c>
      <c r="E262">
        <v>1</v>
      </c>
      <c r="F262">
        <v>49</v>
      </c>
      <c r="G262">
        <v>170</v>
      </c>
      <c r="H262" t="s">
        <v>160</v>
      </c>
      <c r="I262" t="s">
        <v>160</v>
      </c>
      <c r="J262" t="s">
        <v>24</v>
      </c>
      <c r="K262" t="s">
        <v>2040</v>
      </c>
      <c r="L262" t="s">
        <v>505</v>
      </c>
      <c r="M262">
        <v>0</v>
      </c>
      <c r="N262">
        <v>31</v>
      </c>
      <c r="O262">
        <v>4</v>
      </c>
      <c r="P262">
        <v>0</v>
      </c>
      <c r="Q262">
        <v>31</v>
      </c>
    </row>
    <row r="263" spans="1:17" hidden="1" x14ac:dyDescent="0.25">
      <c r="A263" t="s">
        <v>3455</v>
      </c>
      <c r="B263" t="s">
        <v>3456</v>
      </c>
      <c r="C263">
        <v>262</v>
      </c>
      <c r="D263">
        <v>16</v>
      </c>
      <c r="E263">
        <v>1</v>
      </c>
      <c r="F263">
        <v>31</v>
      </c>
      <c r="G263">
        <v>92</v>
      </c>
      <c r="H263" t="s">
        <v>158</v>
      </c>
      <c r="I263" t="s">
        <v>158</v>
      </c>
      <c r="J263" t="s">
        <v>23</v>
      </c>
      <c r="K263" t="s">
        <v>298</v>
      </c>
      <c r="L263" t="s">
        <v>108</v>
      </c>
      <c r="M263">
        <v>0</v>
      </c>
      <c r="N263">
        <v>31</v>
      </c>
      <c r="O263">
        <v>11</v>
      </c>
      <c r="P263">
        <v>0</v>
      </c>
      <c r="Q263">
        <v>31</v>
      </c>
    </row>
    <row r="264" spans="1:17" hidden="1" x14ac:dyDescent="0.25">
      <c r="A264" t="s">
        <v>3457</v>
      </c>
      <c r="B264" t="s">
        <v>3458</v>
      </c>
      <c r="C264">
        <v>263</v>
      </c>
      <c r="D264">
        <v>110</v>
      </c>
      <c r="E264">
        <v>1</v>
      </c>
      <c r="F264">
        <v>25</v>
      </c>
      <c r="G264">
        <v>93</v>
      </c>
      <c r="H264" t="s">
        <v>157</v>
      </c>
      <c r="I264" t="s">
        <v>157</v>
      </c>
      <c r="J264" t="s">
        <v>23</v>
      </c>
      <c r="K264" t="s">
        <v>2932</v>
      </c>
      <c r="L264" t="s">
        <v>1805</v>
      </c>
      <c r="M264">
        <v>0</v>
      </c>
      <c r="N264">
        <v>31</v>
      </c>
      <c r="O264">
        <v>13</v>
      </c>
      <c r="P264">
        <v>0</v>
      </c>
      <c r="Q264">
        <v>31</v>
      </c>
    </row>
    <row r="265" spans="1:17" hidden="1" x14ac:dyDescent="0.25">
      <c r="A265" t="s">
        <v>3459</v>
      </c>
      <c r="B265" t="s">
        <v>3460</v>
      </c>
      <c r="C265">
        <v>264</v>
      </c>
      <c r="D265">
        <v>89</v>
      </c>
      <c r="E265">
        <v>1</v>
      </c>
      <c r="F265">
        <v>17</v>
      </c>
      <c r="G265">
        <v>94</v>
      </c>
      <c r="H265" t="s">
        <v>156</v>
      </c>
      <c r="I265" t="s">
        <v>156</v>
      </c>
      <c r="J265" t="s">
        <v>23</v>
      </c>
      <c r="K265" t="s">
        <v>1411</v>
      </c>
      <c r="L265" t="s">
        <v>63</v>
      </c>
      <c r="M265">
        <v>0</v>
      </c>
      <c r="N265">
        <v>31</v>
      </c>
      <c r="O265">
        <v>15</v>
      </c>
      <c r="P265">
        <v>0</v>
      </c>
      <c r="Q265">
        <v>31</v>
      </c>
    </row>
    <row r="266" spans="1:17" hidden="1" x14ac:dyDescent="0.25">
      <c r="A266" t="s">
        <v>3461</v>
      </c>
      <c r="B266" t="s">
        <v>3462</v>
      </c>
      <c r="C266">
        <v>265</v>
      </c>
      <c r="D266">
        <v>438</v>
      </c>
      <c r="E266">
        <v>1</v>
      </c>
      <c r="F266">
        <v>18</v>
      </c>
      <c r="G266">
        <v>95</v>
      </c>
      <c r="H266" t="s">
        <v>159</v>
      </c>
      <c r="I266" t="s">
        <v>159</v>
      </c>
      <c r="J266" t="s">
        <v>23</v>
      </c>
      <c r="K266" t="s">
        <v>2023</v>
      </c>
      <c r="L266" t="s">
        <v>1805</v>
      </c>
      <c r="M266">
        <v>0</v>
      </c>
      <c r="N266">
        <v>31</v>
      </c>
      <c r="O266">
        <v>28</v>
      </c>
      <c r="P266">
        <v>0</v>
      </c>
      <c r="Q266">
        <v>31</v>
      </c>
    </row>
    <row r="267" spans="1:17" hidden="1" x14ac:dyDescent="0.25">
      <c r="A267" t="s">
        <v>3463</v>
      </c>
      <c r="B267" t="s">
        <v>3464</v>
      </c>
      <c r="C267">
        <v>266</v>
      </c>
      <c r="D267">
        <v>456</v>
      </c>
      <c r="E267">
        <v>1</v>
      </c>
      <c r="F267">
        <v>26</v>
      </c>
      <c r="G267">
        <v>96</v>
      </c>
      <c r="H267" t="s">
        <v>157</v>
      </c>
      <c r="I267" t="s">
        <v>157</v>
      </c>
      <c r="J267" t="s">
        <v>23</v>
      </c>
      <c r="K267" t="s">
        <v>296</v>
      </c>
      <c r="L267" t="s">
        <v>38</v>
      </c>
      <c r="M267">
        <v>0</v>
      </c>
      <c r="N267">
        <v>31</v>
      </c>
      <c r="O267">
        <v>35</v>
      </c>
      <c r="P267">
        <v>0</v>
      </c>
      <c r="Q267">
        <v>31</v>
      </c>
    </row>
    <row r="268" spans="1:17" hidden="1" x14ac:dyDescent="0.25">
      <c r="A268" t="s">
        <v>3465</v>
      </c>
      <c r="B268" t="s">
        <v>3466</v>
      </c>
      <c r="C268">
        <v>267</v>
      </c>
      <c r="D268">
        <v>425</v>
      </c>
      <c r="E268">
        <v>1</v>
      </c>
      <c r="F268">
        <v>33</v>
      </c>
      <c r="G268">
        <v>171</v>
      </c>
      <c r="H268" t="s">
        <v>161</v>
      </c>
      <c r="I268" t="s">
        <v>161</v>
      </c>
      <c r="J268" t="s">
        <v>24</v>
      </c>
      <c r="K268" t="s">
        <v>2747</v>
      </c>
      <c r="L268" t="s">
        <v>155</v>
      </c>
      <c r="M268">
        <v>0</v>
      </c>
      <c r="N268">
        <v>31</v>
      </c>
      <c r="O268">
        <v>42</v>
      </c>
      <c r="P268">
        <v>0</v>
      </c>
      <c r="Q268">
        <v>31</v>
      </c>
    </row>
    <row r="269" spans="1:17" hidden="1" x14ac:dyDescent="0.25">
      <c r="A269" t="s">
        <v>3467</v>
      </c>
      <c r="B269" t="s">
        <v>3468</v>
      </c>
      <c r="C269">
        <v>268</v>
      </c>
      <c r="D269">
        <v>464</v>
      </c>
      <c r="E269">
        <v>1</v>
      </c>
      <c r="F269">
        <v>32</v>
      </c>
      <c r="G269">
        <v>97</v>
      </c>
      <c r="H269" t="s">
        <v>158</v>
      </c>
      <c r="I269" t="s">
        <v>158</v>
      </c>
      <c r="J269" t="s">
        <v>23</v>
      </c>
      <c r="K269" t="s">
        <v>2753</v>
      </c>
      <c r="L269" t="s">
        <v>38</v>
      </c>
      <c r="M269">
        <v>0</v>
      </c>
      <c r="N269">
        <v>31</v>
      </c>
      <c r="O269">
        <v>43</v>
      </c>
      <c r="P269">
        <v>0</v>
      </c>
      <c r="Q269">
        <v>31</v>
      </c>
    </row>
    <row r="270" spans="1:17" hidden="1" x14ac:dyDescent="0.25">
      <c r="A270" t="s">
        <v>3469</v>
      </c>
      <c r="B270" t="s">
        <v>3470</v>
      </c>
      <c r="C270">
        <v>269</v>
      </c>
      <c r="D270">
        <v>426</v>
      </c>
      <c r="E270">
        <v>1</v>
      </c>
      <c r="F270">
        <v>27</v>
      </c>
      <c r="G270">
        <v>98</v>
      </c>
      <c r="H270" t="s">
        <v>157</v>
      </c>
      <c r="I270" t="s">
        <v>157</v>
      </c>
      <c r="J270" t="s">
        <v>23</v>
      </c>
      <c r="K270" t="s">
        <v>2299</v>
      </c>
      <c r="L270" t="s">
        <v>155</v>
      </c>
      <c r="M270">
        <v>0</v>
      </c>
      <c r="N270">
        <v>31</v>
      </c>
      <c r="O270">
        <v>46</v>
      </c>
      <c r="P270">
        <v>0</v>
      </c>
      <c r="Q270">
        <v>31</v>
      </c>
    </row>
    <row r="271" spans="1:17" hidden="1" x14ac:dyDescent="0.25">
      <c r="A271" t="s">
        <v>3471</v>
      </c>
      <c r="B271" t="s">
        <v>3472</v>
      </c>
      <c r="C271">
        <v>270</v>
      </c>
      <c r="D271">
        <v>42</v>
      </c>
      <c r="E271">
        <v>1</v>
      </c>
      <c r="F271">
        <v>33</v>
      </c>
      <c r="G271">
        <v>99</v>
      </c>
      <c r="H271" t="s">
        <v>158</v>
      </c>
      <c r="I271" t="s">
        <v>158</v>
      </c>
      <c r="J271" t="s">
        <v>23</v>
      </c>
      <c r="K271" t="s">
        <v>198</v>
      </c>
      <c r="L271" t="s">
        <v>12</v>
      </c>
      <c r="M271">
        <v>0</v>
      </c>
      <c r="N271">
        <v>31</v>
      </c>
      <c r="O271">
        <v>51</v>
      </c>
      <c r="P271">
        <v>0</v>
      </c>
      <c r="Q271">
        <v>31</v>
      </c>
    </row>
    <row r="272" spans="1:17" hidden="1" x14ac:dyDescent="0.25">
      <c r="A272" t="s">
        <v>3473</v>
      </c>
      <c r="B272" t="s">
        <v>3474</v>
      </c>
      <c r="C272">
        <v>271</v>
      </c>
      <c r="D272">
        <v>84</v>
      </c>
      <c r="E272">
        <v>1</v>
      </c>
      <c r="F272">
        <v>28</v>
      </c>
      <c r="G272">
        <v>100</v>
      </c>
      <c r="H272" t="s">
        <v>157</v>
      </c>
      <c r="I272" t="s">
        <v>157</v>
      </c>
      <c r="J272" t="s">
        <v>23</v>
      </c>
      <c r="K272" t="s">
        <v>2929</v>
      </c>
      <c r="L272" t="s">
        <v>12</v>
      </c>
      <c r="M272">
        <v>0</v>
      </c>
      <c r="N272">
        <v>32</v>
      </c>
      <c r="O272">
        <v>3</v>
      </c>
      <c r="P272">
        <v>0</v>
      </c>
      <c r="Q272">
        <v>32</v>
      </c>
    </row>
    <row r="273" spans="1:17" hidden="1" x14ac:dyDescent="0.25">
      <c r="A273" t="s">
        <v>3475</v>
      </c>
      <c r="B273" t="s">
        <v>3476</v>
      </c>
      <c r="C273">
        <v>272</v>
      </c>
      <c r="D273">
        <v>433</v>
      </c>
      <c r="E273">
        <v>1</v>
      </c>
      <c r="F273">
        <v>19</v>
      </c>
      <c r="G273">
        <v>101</v>
      </c>
      <c r="H273" t="s">
        <v>159</v>
      </c>
      <c r="I273" t="s">
        <v>159</v>
      </c>
      <c r="J273" t="s">
        <v>23</v>
      </c>
      <c r="K273" t="s">
        <v>1405</v>
      </c>
      <c r="L273" t="s">
        <v>155</v>
      </c>
      <c r="M273">
        <v>0</v>
      </c>
      <c r="N273">
        <v>32</v>
      </c>
      <c r="O273">
        <v>5</v>
      </c>
      <c r="P273">
        <v>0</v>
      </c>
      <c r="Q273">
        <v>32</v>
      </c>
    </row>
    <row r="274" spans="1:17" hidden="1" x14ac:dyDescent="0.25">
      <c r="A274" t="s">
        <v>3477</v>
      </c>
      <c r="B274" t="s">
        <v>3478</v>
      </c>
      <c r="C274">
        <v>273</v>
      </c>
      <c r="D274">
        <v>466</v>
      </c>
      <c r="E274">
        <v>1</v>
      </c>
      <c r="F274">
        <v>2</v>
      </c>
      <c r="G274">
        <v>102</v>
      </c>
      <c r="H274" t="s">
        <v>1818</v>
      </c>
      <c r="I274" t="s">
        <v>1818</v>
      </c>
      <c r="J274" t="s">
        <v>23</v>
      </c>
      <c r="K274" t="s">
        <v>2399</v>
      </c>
      <c r="L274" t="s">
        <v>38</v>
      </c>
      <c r="M274">
        <v>0</v>
      </c>
      <c r="N274">
        <v>32</v>
      </c>
      <c r="O274">
        <v>26</v>
      </c>
      <c r="P274">
        <v>0</v>
      </c>
      <c r="Q274">
        <v>32</v>
      </c>
    </row>
    <row r="275" spans="1:17" hidden="1" x14ac:dyDescent="0.25">
      <c r="A275" t="s">
        <v>3479</v>
      </c>
      <c r="B275" t="s">
        <v>3480</v>
      </c>
      <c r="C275">
        <v>274</v>
      </c>
      <c r="D275">
        <v>452</v>
      </c>
      <c r="E275">
        <v>1</v>
      </c>
      <c r="F275">
        <v>22</v>
      </c>
      <c r="G275">
        <v>172</v>
      </c>
      <c r="H275" t="s">
        <v>162</v>
      </c>
      <c r="I275" t="s">
        <v>162</v>
      </c>
      <c r="J275" t="s">
        <v>24</v>
      </c>
      <c r="K275" t="s">
        <v>212</v>
      </c>
      <c r="L275" t="s">
        <v>38</v>
      </c>
      <c r="M275">
        <v>0</v>
      </c>
      <c r="N275">
        <v>32</v>
      </c>
      <c r="O275">
        <v>31</v>
      </c>
      <c r="P275">
        <v>0</v>
      </c>
      <c r="Q275">
        <v>32</v>
      </c>
    </row>
    <row r="276" spans="1:17" hidden="1" x14ac:dyDescent="0.25">
      <c r="A276" t="s">
        <v>3481</v>
      </c>
      <c r="B276" t="s">
        <v>3482</v>
      </c>
      <c r="C276">
        <v>275</v>
      </c>
      <c r="D276">
        <v>48</v>
      </c>
      <c r="E276">
        <v>1</v>
      </c>
      <c r="F276">
        <v>29</v>
      </c>
      <c r="G276">
        <v>103</v>
      </c>
      <c r="H276" t="s">
        <v>157</v>
      </c>
      <c r="I276" t="s">
        <v>157</v>
      </c>
      <c r="J276" t="s">
        <v>23</v>
      </c>
      <c r="K276" t="s">
        <v>1512</v>
      </c>
      <c r="L276" t="s">
        <v>63</v>
      </c>
      <c r="M276">
        <v>0</v>
      </c>
      <c r="N276">
        <v>32</v>
      </c>
      <c r="O276">
        <v>34</v>
      </c>
      <c r="P276">
        <v>0</v>
      </c>
      <c r="Q276">
        <v>32</v>
      </c>
    </row>
    <row r="277" spans="1:17" hidden="1" x14ac:dyDescent="0.25">
      <c r="A277" t="s">
        <v>3483</v>
      </c>
      <c r="B277" t="s">
        <v>3484</v>
      </c>
      <c r="C277">
        <v>276</v>
      </c>
      <c r="D277">
        <v>133</v>
      </c>
      <c r="E277">
        <v>1</v>
      </c>
      <c r="F277">
        <v>20</v>
      </c>
      <c r="G277">
        <v>104</v>
      </c>
      <c r="H277" t="s">
        <v>159</v>
      </c>
      <c r="I277" t="s">
        <v>159</v>
      </c>
      <c r="J277" t="s">
        <v>23</v>
      </c>
      <c r="K277" t="s">
        <v>2119</v>
      </c>
      <c r="L277" t="s">
        <v>505</v>
      </c>
      <c r="M277">
        <v>0</v>
      </c>
      <c r="N277">
        <v>32</v>
      </c>
      <c r="O277">
        <v>50</v>
      </c>
      <c r="P277">
        <v>0</v>
      </c>
      <c r="Q277">
        <v>32</v>
      </c>
    </row>
    <row r="278" spans="1:17" hidden="1" x14ac:dyDescent="0.25">
      <c r="A278" t="s">
        <v>3485</v>
      </c>
      <c r="B278" t="s">
        <v>3486</v>
      </c>
      <c r="C278">
        <v>277</v>
      </c>
      <c r="D278">
        <v>463</v>
      </c>
      <c r="E278">
        <v>1</v>
      </c>
      <c r="F278">
        <v>34</v>
      </c>
      <c r="G278">
        <v>173</v>
      </c>
      <c r="H278" t="s">
        <v>161</v>
      </c>
      <c r="I278" t="s">
        <v>161</v>
      </c>
      <c r="J278" t="s">
        <v>24</v>
      </c>
      <c r="K278" t="s">
        <v>2267</v>
      </c>
      <c r="L278" t="s">
        <v>38</v>
      </c>
      <c r="M278">
        <v>0</v>
      </c>
      <c r="N278">
        <v>33</v>
      </c>
      <c r="O278">
        <v>1</v>
      </c>
      <c r="P278">
        <v>0</v>
      </c>
      <c r="Q278">
        <v>33</v>
      </c>
    </row>
    <row r="279" spans="1:17" hidden="1" x14ac:dyDescent="0.25">
      <c r="A279" t="s">
        <v>3487</v>
      </c>
      <c r="B279" t="s">
        <v>3488</v>
      </c>
      <c r="C279">
        <v>278</v>
      </c>
      <c r="D279">
        <v>482</v>
      </c>
      <c r="E279">
        <v>1</v>
      </c>
      <c r="F279">
        <v>21</v>
      </c>
      <c r="G279">
        <v>105</v>
      </c>
      <c r="H279" t="s">
        <v>159</v>
      </c>
      <c r="I279" t="s">
        <v>159</v>
      </c>
      <c r="J279" t="s">
        <v>23</v>
      </c>
      <c r="K279" t="s">
        <v>1624</v>
      </c>
      <c r="L279" t="s">
        <v>38</v>
      </c>
      <c r="M279">
        <v>0</v>
      </c>
      <c r="N279">
        <v>33</v>
      </c>
      <c r="O279">
        <v>28</v>
      </c>
      <c r="P279">
        <v>0</v>
      </c>
      <c r="Q279">
        <v>33</v>
      </c>
    </row>
    <row r="280" spans="1:17" hidden="1" x14ac:dyDescent="0.25">
      <c r="A280" t="s">
        <v>3489</v>
      </c>
      <c r="B280" t="s">
        <v>3490</v>
      </c>
      <c r="C280">
        <v>279</v>
      </c>
      <c r="D280">
        <v>107</v>
      </c>
      <c r="E280">
        <v>1</v>
      </c>
      <c r="F280">
        <v>50</v>
      </c>
      <c r="G280">
        <v>174</v>
      </c>
      <c r="H280" t="s">
        <v>160</v>
      </c>
      <c r="I280" t="s">
        <v>160</v>
      </c>
      <c r="J280" t="s">
        <v>24</v>
      </c>
      <c r="K280" t="s">
        <v>248</v>
      </c>
      <c r="L280" t="s">
        <v>63</v>
      </c>
      <c r="M280">
        <v>0</v>
      </c>
      <c r="N280">
        <v>33</v>
      </c>
      <c r="O280">
        <v>39</v>
      </c>
      <c r="P280">
        <v>0</v>
      </c>
      <c r="Q280">
        <v>33</v>
      </c>
    </row>
    <row r="281" spans="1:17" hidden="1" x14ac:dyDescent="0.25">
      <c r="A281" t="s">
        <v>3491</v>
      </c>
      <c r="B281" t="s">
        <v>3492</v>
      </c>
      <c r="C281">
        <v>280</v>
      </c>
      <c r="D281">
        <v>467</v>
      </c>
      <c r="E281">
        <v>1</v>
      </c>
      <c r="F281">
        <v>18</v>
      </c>
      <c r="G281">
        <v>106</v>
      </c>
      <c r="H281" t="s">
        <v>156</v>
      </c>
      <c r="I281" t="s">
        <v>156</v>
      </c>
      <c r="J281" t="s">
        <v>23</v>
      </c>
      <c r="K281" t="s">
        <v>2755</v>
      </c>
      <c r="L281" t="s">
        <v>1805</v>
      </c>
      <c r="M281">
        <v>0</v>
      </c>
      <c r="N281">
        <v>33</v>
      </c>
      <c r="O281">
        <v>40</v>
      </c>
      <c r="P281">
        <v>0</v>
      </c>
      <c r="Q281">
        <v>33</v>
      </c>
    </row>
    <row r="282" spans="1:17" hidden="1" x14ac:dyDescent="0.25">
      <c r="A282" t="s">
        <v>3493</v>
      </c>
      <c r="B282" t="s">
        <v>3494</v>
      </c>
      <c r="C282">
        <v>281</v>
      </c>
      <c r="D282">
        <v>485</v>
      </c>
      <c r="E282">
        <v>1</v>
      </c>
      <c r="F282">
        <v>22</v>
      </c>
      <c r="G282">
        <v>107</v>
      </c>
      <c r="H282" t="s">
        <v>159</v>
      </c>
      <c r="I282" t="s">
        <v>159</v>
      </c>
      <c r="J282" t="s">
        <v>23</v>
      </c>
      <c r="K282" t="s">
        <v>2757</v>
      </c>
      <c r="L282" t="s">
        <v>38</v>
      </c>
      <c r="M282">
        <v>0</v>
      </c>
      <c r="N282">
        <v>34</v>
      </c>
      <c r="O282">
        <v>21</v>
      </c>
      <c r="P282">
        <v>0</v>
      </c>
      <c r="Q282">
        <v>34</v>
      </c>
    </row>
    <row r="283" spans="1:17" hidden="1" x14ac:dyDescent="0.25">
      <c r="A283" t="s">
        <v>3495</v>
      </c>
      <c r="B283" t="s">
        <v>3496</v>
      </c>
      <c r="C283">
        <v>282</v>
      </c>
      <c r="D283">
        <v>488</v>
      </c>
      <c r="E283">
        <v>1</v>
      </c>
      <c r="F283">
        <v>23</v>
      </c>
      <c r="G283">
        <v>108</v>
      </c>
      <c r="H283" t="s">
        <v>159</v>
      </c>
      <c r="I283" t="s">
        <v>159</v>
      </c>
      <c r="J283" t="s">
        <v>23</v>
      </c>
      <c r="K283" t="s">
        <v>2758</v>
      </c>
      <c r="L283" t="s">
        <v>12</v>
      </c>
      <c r="M283">
        <v>0</v>
      </c>
      <c r="N283">
        <v>34</v>
      </c>
      <c r="O283">
        <v>24</v>
      </c>
      <c r="P283">
        <v>0</v>
      </c>
      <c r="Q283">
        <v>34</v>
      </c>
    </row>
    <row r="284" spans="1:17" hidden="1" x14ac:dyDescent="0.25">
      <c r="A284" t="s">
        <v>3497</v>
      </c>
      <c r="B284" t="s">
        <v>3498</v>
      </c>
      <c r="C284">
        <v>283</v>
      </c>
      <c r="D284">
        <v>83</v>
      </c>
      <c r="E284">
        <v>1</v>
      </c>
      <c r="F284">
        <v>51</v>
      </c>
      <c r="G284">
        <v>175</v>
      </c>
      <c r="H284" t="s">
        <v>160</v>
      </c>
      <c r="I284" t="s">
        <v>160</v>
      </c>
      <c r="J284" t="s">
        <v>24</v>
      </c>
      <c r="K284" t="s">
        <v>2928</v>
      </c>
      <c r="L284" t="s">
        <v>12</v>
      </c>
      <c r="M284">
        <v>0</v>
      </c>
      <c r="N284">
        <v>34</v>
      </c>
      <c r="O284">
        <v>26</v>
      </c>
      <c r="P284">
        <v>0</v>
      </c>
      <c r="Q284">
        <v>34</v>
      </c>
    </row>
    <row r="285" spans="1:17" hidden="1" x14ac:dyDescent="0.25">
      <c r="A285" t="s">
        <v>3499</v>
      </c>
      <c r="B285" t="s">
        <v>3500</v>
      </c>
      <c r="C285">
        <v>284</v>
      </c>
      <c r="D285">
        <v>98</v>
      </c>
      <c r="E285">
        <v>1</v>
      </c>
      <c r="F285">
        <v>5</v>
      </c>
      <c r="G285">
        <v>176</v>
      </c>
      <c r="H285" t="s">
        <v>1817</v>
      </c>
      <c r="I285" t="s">
        <v>1817</v>
      </c>
      <c r="J285" t="s">
        <v>24</v>
      </c>
      <c r="K285" t="s">
        <v>246</v>
      </c>
      <c r="L285" t="s">
        <v>63</v>
      </c>
      <c r="M285">
        <v>0</v>
      </c>
      <c r="N285">
        <v>34</v>
      </c>
      <c r="O285">
        <v>28</v>
      </c>
      <c r="P285">
        <v>0</v>
      </c>
      <c r="Q285">
        <v>34</v>
      </c>
    </row>
    <row r="286" spans="1:17" hidden="1" x14ac:dyDescent="0.25">
      <c r="A286" t="s">
        <v>3501</v>
      </c>
      <c r="B286" t="s">
        <v>3502</v>
      </c>
      <c r="C286">
        <v>285</v>
      </c>
      <c r="D286">
        <v>395</v>
      </c>
      <c r="E286">
        <v>1</v>
      </c>
      <c r="F286">
        <v>35</v>
      </c>
      <c r="G286">
        <v>177</v>
      </c>
      <c r="H286" t="s">
        <v>161</v>
      </c>
      <c r="I286" t="s">
        <v>161</v>
      </c>
      <c r="J286" t="s">
        <v>24</v>
      </c>
      <c r="K286" t="s">
        <v>386</v>
      </c>
      <c r="L286" t="s">
        <v>12</v>
      </c>
      <c r="M286">
        <v>0</v>
      </c>
      <c r="N286">
        <v>35</v>
      </c>
      <c r="O286">
        <v>24</v>
      </c>
      <c r="P286">
        <v>0</v>
      </c>
      <c r="Q286">
        <v>35</v>
      </c>
    </row>
    <row r="287" spans="1:17" hidden="1" x14ac:dyDescent="0.25">
      <c r="A287" t="s">
        <v>3503</v>
      </c>
      <c r="B287" t="s">
        <v>3504</v>
      </c>
      <c r="C287">
        <v>286</v>
      </c>
      <c r="D287">
        <v>137</v>
      </c>
      <c r="E287">
        <v>1</v>
      </c>
      <c r="F287">
        <v>52</v>
      </c>
      <c r="G287">
        <v>178</v>
      </c>
      <c r="H287" t="s">
        <v>160</v>
      </c>
      <c r="I287" t="s">
        <v>160</v>
      </c>
      <c r="J287" t="s">
        <v>24</v>
      </c>
      <c r="K287" t="s">
        <v>1355</v>
      </c>
      <c r="L287" t="s">
        <v>63</v>
      </c>
      <c r="M287">
        <v>0</v>
      </c>
      <c r="N287">
        <v>35</v>
      </c>
      <c r="O287">
        <v>40</v>
      </c>
      <c r="P287">
        <v>0</v>
      </c>
      <c r="Q287">
        <v>35</v>
      </c>
    </row>
    <row r="288" spans="1:17" x14ac:dyDescent="0.25">
      <c r="A288" t="s">
        <v>3505</v>
      </c>
      <c r="B288" t="s">
        <v>3506</v>
      </c>
      <c r="C288">
        <v>287</v>
      </c>
      <c r="D288">
        <v>364</v>
      </c>
      <c r="E288">
        <v>1</v>
      </c>
      <c r="F288">
        <v>24</v>
      </c>
      <c r="G288">
        <v>109</v>
      </c>
      <c r="H288" t="s">
        <v>159</v>
      </c>
      <c r="I288" t="s">
        <v>159</v>
      </c>
      <c r="J288" t="s">
        <v>23</v>
      </c>
      <c r="K288" t="s">
        <v>2737</v>
      </c>
      <c r="L288" t="s">
        <v>154</v>
      </c>
      <c r="M288">
        <v>7</v>
      </c>
      <c r="N288">
        <v>35</v>
      </c>
      <c r="O288">
        <v>49</v>
      </c>
      <c r="P288">
        <v>0</v>
      </c>
      <c r="Q288">
        <v>35</v>
      </c>
    </row>
    <row r="289" spans="1:17" hidden="1" x14ac:dyDescent="0.25">
      <c r="A289" t="s">
        <v>3507</v>
      </c>
      <c r="B289" t="s">
        <v>3508</v>
      </c>
      <c r="C289">
        <v>288</v>
      </c>
      <c r="D289">
        <v>465</v>
      </c>
      <c r="E289">
        <v>1</v>
      </c>
      <c r="F289">
        <v>6</v>
      </c>
      <c r="G289">
        <v>179</v>
      </c>
      <c r="H289" t="s">
        <v>1817</v>
      </c>
      <c r="I289" t="s">
        <v>1817</v>
      </c>
      <c r="J289" t="s">
        <v>24</v>
      </c>
      <c r="K289" t="s">
        <v>2754</v>
      </c>
      <c r="L289" t="s">
        <v>38</v>
      </c>
      <c r="M289">
        <v>0</v>
      </c>
      <c r="N289">
        <v>35</v>
      </c>
      <c r="O289">
        <v>50</v>
      </c>
      <c r="P289">
        <v>0</v>
      </c>
      <c r="Q289">
        <v>35</v>
      </c>
    </row>
    <row r="290" spans="1:17" hidden="1" x14ac:dyDescent="0.25">
      <c r="A290" t="s">
        <v>3509</v>
      </c>
      <c r="B290" t="s">
        <v>3510</v>
      </c>
      <c r="C290">
        <v>289</v>
      </c>
      <c r="D290">
        <v>494</v>
      </c>
      <c r="E290">
        <v>1</v>
      </c>
      <c r="F290">
        <v>25</v>
      </c>
      <c r="G290">
        <v>110</v>
      </c>
      <c r="H290" t="s">
        <v>159</v>
      </c>
      <c r="I290" t="s">
        <v>159</v>
      </c>
      <c r="J290" t="s">
        <v>23</v>
      </c>
      <c r="K290" t="s">
        <v>839</v>
      </c>
      <c r="L290" t="s">
        <v>63</v>
      </c>
      <c r="M290">
        <v>0</v>
      </c>
      <c r="N290">
        <v>35</v>
      </c>
      <c r="O290">
        <v>53</v>
      </c>
      <c r="P290">
        <v>0</v>
      </c>
      <c r="Q290">
        <v>35</v>
      </c>
    </row>
    <row r="291" spans="1:17" hidden="1" x14ac:dyDescent="0.25">
      <c r="A291" t="s">
        <v>3511</v>
      </c>
      <c r="B291" t="s">
        <v>3512</v>
      </c>
      <c r="C291">
        <v>290</v>
      </c>
      <c r="D291">
        <v>462</v>
      </c>
      <c r="E291">
        <v>1</v>
      </c>
      <c r="F291">
        <v>30</v>
      </c>
      <c r="G291">
        <v>111</v>
      </c>
      <c r="H291" t="s">
        <v>157</v>
      </c>
      <c r="I291" t="s">
        <v>157</v>
      </c>
      <c r="J291" t="s">
        <v>23</v>
      </c>
      <c r="K291" t="s">
        <v>963</v>
      </c>
      <c r="L291" t="s">
        <v>12</v>
      </c>
      <c r="M291">
        <v>0</v>
      </c>
      <c r="N291">
        <v>36</v>
      </c>
      <c r="O291">
        <v>0</v>
      </c>
      <c r="P291">
        <v>0</v>
      </c>
      <c r="Q291">
        <v>36</v>
      </c>
    </row>
    <row r="292" spans="1:17" hidden="1" x14ac:dyDescent="0.25">
      <c r="A292" t="s">
        <v>3513</v>
      </c>
      <c r="B292" t="s">
        <v>3514</v>
      </c>
      <c r="C292">
        <v>291</v>
      </c>
      <c r="D292">
        <v>54</v>
      </c>
      <c r="E292">
        <v>1</v>
      </c>
      <c r="F292">
        <v>36</v>
      </c>
      <c r="G292">
        <v>180</v>
      </c>
      <c r="H292" t="s">
        <v>161</v>
      </c>
      <c r="I292" t="s">
        <v>161</v>
      </c>
      <c r="J292" t="s">
        <v>24</v>
      </c>
      <c r="K292" t="s">
        <v>2768</v>
      </c>
      <c r="L292" t="s">
        <v>155</v>
      </c>
      <c r="M292">
        <v>0</v>
      </c>
      <c r="N292">
        <v>36</v>
      </c>
      <c r="O292">
        <v>34</v>
      </c>
      <c r="P292">
        <v>0</v>
      </c>
      <c r="Q292">
        <v>36</v>
      </c>
    </row>
    <row r="293" spans="1:17" hidden="1" x14ac:dyDescent="0.25">
      <c r="A293" t="s">
        <v>3515</v>
      </c>
      <c r="B293" t="s">
        <v>3516</v>
      </c>
      <c r="C293">
        <v>292</v>
      </c>
      <c r="D293">
        <v>120</v>
      </c>
      <c r="E293">
        <v>1</v>
      </c>
      <c r="F293">
        <v>26</v>
      </c>
      <c r="G293">
        <v>112</v>
      </c>
      <c r="H293" t="s">
        <v>159</v>
      </c>
      <c r="I293" t="s">
        <v>159</v>
      </c>
      <c r="J293" t="s">
        <v>23</v>
      </c>
      <c r="K293" t="s">
        <v>638</v>
      </c>
      <c r="L293" t="s">
        <v>155</v>
      </c>
      <c r="M293">
        <v>0</v>
      </c>
      <c r="N293">
        <v>37</v>
      </c>
      <c r="O293">
        <v>38</v>
      </c>
      <c r="P293">
        <v>0</v>
      </c>
      <c r="Q293">
        <v>37</v>
      </c>
    </row>
    <row r="294" spans="1:17" hidden="1" x14ac:dyDescent="0.25">
      <c r="A294" t="s">
        <v>3517</v>
      </c>
      <c r="B294" t="s">
        <v>3518</v>
      </c>
      <c r="C294">
        <v>293</v>
      </c>
      <c r="D294">
        <v>125</v>
      </c>
      <c r="E294">
        <v>1</v>
      </c>
      <c r="F294">
        <v>3</v>
      </c>
      <c r="G294">
        <v>113</v>
      </c>
      <c r="H294" t="s">
        <v>1818</v>
      </c>
      <c r="I294" t="s">
        <v>1818</v>
      </c>
      <c r="J294" t="s">
        <v>23</v>
      </c>
      <c r="K294" t="s">
        <v>2936</v>
      </c>
      <c r="L294" t="s">
        <v>155</v>
      </c>
      <c r="M294">
        <v>0</v>
      </c>
      <c r="N294">
        <v>37</v>
      </c>
      <c r="O294">
        <v>39</v>
      </c>
      <c r="P294">
        <v>0</v>
      </c>
      <c r="Q294">
        <v>37</v>
      </c>
    </row>
    <row r="295" spans="1:17" hidden="1" x14ac:dyDescent="0.25">
      <c r="A295" t="s">
        <v>3519</v>
      </c>
      <c r="B295" t="s">
        <v>3520</v>
      </c>
      <c r="C295">
        <v>294</v>
      </c>
      <c r="D295">
        <v>348</v>
      </c>
      <c r="E295">
        <v>1</v>
      </c>
      <c r="F295">
        <v>19</v>
      </c>
      <c r="G295">
        <v>114</v>
      </c>
      <c r="H295" t="s">
        <v>156</v>
      </c>
      <c r="I295" t="s">
        <v>156</v>
      </c>
      <c r="J295" t="s">
        <v>23</v>
      </c>
      <c r="K295" t="s">
        <v>1750</v>
      </c>
      <c r="L295" t="s">
        <v>12</v>
      </c>
      <c r="M295">
        <v>0</v>
      </c>
      <c r="N295">
        <v>37</v>
      </c>
      <c r="O295">
        <v>42</v>
      </c>
      <c r="P295">
        <v>0</v>
      </c>
      <c r="Q295">
        <v>37</v>
      </c>
    </row>
    <row r="296" spans="1:17" x14ac:dyDescent="0.25">
      <c r="A296" t="s">
        <v>3521</v>
      </c>
      <c r="B296" t="s">
        <v>3522</v>
      </c>
      <c r="C296">
        <v>295</v>
      </c>
      <c r="D296">
        <v>372</v>
      </c>
      <c r="E296">
        <v>1</v>
      </c>
      <c r="F296">
        <v>34</v>
      </c>
      <c r="G296">
        <v>115</v>
      </c>
      <c r="H296" t="s">
        <v>158</v>
      </c>
      <c r="I296" t="s">
        <v>158</v>
      </c>
      <c r="J296" t="s">
        <v>23</v>
      </c>
      <c r="K296" t="s">
        <v>2015</v>
      </c>
      <c r="L296" t="s">
        <v>154</v>
      </c>
      <c r="M296">
        <v>6</v>
      </c>
      <c r="N296">
        <v>37</v>
      </c>
      <c r="O296">
        <v>44</v>
      </c>
      <c r="P296">
        <v>0</v>
      </c>
      <c r="Q296">
        <v>37</v>
      </c>
    </row>
    <row r="297" spans="1:17" hidden="1" x14ac:dyDescent="0.25">
      <c r="A297" t="s">
        <v>3523</v>
      </c>
      <c r="B297" t="s">
        <v>3524</v>
      </c>
      <c r="C297">
        <v>296</v>
      </c>
      <c r="D297">
        <v>394</v>
      </c>
      <c r="E297">
        <v>1</v>
      </c>
      <c r="F297">
        <v>31</v>
      </c>
      <c r="G297">
        <v>116</v>
      </c>
      <c r="H297" t="s">
        <v>157</v>
      </c>
      <c r="I297" t="s">
        <v>157</v>
      </c>
      <c r="J297" t="s">
        <v>23</v>
      </c>
      <c r="K297" t="s">
        <v>2740</v>
      </c>
      <c r="L297" t="s">
        <v>63</v>
      </c>
      <c r="M297">
        <v>0</v>
      </c>
      <c r="N297">
        <v>38</v>
      </c>
      <c r="O297">
        <v>21</v>
      </c>
      <c r="P297">
        <v>0</v>
      </c>
      <c r="Q297">
        <v>38</v>
      </c>
    </row>
    <row r="298" spans="1:17" hidden="1" x14ac:dyDescent="0.25">
      <c r="A298" t="s">
        <v>3525</v>
      </c>
      <c r="B298" t="s">
        <v>3526</v>
      </c>
      <c r="C298">
        <v>297</v>
      </c>
      <c r="D298">
        <v>443</v>
      </c>
      <c r="E298">
        <v>1</v>
      </c>
      <c r="F298">
        <v>35</v>
      </c>
      <c r="G298">
        <v>117</v>
      </c>
      <c r="H298" t="s">
        <v>158</v>
      </c>
      <c r="I298" t="s">
        <v>158</v>
      </c>
      <c r="J298" t="s">
        <v>23</v>
      </c>
      <c r="K298" t="s">
        <v>2125</v>
      </c>
      <c r="L298" t="s">
        <v>1805</v>
      </c>
      <c r="M298">
        <v>0</v>
      </c>
      <c r="N298">
        <v>40</v>
      </c>
      <c r="O298">
        <v>23</v>
      </c>
      <c r="P298">
        <v>0</v>
      </c>
      <c r="Q298">
        <v>40</v>
      </c>
    </row>
    <row r="299" spans="1:17" hidden="1" x14ac:dyDescent="0.25">
      <c r="A299" t="s">
        <v>3527</v>
      </c>
      <c r="B299" t="s">
        <v>3528</v>
      </c>
      <c r="C299">
        <v>298</v>
      </c>
      <c r="D299">
        <v>410</v>
      </c>
      <c r="E299">
        <v>1</v>
      </c>
      <c r="F299">
        <v>20</v>
      </c>
      <c r="G299">
        <v>118</v>
      </c>
      <c r="H299" t="s">
        <v>156</v>
      </c>
      <c r="I299" t="s">
        <v>156</v>
      </c>
      <c r="J299" t="s">
        <v>23</v>
      </c>
      <c r="K299" t="s">
        <v>2252</v>
      </c>
      <c r="L299" t="s">
        <v>12</v>
      </c>
      <c r="M299">
        <v>0</v>
      </c>
      <c r="N299">
        <v>40</v>
      </c>
      <c r="O299">
        <v>30</v>
      </c>
      <c r="P299">
        <v>0</v>
      </c>
      <c r="Q299">
        <v>40</v>
      </c>
    </row>
    <row r="300" spans="1:17" hidden="1" x14ac:dyDescent="0.25">
      <c r="A300" t="s">
        <v>3529</v>
      </c>
      <c r="B300" t="s">
        <v>3530</v>
      </c>
      <c r="C300">
        <v>299</v>
      </c>
      <c r="D300">
        <v>422</v>
      </c>
      <c r="E300">
        <v>1</v>
      </c>
      <c r="F300">
        <v>7</v>
      </c>
      <c r="G300">
        <v>181</v>
      </c>
      <c r="H300" t="s">
        <v>1817</v>
      </c>
      <c r="I300" t="s">
        <v>1817</v>
      </c>
      <c r="J300" t="s">
        <v>24</v>
      </c>
      <c r="K300" t="s">
        <v>541</v>
      </c>
      <c r="L300" t="s">
        <v>155</v>
      </c>
      <c r="M300">
        <v>0</v>
      </c>
      <c r="N300">
        <v>42</v>
      </c>
      <c r="O300">
        <v>55</v>
      </c>
      <c r="P300">
        <v>0</v>
      </c>
      <c r="Q300">
        <v>42</v>
      </c>
    </row>
    <row r="301" spans="1:17" hidden="1" x14ac:dyDescent="0.25">
      <c r="A301" t="s">
        <v>3531</v>
      </c>
      <c r="B301" t="s">
        <v>3532</v>
      </c>
      <c r="C301">
        <v>300</v>
      </c>
      <c r="D301">
        <v>453</v>
      </c>
      <c r="E301">
        <v>1</v>
      </c>
      <c r="F301">
        <v>8</v>
      </c>
      <c r="G301">
        <v>182</v>
      </c>
      <c r="H301" t="s">
        <v>1817</v>
      </c>
      <c r="I301" t="s">
        <v>1817</v>
      </c>
      <c r="J301" t="s">
        <v>24</v>
      </c>
      <c r="K301" t="s">
        <v>2750</v>
      </c>
      <c r="L301" t="s">
        <v>38</v>
      </c>
      <c r="M301">
        <v>0</v>
      </c>
      <c r="N301">
        <v>43</v>
      </c>
      <c r="O301">
        <v>6</v>
      </c>
      <c r="P301">
        <v>0</v>
      </c>
      <c r="Q301">
        <v>43</v>
      </c>
    </row>
    <row r="302" spans="1:17" hidden="1" x14ac:dyDescent="0.25">
      <c r="A302" t="s">
        <v>3533</v>
      </c>
      <c r="B302" t="s">
        <v>3534</v>
      </c>
      <c r="C302">
        <v>301</v>
      </c>
      <c r="D302">
        <v>87</v>
      </c>
      <c r="E302">
        <v>1</v>
      </c>
      <c r="F302">
        <v>27</v>
      </c>
      <c r="G302">
        <v>119</v>
      </c>
      <c r="H302" t="s">
        <v>159</v>
      </c>
      <c r="I302" t="s">
        <v>159</v>
      </c>
      <c r="J302" t="s">
        <v>23</v>
      </c>
      <c r="K302" t="s">
        <v>1929</v>
      </c>
      <c r="L302" t="s">
        <v>63</v>
      </c>
      <c r="M302">
        <v>0</v>
      </c>
      <c r="N302">
        <v>43</v>
      </c>
      <c r="O302">
        <v>8</v>
      </c>
      <c r="P302">
        <v>0</v>
      </c>
      <c r="Q302">
        <v>43</v>
      </c>
    </row>
    <row r="303" spans="1:17" hidden="1" x14ac:dyDescent="0.25">
      <c r="A303" t="s">
        <v>3535</v>
      </c>
      <c r="B303" t="s">
        <v>3536</v>
      </c>
      <c r="C303">
        <v>302</v>
      </c>
      <c r="D303">
        <v>88</v>
      </c>
      <c r="E303">
        <v>1</v>
      </c>
      <c r="F303">
        <v>36</v>
      </c>
      <c r="G303">
        <v>120</v>
      </c>
      <c r="H303" t="s">
        <v>158</v>
      </c>
      <c r="I303" t="s">
        <v>158</v>
      </c>
      <c r="J303" t="s">
        <v>23</v>
      </c>
      <c r="K303" t="s">
        <v>626</v>
      </c>
      <c r="L303" t="s">
        <v>63</v>
      </c>
      <c r="M303">
        <v>0</v>
      </c>
      <c r="N303">
        <v>44</v>
      </c>
      <c r="O303">
        <v>42</v>
      </c>
      <c r="P303">
        <v>0</v>
      </c>
      <c r="Q303">
        <v>44</v>
      </c>
    </row>
    <row r="304" spans="1:17" hidden="1" x14ac:dyDescent="0.25">
      <c r="A304" t="s">
        <v>3537</v>
      </c>
      <c r="B304" t="s">
        <v>3538</v>
      </c>
      <c r="C304">
        <v>303</v>
      </c>
      <c r="D304">
        <v>124</v>
      </c>
      <c r="E304">
        <v>1</v>
      </c>
      <c r="F304">
        <v>23</v>
      </c>
      <c r="G304">
        <v>183</v>
      </c>
      <c r="H304" t="s">
        <v>162</v>
      </c>
      <c r="I304" t="s">
        <v>162</v>
      </c>
      <c r="J304" t="s">
        <v>24</v>
      </c>
      <c r="K304" t="s">
        <v>812</v>
      </c>
      <c r="L304" t="s">
        <v>505</v>
      </c>
      <c r="M304">
        <v>0</v>
      </c>
      <c r="N304">
        <v>49</v>
      </c>
      <c r="O304">
        <v>48</v>
      </c>
      <c r="P304">
        <v>0</v>
      </c>
      <c r="Q304">
        <v>49</v>
      </c>
    </row>
    <row r="305" spans="1:17" hidden="1" x14ac:dyDescent="0.25">
      <c r="A305" t="s">
        <v>3539</v>
      </c>
      <c r="B305" t="s">
        <v>3540</v>
      </c>
      <c r="C305">
        <v>304</v>
      </c>
      <c r="D305">
        <v>56</v>
      </c>
      <c r="E305">
        <v>1</v>
      </c>
      <c r="F305">
        <v>24</v>
      </c>
      <c r="G305">
        <v>184</v>
      </c>
      <c r="H305" t="s">
        <v>162</v>
      </c>
      <c r="I305" t="s">
        <v>162</v>
      </c>
      <c r="J305" t="s">
        <v>24</v>
      </c>
      <c r="K305" t="s">
        <v>2769</v>
      </c>
      <c r="L305" t="s">
        <v>505</v>
      </c>
      <c r="M305">
        <v>0</v>
      </c>
      <c r="N305">
        <v>49</v>
      </c>
      <c r="O305">
        <v>54</v>
      </c>
      <c r="P305">
        <v>0</v>
      </c>
      <c r="Q305">
        <v>49</v>
      </c>
    </row>
    <row r="306" spans="1:17" hidden="1" x14ac:dyDescent="0.25">
      <c r="A306" t="s">
        <v>3541</v>
      </c>
      <c r="B306" t="s">
        <v>3542</v>
      </c>
      <c r="C306">
        <v>305</v>
      </c>
      <c r="D306">
        <v>77</v>
      </c>
      <c r="E306">
        <v>1</v>
      </c>
      <c r="F306">
        <v>32</v>
      </c>
      <c r="G306">
        <v>121</v>
      </c>
      <c r="H306" t="s">
        <v>157</v>
      </c>
      <c r="I306" t="s">
        <v>157</v>
      </c>
      <c r="J306" t="s">
        <v>23</v>
      </c>
      <c r="K306" t="s">
        <v>380</v>
      </c>
      <c r="L306" t="s">
        <v>43</v>
      </c>
      <c r="M306">
        <v>0</v>
      </c>
      <c r="N306">
        <v>50</v>
      </c>
      <c r="O306">
        <v>9</v>
      </c>
      <c r="P306">
        <v>0</v>
      </c>
      <c r="Q306">
        <v>50</v>
      </c>
    </row>
    <row r="307" spans="1:17" hidden="1" x14ac:dyDescent="0.25">
      <c r="A307" t="s">
        <v>3543</v>
      </c>
      <c r="B307" t="s">
        <v>2947</v>
      </c>
      <c r="C307">
        <v>306</v>
      </c>
      <c r="E307">
        <v>0</v>
      </c>
      <c r="F307">
        <v>7</v>
      </c>
      <c r="G307">
        <v>1</v>
      </c>
      <c r="H307" t="s">
        <v>591</v>
      </c>
      <c r="I307" t="s">
        <v>591</v>
      </c>
      <c r="J307" t="s">
        <v>591</v>
      </c>
      <c r="K307" t="s">
        <v>591</v>
      </c>
      <c r="L307" t="s">
        <v>591</v>
      </c>
      <c r="P307">
        <v>0</v>
      </c>
      <c r="Q307">
        <v>50</v>
      </c>
    </row>
    <row r="308" spans="1:17" hidden="1" x14ac:dyDescent="0.25">
      <c r="A308" t="s">
        <v>3544</v>
      </c>
      <c r="B308" t="s">
        <v>2948</v>
      </c>
      <c r="C308">
        <v>307</v>
      </c>
      <c r="E308">
        <v>0</v>
      </c>
      <c r="F308">
        <v>8</v>
      </c>
      <c r="G308">
        <v>2</v>
      </c>
      <c r="H308" t="s">
        <v>591</v>
      </c>
      <c r="I308" t="s">
        <v>591</v>
      </c>
      <c r="J308" t="s">
        <v>591</v>
      </c>
      <c r="K308" t="s">
        <v>591</v>
      </c>
      <c r="L308" t="s">
        <v>591</v>
      </c>
      <c r="P308">
        <v>0</v>
      </c>
      <c r="Q308">
        <v>50</v>
      </c>
    </row>
    <row r="309" spans="1:17" hidden="1" x14ac:dyDescent="0.25">
      <c r="A309" t="s">
        <v>3545</v>
      </c>
      <c r="B309" t="s">
        <v>2949</v>
      </c>
      <c r="C309">
        <v>308</v>
      </c>
      <c r="E309">
        <v>0</v>
      </c>
      <c r="F309">
        <v>9</v>
      </c>
      <c r="G309">
        <v>3</v>
      </c>
      <c r="H309" t="s">
        <v>591</v>
      </c>
      <c r="I309" t="s">
        <v>591</v>
      </c>
      <c r="J309" t="s">
        <v>591</v>
      </c>
      <c r="K309" t="s">
        <v>591</v>
      </c>
      <c r="L309" t="s">
        <v>591</v>
      </c>
      <c r="P309">
        <v>0</v>
      </c>
      <c r="Q309">
        <v>50</v>
      </c>
    </row>
    <row r="310" spans="1:17" hidden="1" x14ac:dyDescent="0.25">
      <c r="A310" t="s">
        <v>3546</v>
      </c>
      <c r="B310" t="s">
        <v>2961</v>
      </c>
      <c r="C310">
        <v>309</v>
      </c>
      <c r="E310">
        <v>0</v>
      </c>
      <c r="F310">
        <v>10</v>
      </c>
      <c r="G310">
        <v>4</v>
      </c>
      <c r="H310" t="s">
        <v>591</v>
      </c>
      <c r="I310" t="s">
        <v>591</v>
      </c>
      <c r="J310" t="s">
        <v>591</v>
      </c>
      <c r="K310" t="s">
        <v>591</v>
      </c>
      <c r="L310" t="s">
        <v>591</v>
      </c>
      <c r="P310">
        <v>0</v>
      </c>
      <c r="Q310">
        <v>50</v>
      </c>
    </row>
    <row r="311" spans="1:17" hidden="1" x14ac:dyDescent="0.25">
      <c r="A311" t="s">
        <v>3547</v>
      </c>
      <c r="B311" t="s">
        <v>2997</v>
      </c>
      <c r="C311">
        <v>310</v>
      </c>
      <c r="E311">
        <v>0</v>
      </c>
      <c r="F311">
        <v>11</v>
      </c>
      <c r="G311">
        <v>5</v>
      </c>
      <c r="H311" t="s">
        <v>591</v>
      </c>
      <c r="I311" t="s">
        <v>591</v>
      </c>
      <c r="J311" t="s">
        <v>591</v>
      </c>
      <c r="K311" t="s">
        <v>591</v>
      </c>
      <c r="L311" t="s">
        <v>591</v>
      </c>
      <c r="P311">
        <v>0</v>
      </c>
      <c r="Q311">
        <v>50</v>
      </c>
    </row>
    <row r="312" spans="1:17" hidden="1" x14ac:dyDescent="0.25">
      <c r="A312" t="s">
        <v>3548</v>
      </c>
      <c r="B312" t="s">
        <v>3053</v>
      </c>
      <c r="C312">
        <v>311</v>
      </c>
      <c r="E312">
        <v>0</v>
      </c>
      <c r="F312">
        <v>12</v>
      </c>
      <c r="G312">
        <v>6</v>
      </c>
      <c r="H312" t="s">
        <v>591</v>
      </c>
      <c r="I312" t="s">
        <v>591</v>
      </c>
      <c r="J312" t="s">
        <v>591</v>
      </c>
      <c r="K312" t="s">
        <v>591</v>
      </c>
      <c r="L312" t="s">
        <v>591</v>
      </c>
      <c r="P312">
        <v>0</v>
      </c>
      <c r="Q312">
        <v>50</v>
      </c>
    </row>
    <row r="313" spans="1:17" hidden="1" x14ac:dyDescent="0.25">
      <c r="A313" t="s">
        <v>3549</v>
      </c>
      <c r="B313" t="s">
        <v>3543</v>
      </c>
      <c r="C313">
        <v>312</v>
      </c>
      <c r="E313">
        <v>0</v>
      </c>
      <c r="F313">
        <v>13</v>
      </c>
      <c r="G313">
        <v>7</v>
      </c>
      <c r="H313" t="s">
        <v>591</v>
      </c>
      <c r="I313" t="s">
        <v>591</v>
      </c>
      <c r="J313" t="s">
        <v>591</v>
      </c>
      <c r="K313" t="s">
        <v>591</v>
      </c>
      <c r="L313" t="s">
        <v>591</v>
      </c>
      <c r="P313">
        <v>0</v>
      </c>
      <c r="Q313">
        <v>50</v>
      </c>
    </row>
    <row r="314" spans="1:17" hidden="1" x14ac:dyDescent="0.25">
      <c r="A314" t="s">
        <v>3550</v>
      </c>
      <c r="B314" t="s">
        <v>3544</v>
      </c>
      <c r="C314">
        <v>313</v>
      </c>
      <c r="E314">
        <v>0</v>
      </c>
      <c r="F314">
        <v>14</v>
      </c>
      <c r="G314">
        <v>8</v>
      </c>
      <c r="H314" t="s">
        <v>591</v>
      </c>
      <c r="I314" t="s">
        <v>591</v>
      </c>
      <c r="J314" t="s">
        <v>591</v>
      </c>
      <c r="K314" t="s">
        <v>591</v>
      </c>
      <c r="L314" t="s">
        <v>591</v>
      </c>
      <c r="P314">
        <v>0</v>
      </c>
      <c r="Q314">
        <v>50</v>
      </c>
    </row>
    <row r="315" spans="1:17" hidden="1" x14ac:dyDescent="0.25">
      <c r="A315" t="s">
        <v>3551</v>
      </c>
      <c r="B315" t="s">
        <v>3545</v>
      </c>
      <c r="C315">
        <v>314</v>
      </c>
      <c r="E315">
        <v>0</v>
      </c>
      <c r="F315">
        <v>15</v>
      </c>
      <c r="G315">
        <v>9</v>
      </c>
      <c r="H315" t="s">
        <v>591</v>
      </c>
      <c r="I315" t="s">
        <v>591</v>
      </c>
      <c r="J315" t="s">
        <v>591</v>
      </c>
      <c r="K315" t="s">
        <v>591</v>
      </c>
      <c r="L315" t="s">
        <v>591</v>
      </c>
      <c r="P315">
        <v>0</v>
      </c>
      <c r="Q315">
        <v>50</v>
      </c>
    </row>
    <row r="316" spans="1:17" hidden="1" x14ac:dyDescent="0.25">
      <c r="A316" t="s">
        <v>3552</v>
      </c>
      <c r="B316" t="s">
        <v>3546</v>
      </c>
      <c r="C316">
        <v>315</v>
      </c>
      <c r="E316">
        <v>0</v>
      </c>
      <c r="F316">
        <v>16</v>
      </c>
      <c r="G316">
        <v>10</v>
      </c>
      <c r="H316" t="s">
        <v>591</v>
      </c>
      <c r="I316" t="s">
        <v>591</v>
      </c>
      <c r="J316" t="s">
        <v>591</v>
      </c>
      <c r="K316" t="s">
        <v>591</v>
      </c>
      <c r="L316" t="s">
        <v>591</v>
      </c>
      <c r="P316">
        <v>0</v>
      </c>
      <c r="Q316">
        <v>50</v>
      </c>
    </row>
    <row r="317" spans="1:17" hidden="1" x14ac:dyDescent="0.25">
      <c r="A317" t="s">
        <v>3553</v>
      </c>
      <c r="B317" t="s">
        <v>3547</v>
      </c>
      <c r="C317">
        <v>316</v>
      </c>
      <c r="E317">
        <v>0</v>
      </c>
      <c r="F317">
        <v>17</v>
      </c>
      <c r="G317">
        <v>11</v>
      </c>
      <c r="H317" t="s">
        <v>591</v>
      </c>
      <c r="I317" t="s">
        <v>591</v>
      </c>
      <c r="J317" t="s">
        <v>591</v>
      </c>
      <c r="K317" t="s">
        <v>591</v>
      </c>
      <c r="L317" t="s">
        <v>591</v>
      </c>
      <c r="P317">
        <v>0</v>
      </c>
      <c r="Q317">
        <v>50</v>
      </c>
    </row>
    <row r="318" spans="1:17" hidden="1" x14ac:dyDescent="0.25">
      <c r="A318" t="s">
        <v>3554</v>
      </c>
      <c r="B318" t="s">
        <v>3548</v>
      </c>
      <c r="C318">
        <v>317</v>
      </c>
      <c r="E318">
        <v>0</v>
      </c>
      <c r="F318">
        <v>18</v>
      </c>
      <c r="G318">
        <v>12</v>
      </c>
      <c r="H318" t="s">
        <v>591</v>
      </c>
      <c r="I318" t="s">
        <v>591</v>
      </c>
      <c r="J318" t="s">
        <v>591</v>
      </c>
      <c r="K318" t="s">
        <v>591</v>
      </c>
      <c r="L318" t="s">
        <v>591</v>
      </c>
      <c r="P318">
        <v>0</v>
      </c>
      <c r="Q318">
        <v>50</v>
      </c>
    </row>
    <row r="319" spans="1:17" hidden="1" x14ac:dyDescent="0.25">
      <c r="A319" t="s">
        <v>3555</v>
      </c>
      <c r="B319" t="s">
        <v>3549</v>
      </c>
      <c r="C319">
        <v>318</v>
      </c>
      <c r="E319">
        <v>0</v>
      </c>
      <c r="F319">
        <v>19</v>
      </c>
      <c r="G319">
        <v>13</v>
      </c>
      <c r="H319" t="s">
        <v>591</v>
      </c>
      <c r="I319" t="s">
        <v>591</v>
      </c>
      <c r="J319" t="s">
        <v>591</v>
      </c>
      <c r="K319" t="s">
        <v>591</v>
      </c>
      <c r="L319" t="s">
        <v>591</v>
      </c>
      <c r="P319">
        <v>0</v>
      </c>
      <c r="Q319">
        <v>50</v>
      </c>
    </row>
    <row r="320" spans="1:17" hidden="1" x14ac:dyDescent="0.25">
      <c r="A320" t="s">
        <v>3556</v>
      </c>
      <c r="B320" t="s">
        <v>3550</v>
      </c>
      <c r="C320">
        <v>319</v>
      </c>
      <c r="E320">
        <v>0</v>
      </c>
      <c r="F320">
        <v>20</v>
      </c>
      <c r="G320">
        <v>14</v>
      </c>
      <c r="H320" t="s">
        <v>591</v>
      </c>
      <c r="I320" t="s">
        <v>591</v>
      </c>
      <c r="J320" t="s">
        <v>591</v>
      </c>
      <c r="K320" t="s">
        <v>591</v>
      </c>
      <c r="L320" t="s">
        <v>591</v>
      </c>
      <c r="P320">
        <v>0</v>
      </c>
      <c r="Q320">
        <v>50</v>
      </c>
    </row>
    <row r="321" spans="1:17" hidden="1" x14ac:dyDescent="0.25">
      <c r="A321" t="s">
        <v>3557</v>
      </c>
      <c r="B321" t="s">
        <v>3551</v>
      </c>
      <c r="C321">
        <v>320</v>
      </c>
      <c r="E321">
        <v>0</v>
      </c>
      <c r="F321">
        <v>21</v>
      </c>
      <c r="G321">
        <v>15</v>
      </c>
      <c r="H321" t="s">
        <v>591</v>
      </c>
      <c r="I321" t="s">
        <v>591</v>
      </c>
      <c r="J321" t="s">
        <v>591</v>
      </c>
      <c r="K321" t="s">
        <v>591</v>
      </c>
      <c r="L321" t="s">
        <v>591</v>
      </c>
      <c r="P321">
        <v>0</v>
      </c>
      <c r="Q321">
        <v>50</v>
      </c>
    </row>
    <row r="322" spans="1:17" hidden="1" x14ac:dyDescent="0.25">
      <c r="A322" t="s">
        <v>3558</v>
      </c>
      <c r="B322" t="s">
        <v>3552</v>
      </c>
      <c r="C322">
        <v>321</v>
      </c>
      <c r="E322">
        <v>0</v>
      </c>
      <c r="F322">
        <v>22</v>
      </c>
      <c r="G322">
        <v>16</v>
      </c>
      <c r="H322" t="s">
        <v>591</v>
      </c>
      <c r="I322" t="s">
        <v>591</v>
      </c>
      <c r="J322" t="s">
        <v>591</v>
      </c>
      <c r="K322" t="s">
        <v>591</v>
      </c>
      <c r="L322" t="s">
        <v>591</v>
      </c>
      <c r="P322">
        <v>0</v>
      </c>
      <c r="Q322">
        <v>50</v>
      </c>
    </row>
    <row r="323" spans="1:17" hidden="1" x14ac:dyDescent="0.25">
      <c r="A323" t="s">
        <v>3559</v>
      </c>
      <c r="B323" t="s">
        <v>3553</v>
      </c>
      <c r="C323">
        <v>322</v>
      </c>
      <c r="E323">
        <v>0</v>
      </c>
      <c r="F323">
        <v>23</v>
      </c>
      <c r="G323">
        <v>17</v>
      </c>
      <c r="H323" t="s">
        <v>591</v>
      </c>
      <c r="I323" t="s">
        <v>591</v>
      </c>
      <c r="J323" t="s">
        <v>591</v>
      </c>
      <c r="K323" t="s">
        <v>591</v>
      </c>
      <c r="L323" t="s">
        <v>591</v>
      </c>
      <c r="P323">
        <v>0</v>
      </c>
      <c r="Q323">
        <v>50</v>
      </c>
    </row>
    <row r="324" spans="1:17" hidden="1" x14ac:dyDescent="0.25">
      <c r="A324" t="s">
        <v>3560</v>
      </c>
      <c r="B324" t="s">
        <v>3554</v>
      </c>
      <c r="C324">
        <v>323</v>
      </c>
      <c r="E324">
        <v>0</v>
      </c>
      <c r="F324">
        <v>24</v>
      </c>
      <c r="G324">
        <v>18</v>
      </c>
      <c r="H324" t="s">
        <v>591</v>
      </c>
      <c r="I324" t="s">
        <v>591</v>
      </c>
      <c r="J324" t="s">
        <v>591</v>
      </c>
      <c r="K324" t="s">
        <v>591</v>
      </c>
      <c r="L324" t="s">
        <v>591</v>
      </c>
      <c r="P324">
        <v>0</v>
      </c>
      <c r="Q324">
        <v>50</v>
      </c>
    </row>
    <row r="325" spans="1:17" hidden="1" x14ac:dyDescent="0.25">
      <c r="A325" t="s">
        <v>3561</v>
      </c>
      <c r="B325" t="s">
        <v>3555</v>
      </c>
      <c r="C325">
        <v>324</v>
      </c>
      <c r="E325">
        <v>0</v>
      </c>
      <c r="F325">
        <v>25</v>
      </c>
      <c r="G325">
        <v>19</v>
      </c>
      <c r="H325" t="s">
        <v>591</v>
      </c>
      <c r="I325" t="s">
        <v>591</v>
      </c>
      <c r="J325" t="s">
        <v>591</v>
      </c>
      <c r="K325" t="s">
        <v>591</v>
      </c>
      <c r="L325" t="s">
        <v>591</v>
      </c>
      <c r="P325">
        <v>0</v>
      </c>
      <c r="Q325">
        <v>50</v>
      </c>
    </row>
    <row r="326" spans="1:17" hidden="1" x14ac:dyDescent="0.25">
      <c r="A326" t="s">
        <v>3562</v>
      </c>
      <c r="B326" t="s">
        <v>3556</v>
      </c>
      <c r="C326">
        <v>325</v>
      </c>
      <c r="E326">
        <v>0</v>
      </c>
      <c r="F326">
        <v>26</v>
      </c>
      <c r="G326">
        <v>20</v>
      </c>
      <c r="H326" t="s">
        <v>591</v>
      </c>
      <c r="I326" t="s">
        <v>591</v>
      </c>
      <c r="J326" t="s">
        <v>591</v>
      </c>
      <c r="K326" t="s">
        <v>591</v>
      </c>
      <c r="L326" t="s">
        <v>591</v>
      </c>
      <c r="P326">
        <v>0</v>
      </c>
      <c r="Q326">
        <v>50</v>
      </c>
    </row>
    <row r="327" spans="1:17" hidden="1" x14ac:dyDescent="0.25">
      <c r="A327" t="s">
        <v>3563</v>
      </c>
      <c r="B327" t="s">
        <v>3557</v>
      </c>
      <c r="C327">
        <v>326</v>
      </c>
      <c r="E327">
        <v>0</v>
      </c>
      <c r="F327">
        <v>27</v>
      </c>
      <c r="G327">
        <v>21</v>
      </c>
      <c r="H327" t="s">
        <v>591</v>
      </c>
      <c r="I327" t="s">
        <v>591</v>
      </c>
      <c r="J327" t="s">
        <v>591</v>
      </c>
      <c r="K327" t="s">
        <v>591</v>
      </c>
      <c r="L327" t="s">
        <v>591</v>
      </c>
      <c r="P327">
        <v>0</v>
      </c>
      <c r="Q327">
        <v>50</v>
      </c>
    </row>
    <row r="328" spans="1:17" hidden="1" x14ac:dyDescent="0.25">
      <c r="A328" t="s">
        <v>3564</v>
      </c>
      <c r="B328" t="s">
        <v>3558</v>
      </c>
      <c r="C328">
        <v>327</v>
      </c>
      <c r="E328">
        <v>0</v>
      </c>
      <c r="F328">
        <v>28</v>
      </c>
      <c r="G328">
        <v>22</v>
      </c>
      <c r="H328" t="s">
        <v>591</v>
      </c>
      <c r="I328" t="s">
        <v>591</v>
      </c>
      <c r="J328" t="s">
        <v>591</v>
      </c>
      <c r="K328" t="s">
        <v>591</v>
      </c>
      <c r="L328" t="s">
        <v>591</v>
      </c>
      <c r="P328">
        <v>0</v>
      </c>
      <c r="Q328">
        <v>50</v>
      </c>
    </row>
    <row r="329" spans="1:17" hidden="1" x14ac:dyDescent="0.25">
      <c r="A329" t="s">
        <v>3565</v>
      </c>
      <c r="B329" t="s">
        <v>3559</v>
      </c>
      <c r="C329">
        <v>328</v>
      </c>
      <c r="E329">
        <v>0</v>
      </c>
      <c r="F329">
        <v>29</v>
      </c>
      <c r="G329">
        <v>23</v>
      </c>
      <c r="H329" t="s">
        <v>591</v>
      </c>
      <c r="I329" t="s">
        <v>591</v>
      </c>
      <c r="J329" t="s">
        <v>591</v>
      </c>
      <c r="K329" t="s">
        <v>591</v>
      </c>
      <c r="L329" t="s">
        <v>591</v>
      </c>
      <c r="P329">
        <v>0</v>
      </c>
      <c r="Q329">
        <v>50</v>
      </c>
    </row>
    <row r="330" spans="1:17" hidden="1" x14ac:dyDescent="0.25">
      <c r="A330" t="s">
        <v>3566</v>
      </c>
      <c r="B330" t="s">
        <v>3560</v>
      </c>
      <c r="C330">
        <v>329</v>
      </c>
      <c r="E330">
        <v>0</v>
      </c>
      <c r="F330">
        <v>30</v>
      </c>
      <c r="G330">
        <v>24</v>
      </c>
      <c r="H330" t="s">
        <v>591</v>
      </c>
      <c r="I330" t="s">
        <v>591</v>
      </c>
      <c r="J330" t="s">
        <v>591</v>
      </c>
      <c r="K330" t="s">
        <v>591</v>
      </c>
      <c r="L330" t="s">
        <v>591</v>
      </c>
      <c r="P330">
        <v>0</v>
      </c>
      <c r="Q330">
        <v>50</v>
      </c>
    </row>
    <row r="331" spans="1:17" hidden="1" x14ac:dyDescent="0.25">
      <c r="A331" t="s">
        <v>3567</v>
      </c>
      <c r="B331" t="s">
        <v>3561</v>
      </c>
      <c r="C331">
        <v>330</v>
      </c>
      <c r="E331">
        <v>0</v>
      </c>
      <c r="F331">
        <v>31</v>
      </c>
      <c r="G331">
        <v>25</v>
      </c>
      <c r="H331" t="s">
        <v>591</v>
      </c>
      <c r="I331" t="s">
        <v>591</v>
      </c>
      <c r="J331" t="s">
        <v>591</v>
      </c>
      <c r="K331" t="s">
        <v>591</v>
      </c>
      <c r="L331" t="s">
        <v>591</v>
      </c>
      <c r="P331">
        <v>0</v>
      </c>
      <c r="Q331">
        <v>50</v>
      </c>
    </row>
    <row r="332" spans="1:17" hidden="1" x14ac:dyDescent="0.25">
      <c r="A332" t="s">
        <v>3568</v>
      </c>
      <c r="B332" t="s">
        <v>3562</v>
      </c>
      <c r="C332">
        <v>331</v>
      </c>
      <c r="E332">
        <v>0</v>
      </c>
      <c r="F332">
        <v>32</v>
      </c>
      <c r="G332">
        <v>26</v>
      </c>
      <c r="H332" t="s">
        <v>591</v>
      </c>
      <c r="I332" t="s">
        <v>591</v>
      </c>
      <c r="J332" t="s">
        <v>591</v>
      </c>
      <c r="K332" t="s">
        <v>591</v>
      </c>
      <c r="L332" t="s">
        <v>591</v>
      </c>
      <c r="P332">
        <v>0</v>
      </c>
      <c r="Q332">
        <v>50</v>
      </c>
    </row>
    <row r="333" spans="1:17" hidden="1" x14ac:dyDescent="0.25">
      <c r="A333" t="s">
        <v>3569</v>
      </c>
      <c r="B333" t="s">
        <v>3563</v>
      </c>
      <c r="C333">
        <v>332</v>
      </c>
      <c r="E333">
        <v>0</v>
      </c>
      <c r="F333">
        <v>33</v>
      </c>
      <c r="G333">
        <v>27</v>
      </c>
      <c r="H333" t="s">
        <v>591</v>
      </c>
      <c r="I333" t="s">
        <v>591</v>
      </c>
      <c r="J333" t="s">
        <v>591</v>
      </c>
      <c r="K333" t="s">
        <v>591</v>
      </c>
      <c r="L333" t="s">
        <v>591</v>
      </c>
      <c r="P333">
        <v>0</v>
      </c>
      <c r="Q333">
        <v>50</v>
      </c>
    </row>
    <row r="334" spans="1:17" hidden="1" x14ac:dyDescent="0.25">
      <c r="A334" t="s">
        <v>3570</v>
      </c>
      <c r="B334" t="s">
        <v>3564</v>
      </c>
      <c r="C334">
        <v>333</v>
      </c>
      <c r="E334">
        <v>0</v>
      </c>
      <c r="F334">
        <v>34</v>
      </c>
      <c r="G334">
        <v>28</v>
      </c>
      <c r="H334" t="s">
        <v>591</v>
      </c>
      <c r="I334" t="s">
        <v>591</v>
      </c>
      <c r="J334" t="s">
        <v>591</v>
      </c>
      <c r="K334" t="s">
        <v>591</v>
      </c>
      <c r="L334" t="s">
        <v>591</v>
      </c>
      <c r="P334">
        <v>0</v>
      </c>
      <c r="Q334">
        <v>50</v>
      </c>
    </row>
    <row r="335" spans="1:17" hidden="1" x14ac:dyDescent="0.25">
      <c r="A335" t="s">
        <v>3571</v>
      </c>
      <c r="B335" t="s">
        <v>3565</v>
      </c>
      <c r="C335">
        <v>334</v>
      </c>
      <c r="E335">
        <v>0</v>
      </c>
      <c r="F335">
        <v>35</v>
      </c>
      <c r="G335">
        <v>29</v>
      </c>
      <c r="H335" t="s">
        <v>591</v>
      </c>
      <c r="I335" t="s">
        <v>591</v>
      </c>
      <c r="J335" t="s">
        <v>591</v>
      </c>
      <c r="K335" t="s">
        <v>591</v>
      </c>
      <c r="L335" t="s">
        <v>591</v>
      </c>
      <c r="P335">
        <v>0</v>
      </c>
      <c r="Q335">
        <v>50</v>
      </c>
    </row>
    <row r="336" spans="1:17" hidden="1" x14ac:dyDescent="0.25">
      <c r="A336" t="s">
        <v>3572</v>
      </c>
      <c r="B336" t="s">
        <v>3566</v>
      </c>
      <c r="C336">
        <v>335</v>
      </c>
      <c r="E336">
        <v>0</v>
      </c>
      <c r="F336">
        <v>36</v>
      </c>
      <c r="G336">
        <v>30</v>
      </c>
      <c r="H336" t="s">
        <v>591</v>
      </c>
      <c r="I336" t="s">
        <v>591</v>
      </c>
      <c r="J336" t="s">
        <v>591</v>
      </c>
      <c r="K336" t="s">
        <v>591</v>
      </c>
      <c r="L336" t="s">
        <v>591</v>
      </c>
      <c r="P336">
        <v>0</v>
      </c>
      <c r="Q336">
        <v>50</v>
      </c>
    </row>
    <row r="337" spans="1:17" hidden="1" x14ac:dyDescent="0.25">
      <c r="A337" t="s">
        <v>3573</v>
      </c>
      <c r="B337" t="s">
        <v>3567</v>
      </c>
      <c r="C337">
        <v>336</v>
      </c>
      <c r="E337">
        <v>0</v>
      </c>
      <c r="F337">
        <v>37</v>
      </c>
      <c r="G337">
        <v>31</v>
      </c>
      <c r="H337" t="s">
        <v>591</v>
      </c>
      <c r="I337" t="s">
        <v>591</v>
      </c>
      <c r="J337" t="s">
        <v>591</v>
      </c>
      <c r="K337" t="s">
        <v>591</v>
      </c>
      <c r="L337" t="s">
        <v>591</v>
      </c>
      <c r="P337">
        <v>0</v>
      </c>
      <c r="Q337">
        <v>50</v>
      </c>
    </row>
    <row r="338" spans="1:17" hidden="1" x14ac:dyDescent="0.25">
      <c r="A338" t="s">
        <v>3574</v>
      </c>
      <c r="B338" t="s">
        <v>3568</v>
      </c>
      <c r="C338">
        <v>337</v>
      </c>
      <c r="E338">
        <v>0</v>
      </c>
      <c r="F338">
        <v>38</v>
      </c>
      <c r="G338">
        <v>32</v>
      </c>
      <c r="H338" t="s">
        <v>591</v>
      </c>
      <c r="I338" t="s">
        <v>591</v>
      </c>
      <c r="J338" t="s">
        <v>591</v>
      </c>
      <c r="K338" t="s">
        <v>591</v>
      </c>
      <c r="L338" t="s">
        <v>591</v>
      </c>
      <c r="P338">
        <v>0</v>
      </c>
      <c r="Q338">
        <v>50</v>
      </c>
    </row>
    <row r="339" spans="1:17" hidden="1" x14ac:dyDescent="0.25">
      <c r="A339" t="s">
        <v>3575</v>
      </c>
      <c r="B339" t="s">
        <v>3569</v>
      </c>
      <c r="C339">
        <v>338</v>
      </c>
      <c r="E339">
        <v>0</v>
      </c>
      <c r="F339">
        <v>39</v>
      </c>
      <c r="G339">
        <v>33</v>
      </c>
      <c r="H339" t="s">
        <v>591</v>
      </c>
      <c r="I339" t="s">
        <v>591</v>
      </c>
      <c r="J339" t="s">
        <v>591</v>
      </c>
      <c r="K339" t="s">
        <v>591</v>
      </c>
      <c r="L339" t="s">
        <v>591</v>
      </c>
      <c r="P339">
        <v>0</v>
      </c>
      <c r="Q339">
        <v>50</v>
      </c>
    </row>
    <row r="340" spans="1:17" hidden="1" x14ac:dyDescent="0.25">
      <c r="A340" t="s">
        <v>3576</v>
      </c>
      <c r="B340" t="s">
        <v>3570</v>
      </c>
      <c r="C340">
        <v>339</v>
      </c>
      <c r="E340">
        <v>0</v>
      </c>
      <c r="F340">
        <v>40</v>
      </c>
      <c r="G340">
        <v>34</v>
      </c>
      <c r="H340" t="s">
        <v>591</v>
      </c>
      <c r="I340" t="s">
        <v>591</v>
      </c>
      <c r="J340" t="s">
        <v>591</v>
      </c>
      <c r="K340" t="s">
        <v>591</v>
      </c>
      <c r="L340" t="s">
        <v>591</v>
      </c>
      <c r="P340">
        <v>0</v>
      </c>
      <c r="Q340">
        <v>50</v>
      </c>
    </row>
    <row r="341" spans="1:17" hidden="1" x14ac:dyDescent="0.25">
      <c r="A341" t="s">
        <v>3577</v>
      </c>
      <c r="B341" t="s">
        <v>3571</v>
      </c>
      <c r="C341">
        <v>340</v>
      </c>
      <c r="E341">
        <v>0</v>
      </c>
      <c r="F341">
        <v>41</v>
      </c>
      <c r="G341">
        <v>35</v>
      </c>
      <c r="H341" t="s">
        <v>591</v>
      </c>
      <c r="I341" t="s">
        <v>591</v>
      </c>
      <c r="J341" t="s">
        <v>591</v>
      </c>
      <c r="K341" t="s">
        <v>591</v>
      </c>
      <c r="L341" t="s">
        <v>591</v>
      </c>
      <c r="P341">
        <v>0</v>
      </c>
      <c r="Q341">
        <v>50</v>
      </c>
    </row>
    <row r="342" spans="1:17" hidden="1" x14ac:dyDescent="0.25">
      <c r="A342" t="s">
        <v>3578</v>
      </c>
      <c r="B342" t="s">
        <v>3572</v>
      </c>
      <c r="C342">
        <v>341</v>
      </c>
      <c r="E342">
        <v>0</v>
      </c>
      <c r="F342">
        <v>42</v>
      </c>
      <c r="G342">
        <v>36</v>
      </c>
      <c r="H342" t="s">
        <v>591</v>
      </c>
      <c r="I342" t="s">
        <v>591</v>
      </c>
      <c r="J342" t="s">
        <v>591</v>
      </c>
      <c r="K342" t="s">
        <v>591</v>
      </c>
      <c r="L342" t="s">
        <v>591</v>
      </c>
      <c r="P342">
        <v>0</v>
      </c>
      <c r="Q342">
        <v>50</v>
      </c>
    </row>
    <row r="343" spans="1:17" hidden="1" x14ac:dyDescent="0.25">
      <c r="A343" t="s">
        <v>3579</v>
      </c>
      <c r="B343" t="s">
        <v>3573</v>
      </c>
      <c r="C343">
        <v>342</v>
      </c>
      <c r="E343">
        <v>0</v>
      </c>
      <c r="F343">
        <v>43</v>
      </c>
      <c r="G343">
        <v>37</v>
      </c>
      <c r="H343" t="s">
        <v>591</v>
      </c>
      <c r="I343" t="s">
        <v>591</v>
      </c>
      <c r="J343" t="s">
        <v>591</v>
      </c>
      <c r="K343" t="s">
        <v>591</v>
      </c>
      <c r="L343" t="s">
        <v>591</v>
      </c>
      <c r="P343">
        <v>0</v>
      </c>
      <c r="Q343">
        <v>50</v>
      </c>
    </row>
    <row r="344" spans="1:17" hidden="1" x14ac:dyDescent="0.25">
      <c r="A344" t="s">
        <v>3580</v>
      </c>
      <c r="B344" t="s">
        <v>3574</v>
      </c>
      <c r="C344">
        <v>343</v>
      </c>
      <c r="E344">
        <v>0</v>
      </c>
      <c r="F344">
        <v>44</v>
      </c>
      <c r="G344">
        <v>38</v>
      </c>
      <c r="H344" t="s">
        <v>591</v>
      </c>
      <c r="I344" t="s">
        <v>591</v>
      </c>
      <c r="J344" t="s">
        <v>591</v>
      </c>
      <c r="K344" t="s">
        <v>591</v>
      </c>
      <c r="L344" t="s">
        <v>591</v>
      </c>
      <c r="P344">
        <v>0</v>
      </c>
      <c r="Q344">
        <v>50</v>
      </c>
    </row>
    <row r="345" spans="1:17" hidden="1" x14ac:dyDescent="0.25">
      <c r="A345" t="s">
        <v>3581</v>
      </c>
      <c r="B345" t="s">
        <v>3575</v>
      </c>
      <c r="C345">
        <v>344</v>
      </c>
      <c r="E345">
        <v>0</v>
      </c>
      <c r="F345">
        <v>45</v>
      </c>
      <c r="G345">
        <v>39</v>
      </c>
      <c r="H345" t="s">
        <v>591</v>
      </c>
      <c r="I345" t="s">
        <v>591</v>
      </c>
      <c r="J345" t="s">
        <v>591</v>
      </c>
      <c r="K345" t="s">
        <v>591</v>
      </c>
      <c r="L345" t="s">
        <v>591</v>
      </c>
      <c r="P345">
        <v>0</v>
      </c>
      <c r="Q345">
        <v>50</v>
      </c>
    </row>
    <row r="346" spans="1:17" hidden="1" x14ac:dyDescent="0.25">
      <c r="A346" t="s">
        <v>3582</v>
      </c>
      <c r="B346" t="s">
        <v>3576</v>
      </c>
      <c r="C346">
        <v>345</v>
      </c>
      <c r="E346">
        <v>0</v>
      </c>
      <c r="F346">
        <v>46</v>
      </c>
      <c r="G346">
        <v>40</v>
      </c>
      <c r="H346" t="s">
        <v>591</v>
      </c>
      <c r="I346" t="s">
        <v>591</v>
      </c>
      <c r="J346" t="s">
        <v>591</v>
      </c>
      <c r="K346" t="s">
        <v>591</v>
      </c>
      <c r="L346" t="s">
        <v>591</v>
      </c>
      <c r="P346">
        <v>0</v>
      </c>
      <c r="Q346">
        <v>50</v>
      </c>
    </row>
    <row r="347" spans="1:17" hidden="1" x14ac:dyDescent="0.25">
      <c r="A347" t="s">
        <v>3583</v>
      </c>
      <c r="B347" t="s">
        <v>3577</v>
      </c>
      <c r="C347">
        <v>346</v>
      </c>
      <c r="E347">
        <v>0</v>
      </c>
      <c r="F347">
        <v>47</v>
      </c>
      <c r="G347">
        <v>41</v>
      </c>
      <c r="H347" t="s">
        <v>591</v>
      </c>
      <c r="I347" t="s">
        <v>591</v>
      </c>
      <c r="J347" t="s">
        <v>591</v>
      </c>
      <c r="K347" t="s">
        <v>591</v>
      </c>
      <c r="L347" t="s">
        <v>591</v>
      </c>
      <c r="P347">
        <v>0</v>
      </c>
      <c r="Q347">
        <v>50</v>
      </c>
    </row>
    <row r="348" spans="1:17" hidden="1" x14ac:dyDescent="0.25">
      <c r="A348" t="s">
        <v>3584</v>
      </c>
      <c r="B348" t="s">
        <v>3578</v>
      </c>
      <c r="C348">
        <v>347</v>
      </c>
      <c r="E348">
        <v>0</v>
      </c>
      <c r="F348">
        <v>48</v>
      </c>
      <c r="G348">
        <v>42</v>
      </c>
      <c r="H348" t="s">
        <v>591</v>
      </c>
      <c r="I348" t="s">
        <v>591</v>
      </c>
      <c r="J348" t="s">
        <v>591</v>
      </c>
      <c r="K348" t="s">
        <v>591</v>
      </c>
      <c r="L348" t="s">
        <v>591</v>
      </c>
      <c r="P348">
        <v>0</v>
      </c>
      <c r="Q348">
        <v>50</v>
      </c>
    </row>
    <row r="349" spans="1:17" hidden="1" x14ac:dyDescent="0.25">
      <c r="A349" t="s">
        <v>3585</v>
      </c>
      <c r="B349" t="s">
        <v>3579</v>
      </c>
      <c r="C349">
        <v>348</v>
      </c>
      <c r="E349">
        <v>0</v>
      </c>
      <c r="F349">
        <v>49</v>
      </c>
      <c r="G349">
        <v>43</v>
      </c>
      <c r="H349" t="s">
        <v>591</v>
      </c>
      <c r="I349" t="s">
        <v>591</v>
      </c>
      <c r="J349" t="s">
        <v>591</v>
      </c>
      <c r="K349" t="s">
        <v>591</v>
      </c>
      <c r="L349" t="s">
        <v>591</v>
      </c>
      <c r="P349">
        <v>0</v>
      </c>
      <c r="Q349">
        <v>50</v>
      </c>
    </row>
    <row r="350" spans="1:17" hidden="1" x14ac:dyDescent="0.25">
      <c r="A350" t="s">
        <v>3586</v>
      </c>
      <c r="B350" t="s">
        <v>3580</v>
      </c>
      <c r="C350">
        <v>349</v>
      </c>
      <c r="E350">
        <v>0</v>
      </c>
      <c r="F350">
        <v>50</v>
      </c>
      <c r="G350">
        <v>44</v>
      </c>
      <c r="H350" t="s">
        <v>591</v>
      </c>
      <c r="I350" t="s">
        <v>591</v>
      </c>
      <c r="J350" t="s">
        <v>591</v>
      </c>
      <c r="K350" t="s">
        <v>591</v>
      </c>
      <c r="L350" t="s">
        <v>591</v>
      </c>
      <c r="P350">
        <v>0</v>
      </c>
      <c r="Q350">
        <v>50</v>
      </c>
    </row>
    <row r="351" spans="1:17" hidden="1" x14ac:dyDescent="0.25">
      <c r="A351" t="s">
        <v>3587</v>
      </c>
      <c r="B351" t="s">
        <v>3581</v>
      </c>
      <c r="C351">
        <v>350</v>
      </c>
      <c r="E351">
        <v>0</v>
      </c>
      <c r="F351">
        <v>51</v>
      </c>
      <c r="G351">
        <v>45</v>
      </c>
      <c r="H351" t="s">
        <v>591</v>
      </c>
      <c r="I351" t="s">
        <v>591</v>
      </c>
      <c r="J351" t="s">
        <v>591</v>
      </c>
      <c r="K351" t="s">
        <v>591</v>
      </c>
      <c r="L351" t="s">
        <v>591</v>
      </c>
      <c r="P351">
        <v>0</v>
      </c>
      <c r="Q351">
        <v>50</v>
      </c>
    </row>
    <row r="352" spans="1:17" hidden="1" x14ac:dyDescent="0.25">
      <c r="A352" t="s">
        <v>3588</v>
      </c>
      <c r="B352" t="s">
        <v>3582</v>
      </c>
      <c r="C352">
        <v>351</v>
      </c>
      <c r="E352">
        <v>0</v>
      </c>
      <c r="F352">
        <v>52</v>
      </c>
      <c r="G352">
        <v>46</v>
      </c>
      <c r="H352" t="s">
        <v>591</v>
      </c>
      <c r="I352" t="s">
        <v>591</v>
      </c>
      <c r="J352" t="s">
        <v>591</v>
      </c>
      <c r="K352" t="s">
        <v>591</v>
      </c>
      <c r="L352" t="s">
        <v>591</v>
      </c>
      <c r="P352">
        <v>0</v>
      </c>
      <c r="Q352">
        <v>50</v>
      </c>
    </row>
    <row r="353" spans="1:17" hidden="1" x14ac:dyDescent="0.25">
      <c r="A353" t="s">
        <v>3589</v>
      </c>
      <c r="B353" t="s">
        <v>3583</v>
      </c>
      <c r="C353">
        <v>352</v>
      </c>
      <c r="E353">
        <v>0</v>
      </c>
      <c r="F353">
        <v>53</v>
      </c>
      <c r="G353">
        <v>47</v>
      </c>
      <c r="H353" t="s">
        <v>591</v>
      </c>
      <c r="I353" t="s">
        <v>591</v>
      </c>
      <c r="J353" t="s">
        <v>591</v>
      </c>
      <c r="K353" t="s">
        <v>591</v>
      </c>
      <c r="L353" t="s">
        <v>591</v>
      </c>
      <c r="P353">
        <v>0</v>
      </c>
      <c r="Q353">
        <v>50</v>
      </c>
    </row>
    <row r="354" spans="1:17" hidden="1" x14ac:dyDescent="0.25">
      <c r="A354" t="s">
        <v>3590</v>
      </c>
      <c r="B354" t="s">
        <v>3584</v>
      </c>
      <c r="C354">
        <v>353</v>
      </c>
      <c r="E354">
        <v>0</v>
      </c>
      <c r="F354">
        <v>54</v>
      </c>
      <c r="G354">
        <v>48</v>
      </c>
      <c r="H354" t="s">
        <v>591</v>
      </c>
      <c r="I354" t="s">
        <v>591</v>
      </c>
      <c r="J354" t="s">
        <v>591</v>
      </c>
      <c r="K354" t="s">
        <v>591</v>
      </c>
      <c r="L354" t="s">
        <v>591</v>
      </c>
      <c r="P354">
        <v>0</v>
      </c>
      <c r="Q354">
        <v>50</v>
      </c>
    </row>
    <row r="355" spans="1:17" hidden="1" x14ac:dyDescent="0.25">
      <c r="A355" t="s">
        <v>3591</v>
      </c>
      <c r="B355" t="s">
        <v>3585</v>
      </c>
      <c r="C355">
        <v>354</v>
      </c>
      <c r="E355">
        <v>0</v>
      </c>
      <c r="F355">
        <v>55</v>
      </c>
      <c r="G355">
        <v>49</v>
      </c>
      <c r="H355" t="s">
        <v>591</v>
      </c>
      <c r="I355" t="s">
        <v>591</v>
      </c>
      <c r="J355" t="s">
        <v>591</v>
      </c>
      <c r="K355" t="s">
        <v>591</v>
      </c>
      <c r="L355" t="s">
        <v>591</v>
      </c>
      <c r="P355">
        <v>0</v>
      </c>
      <c r="Q355">
        <v>50</v>
      </c>
    </row>
    <row r="356" spans="1:17" hidden="1" x14ac:dyDescent="0.25">
      <c r="A356" t="s">
        <v>3592</v>
      </c>
      <c r="B356" t="s">
        <v>3586</v>
      </c>
      <c r="C356">
        <v>355</v>
      </c>
      <c r="E356">
        <v>0</v>
      </c>
      <c r="F356">
        <v>56</v>
      </c>
      <c r="G356">
        <v>50</v>
      </c>
      <c r="H356" t="s">
        <v>591</v>
      </c>
      <c r="I356" t="s">
        <v>591</v>
      </c>
      <c r="J356" t="s">
        <v>591</v>
      </c>
      <c r="K356" t="s">
        <v>591</v>
      </c>
      <c r="L356" t="s">
        <v>591</v>
      </c>
      <c r="P356">
        <v>0</v>
      </c>
      <c r="Q356">
        <v>50</v>
      </c>
    </row>
    <row r="357" spans="1:17" hidden="1" x14ac:dyDescent="0.25">
      <c r="A357" t="s">
        <v>3593</v>
      </c>
      <c r="B357" t="s">
        <v>3587</v>
      </c>
      <c r="C357">
        <v>356</v>
      </c>
      <c r="E357">
        <v>0</v>
      </c>
      <c r="F357">
        <v>57</v>
      </c>
      <c r="G357">
        <v>51</v>
      </c>
      <c r="H357" t="s">
        <v>591</v>
      </c>
      <c r="I357" t="s">
        <v>591</v>
      </c>
      <c r="J357" t="s">
        <v>591</v>
      </c>
      <c r="K357" t="s">
        <v>591</v>
      </c>
      <c r="L357" t="s">
        <v>591</v>
      </c>
      <c r="P357">
        <v>0</v>
      </c>
      <c r="Q357">
        <v>50</v>
      </c>
    </row>
    <row r="358" spans="1:17" hidden="1" x14ac:dyDescent="0.25">
      <c r="A358" t="s">
        <v>3594</v>
      </c>
      <c r="B358" t="s">
        <v>3588</v>
      </c>
      <c r="C358">
        <v>357</v>
      </c>
      <c r="E358">
        <v>0</v>
      </c>
      <c r="F358">
        <v>58</v>
      </c>
      <c r="G358">
        <v>52</v>
      </c>
      <c r="H358" t="s">
        <v>591</v>
      </c>
      <c r="I358" t="s">
        <v>591</v>
      </c>
      <c r="J358" t="s">
        <v>591</v>
      </c>
      <c r="K358" t="s">
        <v>591</v>
      </c>
      <c r="L358" t="s">
        <v>591</v>
      </c>
      <c r="P358">
        <v>0</v>
      </c>
      <c r="Q358">
        <v>50</v>
      </c>
    </row>
    <row r="359" spans="1:17" hidden="1" x14ac:dyDescent="0.25">
      <c r="A359" t="s">
        <v>3595</v>
      </c>
      <c r="B359" t="s">
        <v>3589</v>
      </c>
      <c r="C359">
        <v>358</v>
      </c>
      <c r="E359">
        <v>0</v>
      </c>
      <c r="F359">
        <v>59</v>
      </c>
      <c r="G359">
        <v>53</v>
      </c>
      <c r="H359" t="s">
        <v>591</v>
      </c>
      <c r="I359" t="s">
        <v>591</v>
      </c>
      <c r="J359" t="s">
        <v>591</v>
      </c>
      <c r="K359" t="s">
        <v>591</v>
      </c>
      <c r="L359" t="s">
        <v>591</v>
      </c>
      <c r="P359">
        <v>0</v>
      </c>
      <c r="Q359">
        <v>50</v>
      </c>
    </row>
    <row r="360" spans="1:17" hidden="1" x14ac:dyDescent="0.25">
      <c r="A360" t="s">
        <v>3596</v>
      </c>
      <c r="B360" t="s">
        <v>3590</v>
      </c>
      <c r="C360">
        <v>359</v>
      </c>
      <c r="E360">
        <v>0</v>
      </c>
      <c r="F360">
        <v>60</v>
      </c>
      <c r="G360">
        <v>54</v>
      </c>
      <c r="H360" t="s">
        <v>591</v>
      </c>
      <c r="I360" t="s">
        <v>591</v>
      </c>
      <c r="J360" t="s">
        <v>591</v>
      </c>
      <c r="K360" t="s">
        <v>591</v>
      </c>
      <c r="L360" t="s">
        <v>591</v>
      </c>
      <c r="P360">
        <v>0</v>
      </c>
      <c r="Q360">
        <v>50</v>
      </c>
    </row>
    <row r="361" spans="1:17" hidden="1" x14ac:dyDescent="0.25">
      <c r="A361" t="s">
        <v>3597</v>
      </c>
      <c r="B361" t="s">
        <v>3591</v>
      </c>
      <c r="C361">
        <v>360</v>
      </c>
      <c r="E361">
        <v>0</v>
      </c>
      <c r="F361">
        <v>61</v>
      </c>
      <c r="G361">
        <v>55</v>
      </c>
      <c r="H361" t="s">
        <v>591</v>
      </c>
      <c r="I361" t="s">
        <v>591</v>
      </c>
      <c r="J361" t="s">
        <v>591</v>
      </c>
      <c r="K361" t="s">
        <v>591</v>
      </c>
      <c r="L361" t="s">
        <v>591</v>
      </c>
      <c r="P361">
        <v>0</v>
      </c>
      <c r="Q361">
        <v>50</v>
      </c>
    </row>
    <row r="362" spans="1:17" hidden="1" x14ac:dyDescent="0.25">
      <c r="A362" t="s">
        <v>3598</v>
      </c>
      <c r="B362" t="s">
        <v>3592</v>
      </c>
      <c r="C362">
        <v>361</v>
      </c>
      <c r="E362">
        <v>0</v>
      </c>
      <c r="F362">
        <v>62</v>
      </c>
      <c r="G362">
        <v>56</v>
      </c>
      <c r="H362" t="s">
        <v>591</v>
      </c>
      <c r="I362" t="s">
        <v>591</v>
      </c>
      <c r="J362" t="s">
        <v>591</v>
      </c>
      <c r="K362" t="s">
        <v>591</v>
      </c>
      <c r="L362" t="s">
        <v>591</v>
      </c>
      <c r="P362">
        <v>0</v>
      </c>
      <c r="Q362">
        <v>50</v>
      </c>
    </row>
    <row r="363" spans="1:17" hidden="1" x14ac:dyDescent="0.25">
      <c r="A363" t="s">
        <v>3599</v>
      </c>
      <c r="B363" t="s">
        <v>3593</v>
      </c>
      <c r="C363">
        <v>362</v>
      </c>
      <c r="E363">
        <v>0</v>
      </c>
      <c r="F363">
        <v>63</v>
      </c>
      <c r="G363">
        <v>57</v>
      </c>
      <c r="H363" t="s">
        <v>591</v>
      </c>
      <c r="I363" t="s">
        <v>591</v>
      </c>
      <c r="J363" t="s">
        <v>591</v>
      </c>
      <c r="K363" t="s">
        <v>591</v>
      </c>
      <c r="L363" t="s">
        <v>591</v>
      </c>
      <c r="P363">
        <v>0</v>
      </c>
      <c r="Q363">
        <v>50</v>
      </c>
    </row>
    <row r="364" spans="1:17" hidden="1" x14ac:dyDescent="0.25">
      <c r="A364" t="s">
        <v>3600</v>
      </c>
      <c r="B364" t="s">
        <v>3594</v>
      </c>
      <c r="C364">
        <v>363</v>
      </c>
      <c r="E364">
        <v>0</v>
      </c>
      <c r="F364">
        <v>64</v>
      </c>
      <c r="G364">
        <v>58</v>
      </c>
      <c r="H364" t="s">
        <v>591</v>
      </c>
      <c r="I364" t="s">
        <v>591</v>
      </c>
      <c r="J364" t="s">
        <v>591</v>
      </c>
      <c r="K364" t="s">
        <v>591</v>
      </c>
      <c r="L364" t="s">
        <v>591</v>
      </c>
      <c r="P364">
        <v>0</v>
      </c>
      <c r="Q364">
        <v>50</v>
      </c>
    </row>
    <row r="365" spans="1:17" hidden="1" x14ac:dyDescent="0.25">
      <c r="A365" t="s">
        <v>3601</v>
      </c>
      <c r="B365" t="s">
        <v>3595</v>
      </c>
      <c r="C365">
        <v>364</v>
      </c>
      <c r="E365">
        <v>0</v>
      </c>
      <c r="F365">
        <v>65</v>
      </c>
      <c r="G365">
        <v>59</v>
      </c>
      <c r="H365" t="s">
        <v>591</v>
      </c>
      <c r="I365" t="s">
        <v>591</v>
      </c>
      <c r="J365" t="s">
        <v>591</v>
      </c>
      <c r="K365" t="s">
        <v>591</v>
      </c>
      <c r="L365" t="s">
        <v>591</v>
      </c>
      <c r="P365">
        <v>0</v>
      </c>
      <c r="Q365">
        <v>50</v>
      </c>
    </row>
    <row r="366" spans="1:17" hidden="1" x14ac:dyDescent="0.25">
      <c r="A366" t="s">
        <v>3602</v>
      </c>
      <c r="B366" t="s">
        <v>3596</v>
      </c>
      <c r="C366">
        <v>365</v>
      </c>
      <c r="E366">
        <v>0</v>
      </c>
      <c r="F366">
        <v>66</v>
      </c>
      <c r="G366">
        <v>60</v>
      </c>
      <c r="H366" t="s">
        <v>591</v>
      </c>
      <c r="I366" t="s">
        <v>591</v>
      </c>
      <c r="J366" t="s">
        <v>591</v>
      </c>
      <c r="K366" t="s">
        <v>591</v>
      </c>
      <c r="L366" t="s">
        <v>591</v>
      </c>
      <c r="P366">
        <v>0</v>
      </c>
      <c r="Q366">
        <v>50</v>
      </c>
    </row>
    <row r="367" spans="1:17" hidden="1" x14ac:dyDescent="0.25">
      <c r="A367" t="s">
        <v>3603</v>
      </c>
      <c r="B367" t="s">
        <v>3597</v>
      </c>
      <c r="C367">
        <v>366</v>
      </c>
      <c r="E367">
        <v>0</v>
      </c>
      <c r="F367">
        <v>67</v>
      </c>
      <c r="G367">
        <v>61</v>
      </c>
      <c r="H367" t="s">
        <v>591</v>
      </c>
      <c r="I367" t="s">
        <v>591</v>
      </c>
      <c r="J367" t="s">
        <v>591</v>
      </c>
      <c r="K367" t="s">
        <v>591</v>
      </c>
      <c r="L367" t="s">
        <v>591</v>
      </c>
      <c r="P367">
        <v>0</v>
      </c>
      <c r="Q367">
        <v>50</v>
      </c>
    </row>
    <row r="368" spans="1:17" hidden="1" x14ac:dyDescent="0.25">
      <c r="A368" t="s">
        <v>3604</v>
      </c>
      <c r="B368" t="s">
        <v>3598</v>
      </c>
      <c r="C368">
        <v>367</v>
      </c>
      <c r="E368">
        <v>0</v>
      </c>
      <c r="F368">
        <v>68</v>
      </c>
      <c r="G368">
        <v>62</v>
      </c>
      <c r="H368" t="s">
        <v>591</v>
      </c>
      <c r="I368" t="s">
        <v>591</v>
      </c>
      <c r="J368" t="s">
        <v>591</v>
      </c>
      <c r="K368" t="s">
        <v>591</v>
      </c>
      <c r="L368" t="s">
        <v>591</v>
      </c>
      <c r="P368">
        <v>0</v>
      </c>
      <c r="Q368">
        <v>50</v>
      </c>
    </row>
    <row r="369" spans="1:17" hidden="1" x14ac:dyDescent="0.25">
      <c r="A369" t="s">
        <v>3605</v>
      </c>
      <c r="B369" t="s">
        <v>3599</v>
      </c>
      <c r="C369">
        <v>368</v>
      </c>
      <c r="E369">
        <v>0</v>
      </c>
      <c r="F369">
        <v>69</v>
      </c>
      <c r="G369">
        <v>63</v>
      </c>
      <c r="H369" t="s">
        <v>591</v>
      </c>
      <c r="I369" t="s">
        <v>591</v>
      </c>
      <c r="J369" t="s">
        <v>591</v>
      </c>
      <c r="K369" t="s">
        <v>591</v>
      </c>
      <c r="L369" t="s">
        <v>591</v>
      </c>
      <c r="P369">
        <v>0</v>
      </c>
      <c r="Q369">
        <v>50</v>
      </c>
    </row>
    <row r="370" spans="1:17" hidden="1" x14ac:dyDescent="0.25">
      <c r="A370" t="s">
        <v>3606</v>
      </c>
      <c r="B370" t="s">
        <v>3600</v>
      </c>
      <c r="C370">
        <v>369</v>
      </c>
      <c r="E370">
        <v>0</v>
      </c>
      <c r="F370">
        <v>70</v>
      </c>
      <c r="G370">
        <v>64</v>
      </c>
      <c r="H370" t="s">
        <v>591</v>
      </c>
      <c r="I370" t="s">
        <v>591</v>
      </c>
      <c r="J370" t="s">
        <v>591</v>
      </c>
      <c r="K370" t="s">
        <v>591</v>
      </c>
      <c r="L370" t="s">
        <v>591</v>
      </c>
      <c r="P370">
        <v>0</v>
      </c>
      <c r="Q370">
        <v>50</v>
      </c>
    </row>
    <row r="371" spans="1:17" hidden="1" x14ac:dyDescent="0.25">
      <c r="A371" t="s">
        <v>3607</v>
      </c>
      <c r="B371" t="s">
        <v>3601</v>
      </c>
      <c r="C371">
        <v>370</v>
      </c>
      <c r="E371">
        <v>0</v>
      </c>
      <c r="F371">
        <v>71</v>
      </c>
      <c r="G371">
        <v>65</v>
      </c>
      <c r="H371" t="s">
        <v>591</v>
      </c>
      <c r="I371" t="s">
        <v>591</v>
      </c>
      <c r="J371" t="s">
        <v>591</v>
      </c>
      <c r="K371" t="s">
        <v>591</v>
      </c>
      <c r="L371" t="s">
        <v>591</v>
      </c>
      <c r="P371">
        <v>0</v>
      </c>
      <c r="Q371">
        <v>50</v>
      </c>
    </row>
    <row r="372" spans="1:17" hidden="1" x14ac:dyDescent="0.25">
      <c r="A372" t="s">
        <v>3608</v>
      </c>
      <c r="B372" t="s">
        <v>3602</v>
      </c>
      <c r="C372">
        <v>371</v>
      </c>
      <c r="E372">
        <v>0</v>
      </c>
      <c r="F372">
        <v>72</v>
      </c>
      <c r="G372">
        <v>66</v>
      </c>
      <c r="H372" t="s">
        <v>591</v>
      </c>
      <c r="I372" t="s">
        <v>591</v>
      </c>
      <c r="J372" t="s">
        <v>591</v>
      </c>
      <c r="K372" t="s">
        <v>591</v>
      </c>
      <c r="L372" t="s">
        <v>591</v>
      </c>
      <c r="P372">
        <v>0</v>
      </c>
      <c r="Q372">
        <v>50</v>
      </c>
    </row>
    <row r="373" spans="1:17" hidden="1" x14ac:dyDescent="0.25">
      <c r="A373" t="s">
        <v>3609</v>
      </c>
      <c r="B373" t="s">
        <v>3603</v>
      </c>
      <c r="C373">
        <v>372</v>
      </c>
      <c r="E373">
        <v>0</v>
      </c>
      <c r="F373">
        <v>73</v>
      </c>
      <c r="G373">
        <v>67</v>
      </c>
      <c r="H373" t="s">
        <v>591</v>
      </c>
      <c r="I373" t="s">
        <v>591</v>
      </c>
      <c r="J373" t="s">
        <v>591</v>
      </c>
      <c r="K373" t="s">
        <v>591</v>
      </c>
      <c r="L373" t="s">
        <v>591</v>
      </c>
      <c r="P373">
        <v>0</v>
      </c>
      <c r="Q373">
        <v>50</v>
      </c>
    </row>
    <row r="374" spans="1:17" hidden="1" x14ac:dyDescent="0.25">
      <c r="A374" t="s">
        <v>3610</v>
      </c>
      <c r="B374" t="s">
        <v>3604</v>
      </c>
      <c r="C374">
        <v>373</v>
      </c>
      <c r="E374">
        <v>0</v>
      </c>
      <c r="F374">
        <v>74</v>
      </c>
      <c r="G374">
        <v>68</v>
      </c>
      <c r="H374" t="s">
        <v>591</v>
      </c>
      <c r="I374" t="s">
        <v>591</v>
      </c>
      <c r="J374" t="s">
        <v>591</v>
      </c>
      <c r="K374" t="s">
        <v>591</v>
      </c>
      <c r="L374" t="s">
        <v>591</v>
      </c>
      <c r="P374">
        <v>0</v>
      </c>
      <c r="Q374">
        <v>50</v>
      </c>
    </row>
    <row r="375" spans="1:17" hidden="1" x14ac:dyDescent="0.25">
      <c r="A375" t="s">
        <v>3611</v>
      </c>
      <c r="B375" t="s">
        <v>3605</v>
      </c>
      <c r="C375">
        <v>374</v>
      </c>
      <c r="E375">
        <v>0</v>
      </c>
      <c r="F375">
        <v>75</v>
      </c>
      <c r="G375">
        <v>69</v>
      </c>
      <c r="H375" t="s">
        <v>591</v>
      </c>
      <c r="I375" t="s">
        <v>591</v>
      </c>
      <c r="J375" t="s">
        <v>591</v>
      </c>
      <c r="K375" t="s">
        <v>591</v>
      </c>
      <c r="L375" t="s">
        <v>591</v>
      </c>
      <c r="P375">
        <v>0</v>
      </c>
      <c r="Q375">
        <v>50</v>
      </c>
    </row>
    <row r="376" spans="1:17" hidden="1" x14ac:dyDescent="0.25">
      <c r="A376" t="s">
        <v>3612</v>
      </c>
      <c r="B376" t="s">
        <v>3606</v>
      </c>
      <c r="C376">
        <v>375</v>
      </c>
      <c r="E376">
        <v>0</v>
      </c>
      <c r="F376">
        <v>76</v>
      </c>
      <c r="G376">
        <v>70</v>
      </c>
      <c r="H376" t="s">
        <v>591</v>
      </c>
      <c r="I376" t="s">
        <v>591</v>
      </c>
      <c r="J376" t="s">
        <v>591</v>
      </c>
      <c r="K376" t="s">
        <v>591</v>
      </c>
      <c r="L376" t="s">
        <v>591</v>
      </c>
      <c r="P376">
        <v>0</v>
      </c>
      <c r="Q376">
        <v>50</v>
      </c>
    </row>
    <row r="377" spans="1:17" hidden="1" x14ac:dyDescent="0.25">
      <c r="A377" t="s">
        <v>3613</v>
      </c>
      <c r="B377" t="s">
        <v>3607</v>
      </c>
      <c r="C377">
        <v>376</v>
      </c>
      <c r="E377">
        <v>0</v>
      </c>
      <c r="F377">
        <v>77</v>
      </c>
      <c r="G377">
        <v>71</v>
      </c>
      <c r="H377" t="s">
        <v>591</v>
      </c>
      <c r="I377" t="s">
        <v>591</v>
      </c>
      <c r="J377" t="s">
        <v>591</v>
      </c>
      <c r="K377" t="s">
        <v>591</v>
      </c>
      <c r="L377" t="s">
        <v>591</v>
      </c>
      <c r="P377">
        <v>0</v>
      </c>
      <c r="Q377">
        <v>50</v>
      </c>
    </row>
    <row r="378" spans="1:17" hidden="1" x14ac:dyDescent="0.25">
      <c r="A378" t="s">
        <v>3614</v>
      </c>
      <c r="B378" t="s">
        <v>3608</v>
      </c>
      <c r="C378">
        <v>377</v>
      </c>
      <c r="E378">
        <v>0</v>
      </c>
      <c r="F378">
        <v>78</v>
      </c>
      <c r="G378">
        <v>72</v>
      </c>
      <c r="H378" t="s">
        <v>591</v>
      </c>
      <c r="I378" t="s">
        <v>591</v>
      </c>
      <c r="J378" t="s">
        <v>591</v>
      </c>
      <c r="K378" t="s">
        <v>591</v>
      </c>
      <c r="L378" t="s">
        <v>591</v>
      </c>
      <c r="P378">
        <v>0</v>
      </c>
      <c r="Q378">
        <v>50</v>
      </c>
    </row>
    <row r="379" spans="1:17" hidden="1" x14ac:dyDescent="0.25">
      <c r="A379" t="s">
        <v>3615</v>
      </c>
      <c r="B379" t="s">
        <v>3609</v>
      </c>
      <c r="C379">
        <v>378</v>
      </c>
      <c r="E379">
        <v>0</v>
      </c>
      <c r="F379">
        <v>79</v>
      </c>
      <c r="G379">
        <v>73</v>
      </c>
      <c r="H379" t="s">
        <v>591</v>
      </c>
      <c r="I379" t="s">
        <v>591</v>
      </c>
      <c r="J379" t="s">
        <v>591</v>
      </c>
      <c r="K379" t="s">
        <v>591</v>
      </c>
      <c r="L379" t="s">
        <v>591</v>
      </c>
      <c r="P379">
        <v>0</v>
      </c>
      <c r="Q379">
        <v>50</v>
      </c>
    </row>
    <row r="380" spans="1:17" hidden="1" x14ac:dyDescent="0.25">
      <c r="A380" t="s">
        <v>3616</v>
      </c>
      <c r="B380" t="s">
        <v>3610</v>
      </c>
      <c r="C380">
        <v>379</v>
      </c>
      <c r="E380">
        <v>0</v>
      </c>
      <c r="F380">
        <v>80</v>
      </c>
      <c r="G380">
        <v>74</v>
      </c>
      <c r="H380" t="s">
        <v>591</v>
      </c>
      <c r="I380" t="s">
        <v>591</v>
      </c>
      <c r="J380" t="s">
        <v>591</v>
      </c>
      <c r="K380" t="s">
        <v>591</v>
      </c>
      <c r="L380" t="s">
        <v>591</v>
      </c>
      <c r="P380">
        <v>0</v>
      </c>
      <c r="Q380">
        <v>50</v>
      </c>
    </row>
    <row r="381" spans="1:17" hidden="1" x14ac:dyDescent="0.25">
      <c r="A381" t="s">
        <v>3617</v>
      </c>
      <c r="B381" t="s">
        <v>3611</v>
      </c>
      <c r="C381">
        <v>380</v>
      </c>
      <c r="E381">
        <v>0</v>
      </c>
      <c r="F381">
        <v>81</v>
      </c>
      <c r="G381">
        <v>75</v>
      </c>
      <c r="H381" t="s">
        <v>591</v>
      </c>
      <c r="I381" t="s">
        <v>591</v>
      </c>
      <c r="J381" t="s">
        <v>591</v>
      </c>
      <c r="K381" t="s">
        <v>591</v>
      </c>
      <c r="L381" t="s">
        <v>591</v>
      </c>
      <c r="P381">
        <v>0</v>
      </c>
      <c r="Q381">
        <v>50</v>
      </c>
    </row>
    <row r="382" spans="1:17" hidden="1" x14ac:dyDescent="0.25">
      <c r="A382" t="s">
        <v>3618</v>
      </c>
      <c r="B382" t="s">
        <v>3612</v>
      </c>
      <c r="C382">
        <v>381</v>
      </c>
      <c r="E382">
        <v>0</v>
      </c>
      <c r="F382">
        <v>82</v>
      </c>
      <c r="G382">
        <v>76</v>
      </c>
      <c r="H382" t="s">
        <v>591</v>
      </c>
      <c r="I382" t="s">
        <v>591</v>
      </c>
      <c r="J382" t="s">
        <v>591</v>
      </c>
      <c r="K382" t="s">
        <v>591</v>
      </c>
      <c r="L382" t="s">
        <v>591</v>
      </c>
      <c r="P382">
        <v>0</v>
      </c>
      <c r="Q382">
        <v>50</v>
      </c>
    </row>
    <row r="383" spans="1:17" hidden="1" x14ac:dyDescent="0.25">
      <c r="A383" t="s">
        <v>3619</v>
      </c>
      <c r="B383" t="s">
        <v>3613</v>
      </c>
      <c r="C383">
        <v>382</v>
      </c>
      <c r="E383">
        <v>0</v>
      </c>
      <c r="F383">
        <v>83</v>
      </c>
      <c r="G383">
        <v>77</v>
      </c>
      <c r="H383" t="s">
        <v>591</v>
      </c>
      <c r="I383" t="s">
        <v>591</v>
      </c>
      <c r="J383" t="s">
        <v>591</v>
      </c>
      <c r="K383" t="s">
        <v>591</v>
      </c>
      <c r="L383" t="s">
        <v>591</v>
      </c>
      <c r="P383">
        <v>0</v>
      </c>
      <c r="Q383">
        <v>50</v>
      </c>
    </row>
    <row r="384" spans="1:17" hidden="1" x14ac:dyDescent="0.25">
      <c r="A384" t="s">
        <v>3620</v>
      </c>
      <c r="B384" t="s">
        <v>3614</v>
      </c>
      <c r="C384">
        <v>383</v>
      </c>
      <c r="E384">
        <v>0</v>
      </c>
      <c r="F384">
        <v>84</v>
      </c>
      <c r="G384">
        <v>78</v>
      </c>
      <c r="H384" t="s">
        <v>591</v>
      </c>
      <c r="I384" t="s">
        <v>591</v>
      </c>
      <c r="J384" t="s">
        <v>591</v>
      </c>
      <c r="K384" t="s">
        <v>591</v>
      </c>
      <c r="L384" t="s">
        <v>591</v>
      </c>
      <c r="P384">
        <v>0</v>
      </c>
      <c r="Q384">
        <v>50</v>
      </c>
    </row>
    <row r="385" spans="1:17" hidden="1" x14ac:dyDescent="0.25">
      <c r="A385" t="s">
        <v>3621</v>
      </c>
      <c r="B385" t="s">
        <v>3615</v>
      </c>
      <c r="C385">
        <v>384</v>
      </c>
      <c r="E385">
        <v>0</v>
      </c>
      <c r="F385">
        <v>85</v>
      </c>
      <c r="G385">
        <v>79</v>
      </c>
      <c r="H385" t="s">
        <v>591</v>
      </c>
      <c r="I385" t="s">
        <v>591</v>
      </c>
      <c r="J385" t="s">
        <v>591</v>
      </c>
      <c r="K385" t="s">
        <v>591</v>
      </c>
      <c r="L385" t="s">
        <v>591</v>
      </c>
      <c r="P385">
        <v>0</v>
      </c>
      <c r="Q385">
        <v>50</v>
      </c>
    </row>
    <row r="386" spans="1:17" hidden="1" x14ac:dyDescent="0.25">
      <c r="A386" t="s">
        <v>3622</v>
      </c>
      <c r="B386" t="s">
        <v>3616</v>
      </c>
      <c r="C386">
        <v>385</v>
      </c>
      <c r="E386">
        <v>0</v>
      </c>
      <c r="F386">
        <v>86</v>
      </c>
      <c r="G386">
        <v>80</v>
      </c>
      <c r="H386" t="s">
        <v>591</v>
      </c>
      <c r="I386" t="s">
        <v>591</v>
      </c>
      <c r="J386" t="s">
        <v>591</v>
      </c>
      <c r="K386" t="s">
        <v>591</v>
      </c>
      <c r="L386" t="s">
        <v>591</v>
      </c>
      <c r="P386">
        <v>0</v>
      </c>
      <c r="Q386">
        <v>50</v>
      </c>
    </row>
    <row r="387" spans="1:17" hidden="1" x14ac:dyDescent="0.25">
      <c r="A387" t="s">
        <v>3623</v>
      </c>
      <c r="B387" t="s">
        <v>3617</v>
      </c>
      <c r="C387">
        <v>386</v>
      </c>
      <c r="E387">
        <v>0</v>
      </c>
      <c r="F387">
        <v>87</v>
      </c>
      <c r="G387">
        <v>81</v>
      </c>
      <c r="H387" t="s">
        <v>591</v>
      </c>
      <c r="I387" t="s">
        <v>591</v>
      </c>
      <c r="J387" t="s">
        <v>591</v>
      </c>
      <c r="K387" t="s">
        <v>591</v>
      </c>
      <c r="L387" t="s">
        <v>591</v>
      </c>
      <c r="P387">
        <v>0</v>
      </c>
      <c r="Q387">
        <v>50</v>
      </c>
    </row>
    <row r="388" spans="1:17" hidden="1" x14ac:dyDescent="0.25">
      <c r="A388" t="s">
        <v>3624</v>
      </c>
      <c r="B388" t="s">
        <v>3618</v>
      </c>
      <c r="C388">
        <v>387</v>
      </c>
      <c r="E388">
        <v>0</v>
      </c>
      <c r="F388">
        <v>88</v>
      </c>
      <c r="G388">
        <v>82</v>
      </c>
      <c r="H388" t="s">
        <v>591</v>
      </c>
      <c r="I388" t="s">
        <v>591</v>
      </c>
      <c r="J388" t="s">
        <v>591</v>
      </c>
      <c r="K388" t="s">
        <v>591</v>
      </c>
      <c r="L388" t="s">
        <v>591</v>
      </c>
      <c r="P388">
        <v>0</v>
      </c>
      <c r="Q388">
        <v>50</v>
      </c>
    </row>
    <row r="389" spans="1:17" hidden="1" x14ac:dyDescent="0.25">
      <c r="A389" t="s">
        <v>3625</v>
      </c>
      <c r="B389" t="s">
        <v>3619</v>
      </c>
      <c r="C389">
        <v>388</v>
      </c>
      <c r="E389">
        <v>0</v>
      </c>
      <c r="F389">
        <v>89</v>
      </c>
      <c r="G389">
        <v>83</v>
      </c>
      <c r="H389" t="s">
        <v>591</v>
      </c>
      <c r="I389" t="s">
        <v>591</v>
      </c>
      <c r="J389" t="s">
        <v>591</v>
      </c>
      <c r="K389" t="s">
        <v>591</v>
      </c>
      <c r="L389" t="s">
        <v>591</v>
      </c>
      <c r="P389">
        <v>0</v>
      </c>
      <c r="Q389">
        <v>50</v>
      </c>
    </row>
    <row r="390" spans="1:17" hidden="1" x14ac:dyDescent="0.25">
      <c r="A390" t="s">
        <v>3626</v>
      </c>
      <c r="B390" t="s">
        <v>3620</v>
      </c>
      <c r="C390">
        <v>389</v>
      </c>
      <c r="E390">
        <v>0</v>
      </c>
      <c r="F390">
        <v>90</v>
      </c>
      <c r="G390">
        <v>84</v>
      </c>
      <c r="H390" t="s">
        <v>591</v>
      </c>
      <c r="I390" t="s">
        <v>591</v>
      </c>
      <c r="J390" t="s">
        <v>591</v>
      </c>
      <c r="K390" t="s">
        <v>591</v>
      </c>
      <c r="L390" t="s">
        <v>591</v>
      </c>
      <c r="P390">
        <v>0</v>
      </c>
      <c r="Q390">
        <v>50</v>
      </c>
    </row>
    <row r="391" spans="1:17" hidden="1" x14ac:dyDescent="0.25">
      <c r="A391" t="s">
        <v>3627</v>
      </c>
      <c r="B391" t="s">
        <v>3621</v>
      </c>
      <c r="C391">
        <v>390</v>
      </c>
      <c r="E391">
        <v>0</v>
      </c>
      <c r="F391">
        <v>91</v>
      </c>
      <c r="G391">
        <v>85</v>
      </c>
      <c r="H391" t="s">
        <v>591</v>
      </c>
      <c r="I391" t="s">
        <v>591</v>
      </c>
      <c r="J391" t="s">
        <v>591</v>
      </c>
      <c r="K391" t="s">
        <v>591</v>
      </c>
      <c r="L391" t="s">
        <v>591</v>
      </c>
      <c r="P391">
        <v>0</v>
      </c>
      <c r="Q391">
        <v>50</v>
      </c>
    </row>
    <row r="392" spans="1:17" hidden="1" x14ac:dyDescent="0.25">
      <c r="A392" t="s">
        <v>3628</v>
      </c>
      <c r="B392" t="s">
        <v>3622</v>
      </c>
      <c r="C392">
        <v>391</v>
      </c>
      <c r="E392">
        <v>0</v>
      </c>
      <c r="F392">
        <v>92</v>
      </c>
      <c r="G392">
        <v>86</v>
      </c>
      <c r="H392" t="s">
        <v>591</v>
      </c>
      <c r="I392" t="s">
        <v>591</v>
      </c>
      <c r="J392" t="s">
        <v>591</v>
      </c>
      <c r="K392" t="s">
        <v>591</v>
      </c>
      <c r="L392" t="s">
        <v>591</v>
      </c>
      <c r="P392">
        <v>0</v>
      </c>
      <c r="Q392">
        <v>50</v>
      </c>
    </row>
    <row r="393" spans="1:17" hidden="1" x14ac:dyDescent="0.25">
      <c r="A393" t="s">
        <v>3629</v>
      </c>
      <c r="B393" t="s">
        <v>3623</v>
      </c>
      <c r="C393">
        <v>392</v>
      </c>
      <c r="E393">
        <v>0</v>
      </c>
      <c r="F393">
        <v>93</v>
      </c>
      <c r="G393">
        <v>87</v>
      </c>
      <c r="H393" t="s">
        <v>591</v>
      </c>
      <c r="I393" t="s">
        <v>591</v>
      </c>
      <c r="J393" t="s">
        <v>591</v>
      </c>
      <c r="K393" t="s">
        <v>591</v>
      </c>
      <c r="L393" t="s">
        <v>591</v>
      </c>
      <c r="P393">
        <v>0</v>
      </c>
      <c r="Q393">
        <v>50</v>
      </c>
    </row>
    <row r="394" spans="1:17" hidden="1" x14ac:dyDescent="0.25">
      <c r="A394" t="s">
        <v>3630</v>
      </c>
      <c r="B394" t="s">
        <v>3624</v>
      </c>
      <c r="C394">
        <v>393</v>
      </c>
      <c r="E394">
        <v>0</v>
      </c>
      <c r="F394">
        <v>94</v>
      </c>
      <c r="G394">
        <v>88</v>
      </c>
      <c r="H394" t="s">
        <v>591</v>
      </c>
      <c r="I394" t="s">
        <v>591</v>
      </c>
      <c r="J394" t="s">
        <v>591</v>
      </c>
      <c r="K394" t="s">
        <v>591</v>
      </c>
      <c r="L394" t="s">
        <v>591</v>
      </c>
      <c r="P394">
        <v>0</v>
      </c>
      <c r="Q394">
        <v>50</v>
      </c>
    </row>
    <row r="395" spans="1:17" hidden="1" x14ac:dyDescent="0.25">
      <c r="A395" t="s">
        <v>3631</v>
      </c>
      <c r="B395" t="s">
        <v>3625</v>
      </c>
      <c r="C395">
        <v>394</v>
      </c>
      <c r="E395">
        <v>0</v>
      </c>
      <c r="F395">
        <v>95</v>
      </c>
      <c r="G395">
        <v>89</v>
      </c>
      <c r="H395" t="s">
        <v>591</v>
      </c>
      <c r="I395" t="s">
        <v>591</v>
      </c>
      <c r="J395" t="s">
        <v>591</v>
      </c>
      <c r="K395" t="s">
        <v>591</v>
      </c>
      <c r="L395" t="s">
        <v>591</v>
      </c>
      <c r="P395">
        <v>0</v>
      </c>
      <c r="Q395">
        <v>50</v>
      </c>
    </row>
    <row r="396" spans="1:17" hidden="1" x14ac:dyDescent="0.25">
      <c r="A396" t="s">
        <v>3632</v>
      </c>
      <c r="B396" t="s">
        <v>3626</v>
      </c>
      <c r="C396">
        <v>395</v>
      </c>
      <c r="E396">
        <v>0</v>
      </c>
      <c r="F396">
        <v>96</v>
      </c>
      <c r="G396">
        <v>90</v>
      </c>
      <c r="H396" t="s">
        <v>591</v>
      </c>
      <c r="I396" t="s">
        <v>591</v>
      </c>
      <c r="J396" t="s">
        <v>591</v>
      </c>
      <c r="K396" t="s">
        <v>591</v>
      </c>
      <c r="L396" t="s">
        <v>591</v>
      </c>
      <c r="P396">
        <v>0</v>
      </c>
      <c r="Q396">
        <v>50</v>
      </c>
    </row>
    <row r="397" spans="1:17" hidden="1" x14ac:dyDescent="0.25">
      <c r="A397" t="s">
        <v>3633</v>
      </c>
      <c r="B397" t="s">
        <v>3627</v>
      </c>
      <c r="C397">
        <v>396</v>
      </c>
      <c r="E397">
        <v>0</v>
      </c>
      <c r="F397">
        <v>97</v>
      </c>
      <c r="G397">
        <v>91</v>
      </c>
      <c r="H397" t="s">
        <v>591</v>
      </c>
      <c r="I397" t="s">
        <v>591</v>
      </c>
      <c r="J397" t="s">
        <v>591</v>
      </c>
      <c r="K397" t="s">
        <v>591</v>
      </c>
      <c r="L397" t="s">
        <v>591</v>
      </c>
      <c r="P397">
        <v>0</v>
      </c>
      <c r="Q397">
        <v>50</v>
      </c>
    </row>
    <row r="398" spans="1:17" hidden="1" x14ac:dyDescent="0.25">
      <c r="A398" t="s">
        <v>3634</v>
      </c>
      <c r="B398" t="s">
        <v>3628</v>
      </c>
      <c r="C398">
        <v>397</v>
      </c>
      <c r="E398">
        <v>0</v>
      </c>
      <c r="F398">
        <v>98</v>
      </c>
      <c r="G398">
        <v>92</v>
      </c>
      <c r="H398" t="s">
        <v>591</v>
      </c>
      <c r="I398" t="s">
        <v>591</v>
      </c>
      <c r="J398" t="s">
        <v>591</v>
      </c>
      <c r="K398" t="s">
        <v>591</v>
      </c>
      <c r="L398" t="s">
        <v>591</v>
      </c>
      <c r="P398">
        <v>0</v>
      </c>
      <c r="Q398">
        <v>50</v>
      </c>
    </row>
    <row r="399" spans="1:17" hidden="1" x14ac:dyDescent="0.25">
      <c r="A399" t="s">
        <v>3635</v>
      </c>
      <c r="B399" t="s">
        <v>3629</v>
      </c>
      <c r="C399">
        <v>398</v>
      </c>
      <c r="E399">
        <v>0</v>
      </c>
      <c r="F399">
        <v>99</v>
      </c>
      <c r="G399">
        <v>93</v>
      </c>
      <c r="H399" t="s">
        <v>591</v>
      </c>
      <c r="I399" t="s">
        <v>591</v>
      </c>
      <c r="J399" t="s">
        <v>591</v>
      </c>
      <c r="K399" t="s">
        <v>591</v>
      </c>
      <c r="L399" t="s">
        <v>591</v>
      </c>
      <c r="P399">
        <v>0</v>
      </c>
      <c r="Q399">
        <v>50</v>
      </c>
    </row>
    <row r="400" spans="1:17" hidden="1" x14ac:dyDescent="0.25">
      <c r="A400" t="s">
        <v>3636</v>
      </c>
      <c r="B400" t="s">
        <v>3630</v>
      </c>
      <c r="C400">
        <v>399</v>
      </c>
      <c r="E400">
        <v>0</v>
      </c>
      <c r="F400">
        <v>100</v>
      </c>
      <c r="G400">
        <v>94</v>
      </c>
      <c r="H400" t="s">
        <v>591</v>
      </c>
      <c r="I400" t="s">
        <v>591</v>
      </c>
      <c r="J400" t="s">
        <v>591</v>
      </c>
      <c r="K400" t="s">
        <v>591</v>
      </c>
      <c r="L400" t="s">
        <v>591</v>
      </c>
      <c r="P400">
        <v>0</v>
      </c>
      <c r="Q400">
        <v>50</v>
      </c>
    </row>
    <row r="401" spans="1:17" hidden="1" x14ac:dyDescent="0.25">
      <c r="A401" t="s">
        <v>3637</v>
      </c>
      <c r="B401" t="s">
        <v>3631</v>
      </c>
      <c r="C401">
        <v>400</v>
      </c>
      <c r="E401">
        <v>0</v>
      </c>
      <c r="F401">
        <v>101</v>
      </c>
      <c r="G401">
        <v>95</v>
      </c>
      <c r="H401" t="s">
        <v>591</v>
      </c>
      <c r="I401" t="s">
        <v>591</v>
      </c>
      <c r="J401" t="s">
        <v>591</v>
      </c>
      <c r="K401" t="s">
        <v>591</v>
      </c>
      <c r="L401" t="s">
        <v>591</v>
      </c>
      <c r="P401">
        <v>0</v>
      </c>
      <c r="Q401">
        <v>50</v>
      </c>
    </row>
    <row r="402" spans="1:17" hidden="1" x14ac:dyDescent="0.25">
      <c r="A402" t="s">
        <v>3638</v>
      </c>
      <c r="B402" t="s">
        <v>3632</v>
      </c>
      <c r="C402">
        <v>401</v>
      </c>
      <c r="E402">
        <v>0</v>
      </c>
      <c r="F402">
        <v>102</v>
      </c>
      <c r="G402">
        <v>96</v>
      </c>
      <c r="H402" t="s">
        <v>591</v>
      </c>
      <c r="I402" t="s">
        <v>591</v>
      </c>
      <c r="J402" t="s">
        <v>591</v>
      </c>
      <c r="K402" t="s">
        <v>591</v>
      </c>
      <c r="L402" t="s">
        <v>591</v>
      </c>
      <c r="P402">
        <v>0</v>
      </c>
      <c r="Q402">
        <v>50</v>
      </c>
    </row>
    <row r="403" spans="1:17" hidden="1" x14ac:dyDescent="0.25">
      <c r="A403" t="s">
        <v>3639</v>
      </c>
      <c r="B403" t="s">
        <v>3633</v>
      </c>
      <c r="C403">
        <v>402</v>
      </c>
      <c r="E403">
        <v>0</v>
      </c>
      <c r="F403">
        <v>103</v>
      </c>
      <c r="G403">
        <v>97</v>
      </c>
      <c r="H403" t="s">
        <v>591</v>
      </c>
      <c r="I403" t="s">
        <v>591</v>
      </c>
      <c r="J403" t="s">
        <v>591</v>
      </c>
      <c r="K403" t="s">
        <v>591</v>
      </c>
      <c r="L403" t="s">
        <v>591</v>
      </c>
      <c r="P403">
        <v>0</v>
      </c>
      <c r="Q403">
        <v>50</v>
      </c>
    </row>
    <row r="404" spans="1:17" hidden="1" x14ac:dyDescent="0.25">
      <c r="A404" t="s">
        <v>3640</v>
      </c>
      <c r="B404" t="s">
        <v>3634</v>
      </c>
      <c r="C404">
        <v>403</v>
      </c>
      <c r="E404">
        <v>0</v>
      </c>
      <c r="F404">
        <v>104</v>
      </c>
      <c r="G404">
        <v>98</v>
      </c>
      <c r="H404" t="s">
        <v>591</v>
      </c>
      <c r="I404" t="s">
        <v>591</v>
      </c>
      <c r="J404" t="s">
        <v>591</v>
      </c>
      <c r="K404" t="s">
        <v>591</v>
      </c>
      <c r="L404" t="s">
        <v>591</v>
      </c>
      <c r="P404">
        <v>0</v>
      </c>
      <c r="Q404">
        <v>50</v>
      </c>
    </row>
    <row r="405" spans="1:17" hidden="1" x14ac:dyDescent="0.25">
      <c r="A405" t="s">
        <v>3641</v>
      </c>
      <c r="B405" t="s">
        <v>3635</v>
      </c>
      <c r="C405">
        <v>404</v>
      </c>
      <c r="E405">
        <v>0</v>
      </c>
      <c r="F405">
        <v>105</v>
      </c>
      <c r="G405">
        <v>99</v>
      </c>
      <c r="H405" t="s">
        <v>591</v>
      </c>
      <c r="I405" t="s">
        <v>591</v>
      </c>
      <c r="J405" t="s">
        <v>591</v>
      </c>
      <c r="K405" t="s">
        <v>591</v>
      </c>
      <c r="L405" t="s">
        <v>591</v>
      </c>
      <c r="P405">
        <v>0</v>
      </c>
      <c r="Q405">
        <v>50</v>
      </c>
    </row>
    <row r="406" spans="1:17" hidden="1" x14ac:dyDescent="0.25">
      <c r="A406" t="s">
        <v>3642</v>
      </c>
      <c r="B406" t="s">
        <v>3636</v>
      </c>
      <c r="C406">
        <v>405</v>
      </c>
      <c r="E406">
        <v>0</v>
      </c>
      <c r="F406">
        <v>106</v>
      </c>
      <c r="G406">
        <v>100</v>
      </c>
      <c r="H406" t="s">
        <v>591</v>
      </c>
      <c r="I406" t="s">
        <v>591</v>
      </c>
      <c r="J406" t="s">
        <v>591</v>
      </c>
      <c r="K406" t="s">
        <v>591</v>
      </c>
      <c r="L406" t="s">
        <v>591</v>
      </c>
      <c r="P406">
        <v>0</v>
      </c>
      <c r="Q406">
        <v>50</v>
      </c>
    </row>
    <row r="407" spans="1:17" hidden="1" x14ac:dyDescent="0.25">
      <c r="A407" t="s">
        <v>3643</v>
      </c>
      <c r="B407" t="s">
        <v>3637</v>
      </c>
      <c r="C407">
        <v>406</v>
      </c>
      <c r="E407">
        <v>0</v>
      </c>
      <c r="F407">
        <v>107</v>
      </c>
      <c r="G407">
        <v>101</v>
      </c>
      <c r="H407" t="s">
        <v>591</v>
      </c>
      <c r="I407" t="s">
        <v>591</v>
      </c>
      <c r="J407" t="s">
        <v>591</v>
      </c>
      <c r="K407" t="s">
        <v>591</v>
      </c>
      <c r="L407" t="s">
        <v>591</v>
      </c>
      <c r="P407">
        <v>0</v>
      </c>
      <c r="Q407">
        <v>50</v>
      </c>
    </row>
    <row r="408" spans="1:17" hidden="1" x14ac:dyDescent="0.25">
      <c r="A408" t="s">
        <v>3644</v>
      </c>
      <c r="B408" t="s">
        <v>3638</v>
      </c>
      <c r="C408">
        <v>407</v>
      </c>
      <c r="E408">
        <v>0</v>
      </c>
      <c r="F408">
        <v>108</v>
      </c>
      <c r="G408">
        <v>102</v>
      </c>
      <c r="H408" t="s">
        <v>591</v>
      </c>
      <c r="I408" t="s">
        <v>591</v>
      </c>
      <c r="J408" t="s">
        <v>591</v>
      </c>
      <c r="K408" t="s">
        <v>591</v>
      </c>
      <c r="L408" t="s">
        <v>591</v>
      </c>
      <c r="P408">
        <v>0</v>
      </c>
      <c r="Q408">
        <v>50</v>
      </c>
    </row>
    <row r="409" spans="1:17" hidden="1" x14ac:dyDescent="0.25">
      <c r="A409" t="s">
        <v>3645</v>
      </c>
      <c r="B409" t="s">
        <v>3639</v>
      </c>
      <c r="C409">
        <v>408</v>
      </c>
      <c r="E409">
        <v>0</v>
      </c>
      <c r="F409">
        <v>109</v>
      </c>
      <c r="G409">
        <v>103</v>
      </c>
      <c r="H409" t="s">
        <v>591</v>
      </c>
      <c r="I409" t="s">
        <v>591</v>
      </c>
      <c r="J409" t="s">
        <v>591</v>
      </c>
      <c r="K409" t="s">
        <v>591</v>
      </c>
      <c r="L409" t="s">
        <v>591</v>
      </c>
      <c r="P409">
        <v>0</v>
      </c>
      <c r="Q409">
        <v>50</v>
      </c>
    </row>
    <row r="410" spans="1:17" hidden="1" x14ac:dyDescent="0.25">
      <c r="A410" t="s">
        <v>3646</v>
      </c>
      <c r="B410" t="s">
        <v>3640</v>
      </c>
      <c r="C410">
        <v>409</v>
      </c>
      <c r="E410">
        <v>0</v>
      </c>
      <c r="F410">
        <v>110</v>
      </c>
      <c r="G410">
        <v>104</v>
      </c>
      <c r="H410" t="s">
        <v>591</v>
      </c>
      <c r="I410" t="s">
        <v>591</v>
      </c>
      <c r="J410" t="s">
        <v>591</v>
      </c>
      <c r="K410" t="s">
        <v>591</v>
      </c>
      <c r="L410" t="s">
        <v>591</v>
      </c>
      <c r="P410">
        <v>0</v>
      </c>
      <c r="Q410">
        <v>50</v>
      </c>
    </row>
    <row r="411" spans="1:17" hidden="1" x14ac:dyDescent="0.25">
      <c r="A411" t="s">
        <v>3647</v>
      </c>
      <c r="B411" t="s">
        <v>3641</v>
      </c>
      <c r="C411">
        <v>410</v>
      </c>
      <c r="E411">
        <v>0</v>
      </c>
      <c r="F411">
        <v>111</v>
      </c>
      <c r="G411">
        <v>105</v>
      </c>
      <c r="H411" t="s">
        <v>591</v>
      </c>
      <c r="I411" t="s">
        <v>591</v>
      </c>
      <c r="J411" t="s">
        <v>591</v>
      </c>
      <c r="K411" t="s">
        <v>591</v>
      </c>
      <c r="L411" t="s">
        <v>591</v>
      </c>
      <c r="P411">
        <v>0</v>
      </c>
      <c r="Q411">
        <v>50</v>
      </c>
    </row>
    <row r="412" spans="1:17" hidden="1" x14ac:dyDescent="0.25">
      <c r="A412" t="s">
        <v>3648</v>
      </c>
      <c r="B412" t="s">
        <v>3642</v>
      </c>
      <c r="C412">
        <v>411</v>
      </c>
      <c r="E412">
        <v>0</v>
      </c>
      <c r="F412">
        <v>112</v>
      </c>
      <c r="G412">
        <v>106</v>
      </c>
      <c r="H412" t="s">
        <v>591</v>
      </c>
      <c r="I412" t="s">
        <v>591</v>
      </c>
      <c r="J412" t="s">
        <v>591</v>
      </c>
      <c r="K412" t="s">
        <v>591</v>
      </c>
      <c r="L412" t="s">
        <v>591</v>
      </c>
      <c r="P412">
        <v>0</v>
      </c>
      <c r="Q412">
        <v>50</v>
      </c>
    </row>
    <row r="413" spans="1:17" hidden="1" x14ac:dyDescent="0.25">
      <c r="A413" t="s">
        <v>3649</v>
      </c>
      <c r="B413" t="s">
        <v>3643</v>
      </c>
      <c r="C413">
        <v>412</v>
      </c>
      <c r="E413">
        <v>0</v>
      </c>
      <c r="F413">
        <v>113</v>
      </c>
      <c r="G413">
        <v>107</v>
      </c>
      <c r="H413" t="s">
        <v>591</v>
      </c>
      <c r="I413" t="s">
        <v>591</v>
      </c>
      <c r="J413" t="s">
        <v>591</v>
      </c>
      <c r="K413" t="s">
        <v>591</v>
      </c>
      <c r="L413" t="s">
        <v>591</v>
      </c>
      <c r="P413">
        <v>0</v>
      </c>
      <c r="Q413">
        <v>50</v>
      </c>
    </row>
    <row r="414" spans="1:17" hidden="1" x14ac:dyDescent="0.25">
      <c r="A414" t="s">
        <v>3650</v>
      </c>
      <c r="B414" t="s">
        <v>3644</v>
      </c>
      <c r="C414">
        <v>413</v>
      </c>
      <c r="E414">
        <v>0</v>
      </c>
      <c r="F414">
        <v>114</v>
      </c>
      <c r="G414">
        <v>108</v>
      </c>
      <c r="H414" t="s">
        <v>591</v>
      </c>
      <c r="I414" t="s">
        <v>591</v>
      </c>
      <c r="J414" t="s">
        <v>591</v>
      </c>
      <c r="K414" t="s">
        <v>591</v>
      </c>
      <c r="L414" t="s">
        <v>591</v>
      </c>
      <c r="P414">
        <v>0</v>
      </c>
      <c r="Q414">
        <v>50</v>
      </c>
    </row>
    <row r="415" spans="1:17" hidden="1" x14ac:dyDescent="0.25">
      <c r="A415" t="s">
        <v>3651</v>
      </c>
      <c r="B415" t="s">
        <v>3645</v>
      </c>
      <c r="C415">
        <v>414</v>
      </c>
      <c r="E415">
        <v>0</v>
      </c>
      <c r="F415">
        <v>115</v>
      </c>
      <c r="G415">
        <v>109</v>
      </c>
      <c r="H415" t="s">
        <v>591</v>
      </c>
      <c r="I415" t="s">
        <v>591</v>
      </c>
      <c r="J415" t="s">
        <v>591</v>
      </c>
      <c r="K415" t="s">
        <v>591</v>
      </c>
      <c r="L415" t="s">
        <v>591</v>
      </c>
      <c r="P415">
        <v>0</v>
      </c>
      <c r="Q415">
        <v>50</v>
      </c>
    </row>
    <row r="416" spans="1:17" hidden="1" x14ac:dyDescent="0.25">
      <c r="A416" t="s">
        <v>3652</v>
      </c>
      <c r="B416" t="s">
        <v>3646</v>
      </c>
      <c r="C416">
        <v>415</v>
      </c>
      <c r="E416">
        <v>0</v>
      </c>
      <c r="F416">
        <v>116</v>
      </c>
      <c r="G416">
        <v>110</v>
      </c>
      <c r="H416" t="s">
        <v>591</v>
      </c>
      <c r="I416" t="s">
        <v>591</v>
      </c>
      <c r="J416" t="s">
        <v>591</v>
      </c>
      <c r="K416" t="s">
        <v>591</v>
      </c>
      <c r="L416" t="s">
        <v>591</v>
      </c>
      <c r="P416">
        <v>0</v>
      </c>
      <c r="Q416">
        <v>50</v>
      </c>
    </row>
    <row r="417" spans="1:17" hidden="1" x14ac:dyDescent="0.25">
      <c r="A417" t="s">
        <v>3653</v>
      </c>
      <c r="B417" t="s">
        <v>3647</v>
      </c>
      <c r="C417">
        <v>416</v>
      </c>
      <c r="E417">
        <v>0</v>
      </c>
      <c r="F417">
        <v>117</v>
      </c>
      <c r="G417">
        <v>111</v>
      </c>
      <c r="H417" t="s">
        <v>591</v>
      </c>
      <c r="I417" t="s">
        <v>591</v>
      </c>
      <c r="J417" t="s">
        <v>591</v>
      </c>
      <c r="K417" t="s">
        <v>591</v>
      </c>
      <c r="L417" t="s">
        <v>591</v>
      </c>
      <c r="P417">
        <v>0</v>
      </c>
      <c r="Q417">
        <v>50</v>
      </c>
    </row>
    <row r="418" spans="1:17" hidden="1" x14ac:dyDescent="0.25">
      <c r="A418" t="s">
        <v>3654</v>
      </c>
      <c r="B418" t="s">
        <v>3648</v>
      </c>
      <c r="C418">
        <v>417</v>
      </c>
      <c r="E418">
        <v>0</v>
      </c>
      <c r="F418">
        <v>118</v>
      </c>
      <c r="G418">
        <v>112</v>
      </c>
      <c r="H418" t="s">
        <v>591</v>
      </c>
      <c r="I418" t="s">
        <v>591</v>
      </c>
      <c r="J418" t="s">
        <v>591</v>
      </c>
      <c r="K418" t="s">
        <v>591</v>
      </c>
      <c r="L418" t="s">
        <v>591</v>
      </c>
      <c r="P418">
        <v>0</v>
      </c>
      <c r="Q418">
        <v>50</v>
      </c>
    </row>
    <row r="419" spans="1:17" hidden="1" x14ac:dyDescent="0.25">
      <c r="A419" t="s">
        <v>3655</v>
      </c>
      <c r="B419" t="s">
        <v>3649</v>
      </c>
      <c r="C419">
        <v>418</v>
      </c>
      <c r="E419">
        <v>0</v>
      </c>
      <c r="F419">
        <v>119</v>
      </c>
      <c r="G419">
        <v>113</v>
      </c>
      <c r="H419" t="s">
        <v>591</v>
      </c>
      <c r="I419" t="s">
        <v>591</v>
      </c>
      <c r="J419" t="s">
        <v>591</v>
      </c>
      <c r="K419" t="s">
        <v>591</v>
      </c>
      <c r="L419" t="s">
        <v>591</v>
      </c>
      <c r="P419">
        <v>0</v>
      </c>
      <c r="Q419">
        <v>50</v>
      </c>
    </row>
    <row r="420" spans="1:17" hidden="1" x14ac:dyDescent="0.25">
      <c r="A420" t="s">
        <v>3656</v>
      </c>
      <c r="B420" t="s">
        <v>3650</v>
      </c>
      <c r="C420">
        <v>419</v>
      </c>
      <c r="E420">
        <v>0</v>
      </c>
      <c r="F420">
        <v>120</v>
      </c>
      <c r="G420">
        <v>114</v>
      </c>
      <c r="H420" t="s">
        <v>591</v>
      </c>
      <c r="I420" t="s">
        <v>591</v>
      </c>
      <c r="J420" t="s">
        <v>591</v>
      </c>
      <c r="K420" t="s">
        <v>591</v>
      </c>
      <c r="L420" t="s">
        <v>591</v>
      </c>
      <c r="P420">
        <v>0</v>
      </c>
      <c r="Q420">
        <v>50</v>
      </c>
    </row>
    <row r="421" spans="1:17" hidden="1" x14ac:dyDescent="0.25">
      <c r="A421" t="s">
        <v>3657</v>
      </c>
      <c r="B421" t="s">
        <v>3651</v>
      </c>
      <c r="C421">
        <v>420</v>
      </c>
      <c r="E421">
        <v>0</v>
      </c>
      <c r="F421">
        <v>121</v>
      </c>
      <c r="G421">
        <v>115</v>
      </c>
      <c r="H421" t="s">
        <v>591</v>
      </c>
      <c r="I421" t="s">
        <v>591</v>
      </c>
      <c r="J421" t="s">
        <v>591</v>
      </c>
      <c r="K421" t="s">
        <v>591</v>
      </c>
      <c r="L421" t="s">
        <v>591</v>
      </c>
      <c r="P421">
        <v>0</v>
      </c>
      <c r="Q421">
        <v>50</v>
      </c>
    </row>
    <row r="422" spans="1:17" hidden="1" x14ac:dyDescent="0.25">
      <c r="A422" t="s">
        <v>3658</v>
      </c>
      <c r="B422" t="s">
        <v>3652</v>
      </c>
      <c r="C422">
        <v>421</v>
      </c>
      <c r="E422">
        <v>0</v>
      </c>
      <c r="F422">
        <v>122</v>
      </c>
      <c r="G422">
        <v>116</v>
      </c>
      <c r="H422" t="s">
        <v>591</v>
      </c>
      <c r="I422" t="s">
        <v>591</v>
      </c>
      <c r="J422" t="s">
        <v>591</v>
      </c>
      <c r="K422" t="s">
        <v>591</v>
      </c>
      <c r="L422" t="s">
        <v>591</v>
      </c>
      <c r="P422">
        <v>0</v>
      </c>
      <c r="Q422">
        <v>50</v>
      </c>
    </row>
    <row r="423" spans="1:17" hidden="1" x14ac:dyDescent="0.25">
      <c r="A423" t="s">
        <v>3659</v>
      </c>
      <c r="B423" t="s">
        <v>3653</v>
      </c>
      <c r="C423">
        <v>422</v>
      </c>
      <c r="E423">
        <v>0</v>
      </c>
      <c r="F423">
        <v>123</v>
      </c>
      <c r="G423">
        <v>117</v>
      </c>
      <c r="H423" t="s">
        <v>591</v>
      </c>
      <c r="I423" t="s">
        <v>591</v>
      </c>
      <c r="J423" t="s">
        <v>591</v>
      </c>
      <c r="K423" t="s">
        <v>591</v>
      </c>
      <c r="L423" t="s">
        <v>591</v>
      </c>
      <c r="P423">
        <v>0</v>
      </c>
      <c r="Q423">
        <v>50</v>
      </c>
    </row>
    <row r="424" spans="1:17" hidden="1" x14ac:dyDescent="0.25">
      <c r="A424" t="s">
        <v>3660</v>
      </c>
      <c r="B424" t="s">
        <v>3654</v>
      </c>
      <c r="C424">
        <v>423</v>
      </c>
      <c r="E424">
        <v>0</v>
      </c>
      <c r="F424">
        <v>124</v>
      </c>
      <c r="G424">
        <v>118</v>
      </c>
      <c r="H424" t="s">
        <v>591</v>
      </c>
      <c r="I424" t="s">
        <v>591</v>
      </c>
      <c r="J424" t="s">
        <v>591</v>
      </c>
      <c r="K424" t="s">
        <v>591</v>
      </c>
      <c r="L424" t="s">
        <v>591</v>
      </c>
      <c r="P424">
        <v>0</v>
      </c>
      <c r="Q424">
        <v>50</v>
      </c>
    </row>
    <row r="425" spans="1:17" hidden="1" x14ac:dyDescent="0.25">
      <c r="A425" t="s">
        <v>3661</v>
      </c>
      <c r="B425" t="s">
        <v>3655</v>
      </c>
      <c r="C425">
        <v>424</v>
      </c>
      <c r="E425">
        <v>0</v>
      </c>
      <c r="F425">
        <v>125</v>
      </c>
      <c r="G425">
        <v>119</v>
      </c>
      <c r="H425" t="s">
        <v>591</v>
      </c>
      <c r="I425" t="s">
        <v>591</v>
      </c>
      <c r="J425" t="s">
        <v>591</v>
      </c>
      <c r="K425" t="s">
        <v>591</v>
      </c>
      <c r="L425" t="s">
        <v>591</v>
      </c>
      <c r="P425">
        <v>0</v>
      </c>
      <c r="Q425">
        <v>50</v>
      </c>
    </row>
    <row r="426" spans="1:17" hidden="1" x14ac:dyDescent="0.25">
      <c r="A426" t="s">
        <v>3662</v>
      </c>
      <c r="B426" t="s">
        <v>3656</v>
      </c>
      <c r="C426">
        <v>425</v>
      </c>
      <c r="E426">
        <v>0</v>
      </c>
      <c r="F426">
        <v>126</v>
      </c>
      <c r="G426">
        <v>120</v>
      </c>
      <c r="H426" t="s">
        <v>591</v>
      </c>
      <c r="I426" t="s">
        <v>591</v>
      </c>
      <c r="J426" t="s">
        <v>591</v>
      </c>
      <c r="K426" t="s">
        <v>591</v>
      </c>
      <c r="L426" t="s">
        <v>591</v>
      </c>
      <c r="P426">
        <v>0</v>
      </c>
      <c r="Q426">
        <v>50</v>
      </c>
    </row>
    <row r="427" spans="1:17" hidden="1" x14ac:dyDescent="0.25">
      <c r="A427" t="s">
        <v>3663</v>
      </c>
      <c r="B427" t="s">
        <v>3657</v>
      </c>
      <c r="C427">
        <v>426</v>
      </c>
      <c r="E427">
        <v>0</v>
      </c>
      <c r="F427">
        <v>127</v>
      </c>
      <c r="G427">
        <v>121</v>
      </c>
      <c r="H427" t="s">
        <v>591</v>
      </c>
      <c r="I427" t="s">
        <v>591</v>
      </c>
      <c r="J427" t="s">
        <v>591</v>
      </c>
      <c r="K427" t="s">
        <v>591</v>
      </c>
      <c r="L427" t="s">
        <v>591</v>
      </c>
      <c r="P427">
        <v>0</v>
      </c>
      <c r="Q427">
        <v>50</v>
      </c>
    </row>
    <row r="428" spans="1:17" hidden="1" x14ac:dyDescent="0.25">
      <c r="A428" t="s">
        <v>3664</v>
      </c>
      <c r="B428" t="s">
        <v>3658</v>
      </c>
      <c r="C428">
        <v>427</v>
      </c>
      <c r="E428">
        <v>0</v>
      </c>
      <c r="F428">
        <v>128</v>
      </c>
      <c r="G428">
        <v>122</v>
      </c>
      <c r="H428" t="s">
        <v>591</v>
      </c>
      <c r="I428" t="s">
        <v>591</v>
      </c>
      <c r="J428" t="s">
        <v>591</v>
      </c>
      <c r="K428" t="s">
        <v>591</v>
      </c>
      <c r="L428" t="s">
        <v>591</v>
      </c>
      <c r="P428">
        <v>0</v>
      </c>
      <c r="Q428">
        <v>50</v>
      </c>
    </row>
    <row r="429" spans="1:17" hidden="1" x14ac:dyDescent="0.25">
      <c r="A429" t="s">
        <v>3665</v>
      </c>
      <c r="B429" t="s">
        <v>3659</v>
      </c>
      <c r="C429">
        <v>428</v>
      </c>
      <c r="E429">
        <v>0</v>
      </c>
      <c r="F429">
        <v>129</v>
      </c>
      <c r="G429">
        <v>123</v>
      </c>
      <c r="H429" t="s">
        <v>591</v>
      </c>
      <c r="I429" t="s">
        <v>591</v>
      </c>
      <c r="J429" t="s">
        <v>591</v>
      </c>
      <c r="K429" t="s">
        <v>591</v>
      </c>
      <c r="L429" t="s">
        <v>591</v>
      </c>
      <c r="P429">
        <v>0</v>
      </c>
      <c r="Q429">
        <v>50</v>
      </c>
    </row>
    <row r="430" spans="1:17" hidden="1" x14ac:dyDescent="0.25">
      <c r="A430" t="s">
        <v>3666</v>
      </c>
      <c r="B430" t="s">
        <v>3660</v>
      </c>
      <c r="C430">
        <v>429</v>
      </c>
      <c r="E430">
        <v>0</v>
      </c>
      <c r="F430">
        <v>130</v>
      </c>
      <c r="G430">
        <v>124</v>
      </c>
      <c r="H430" t="s">
        <v>591</v>
      </c>
      <c r="I430" t="s">
        <v>591</v>
      </c>
      <c r="J430" t="s">
        <v>591</v>
      </c>
      <c r="K430" t="s">
        <v>591</v>
      </c>
      <c r="L430" t="s">
        <v>591</v>
      </c>
      <c r="P430">
        <v>0</v>
      </c>
      <c r="Q430">
        <v>50</v>
      </c>
    </row>
    <row r="431" spans="1:17" hidden="1" x14ac:dyDescent="0.25">
      <c r="A431" t="s">
        <v>3667</v>
      </c>
      <c r="B431" t="s">
        <v>3661</v>
      </c>
      <c r="C431">
        <v>430</v>
      </c>
      <c r="E431">
        <v>0</v>
      </c>
      <c r="F431">
        <v>131</v>
      </c>
      <c r="G431">
        <v>125</v>
      </c>
      <c r="H431" t="s">
        <v>591</v>
      </c>
      <c r="I431" t="s">
        <v>591</v>
      </c>
      <c r="J431" t="s">
        <v>591</v>
      </c>
      <c r="K431" t="s">
        <v>591</v>
      </c>
      <c r="L431" t="s">
        <v>591</v>
      </c>
      <c r="P431">
        <v>0</v>
      </c>
      <c r="Q431">
        <v>50</v>
      </c>
    </row>
    <row r="432" spans="1:17" hidden="1" x14ac:dyDescent="0.25">
      <c r="A432" t="s">
        <v>3668</v>
      </c>
      <c r="B432" t="s">
        <v>3662</v>
      </c>
      <c r="C432">
        <v>431</v>
      </c>
      <c r="E432">
        <v>0</v>
      </c>
      <c r="F432">
        <v>132</v>
      </c>
      <c r="G432">
        <v>126</v>
      </c>
      <c r="H432" t="s">
        <v>591</v>
      </c>
      <c r="I432" t="s">
        <v>591</v>
      </c>
      <c r="J432" t="s">
        <v>591</v>
      </c>
      <c r="K432" t="s">
        <v>591</v>
      </c>
      <c r="L432" t="s">
        <v>591</v>
      </c>
      <c r="P432">
        <v>0</v>
      </c>
      <c r="Q432">
        <v>50</v>
      </c>
    </row>
    <row r="433" spans="1:17" hidden="1" x14ac:dyDescent="0.25">
      <c r="A433" t="s">
        <v>3669</v>
      </c>
      <c r="B433" t="s">
        <v>3663</v>
      </c>
      <c r="C433">
        <v>432</v>
      </c>
      <c r="E433">
        <v>0</v>
      </c>
      <c r="F433">
        <v>133</v>
      </c>
      <c r="G433">
        <v>127</v>
      </c>
      <c r="H433" t="s">
        <v>591</v>
      </c>
      <c r="I433" t="s">
        <v>591</v>
      </c>
      <c r="J433" t="s">
        <v>591</v>
      </c>
      <c r="K433" t="s">
        <v>591</v>
      </c>
      <c r="L433" t="s">
        <v>591</v>
      </c>
      <c r="P433">
        <v>0</v>
      </c>
      <c r="Q433">
        <v>50</v>
      </c>
    </row>
    <row r="434" spans="1:17" hidden="1" x14ac:dyDescent="0.25">
      <c r="A434" t="s">
        <v>3670</v>
      </c>
      <c r="B434" t="s">
        <v>3664</v>
      </c>
      <c r="C434">
        <v>433</v>
      </c>
      <c r="E434">
        <v>0</v>
      </c>
      <c r="F434">
        <v>134</v>
      </c>
      <c r="G434">
        <v>128</v>
      </c>
      <c r="H434" t="s">
        <v>591</v>
      </c>
      <c r="I434" t="s">
        <v>591</v>
      </c>
      <c r="J434" t="s">
        <v>591</v>
      </c>
      <c r="K434" t="s">
        <v>591</v>
      </c>
      <c r="L434" t="s">
        <v>591</v>
      </c>
      <c r="P434">
        <v>0</v>
      </c>
      <c r="Q434">
        <v>50</v>
      </c>
    </row>
    <row r="435" spans="1:17" hidden="1" x14ac:dyDescent="0.25">
      <c r="A435" t="s">
        <v>3671</v>
      </c>
      <c r="B435" t="s">
        <v>3665</v>
      </c>
      <c r="C435">
        <v>434</v>
      </c>
      <c r="E435">
        <v>0</v>
      </c>
      <c r="F435">
        <v>135</v>
      </c>
      <c r="G435">
        <v>129</v>
      </c>
      <c r="H435" t="s">
        <v>591</v>
      </c>
      <c r="I435" t="s">
        <v>591</v>
      </c>
      <c r="J435" t="s">
        <v>591</v>
      </c>
      <c r="K435" t="s">
        <v>591</v>
      </c>
      <c r="L435" t="s">
        <v>591</v>
      </c>
      <c r="P435">
        <v>0</v>
      </c>
      <c r="Q435">
        <v>50</v>
      </c>
    </row>
    <row r="436" spans="1:17" hidden="1" x14ac:dyDescent="0.25">
      <c r="A436" t="s">
        <v>3672</v>
      </c>
      <c r="B436" t="s">
        <v>3666</v>
      </c>
      <c r="C436">
        <v>435</v>
      </c>
      <c r="E436">
        <v>0</v>
      </c>
      <c r="F436">
        <v>136</v>
      </c>
      <c r="G436">
        <v>130</v>
      </c>
      <c r="H436" t="s">
        <v>591</v>
      </c>
      <c r="I436" t="s">
        <v>591</v>
      </c>
      <c r="J436" t="s">
        <v>591</v>
      </c>
      <c r="K436" t="s">
        <v>591</v>
      </c>
      <c r="L436" t="s">
        <v>591</v>
      </c>
      <c r="P436">
        <v>0</v>
      </c>
      <c r="Q436">
        <v>50</v>
      </c>
    </row>
    <row r="437" spans="1:17" hidden="1" x14ac:dyDescent="0.25">
      <c r="A437" t="s">
        <v>3673</v>
      </c>
      <c r="B437" t="s">
        <v>3667</v>
      </c>
      <c r="C437">
        <v>436</v>
      </c>
      <c r="E437">
        <v>0</v>
      </c>
      <c r="F437">
        <v>137</v>
      </c>
      <c r="G437">
        <v>131</v>
      </c>
      <c r="H437" t="s">
        <v>591</v>
      </c>
      <c r="I437" t="s">
        <v>591</v>
      </c>
      <c r="J437" t="s">
        <v>591</v>
      </c>
      <c r="K437" t="s">
        <v>591</v>
      </c>
      <c r="L437" t="s">
        <v>591</v>
      </c>
      <c r="P437">
        <v>0</v>
      </c>
      <c r="Q437">
        <v>50</v>
      </c>
    </row>
    <row r="438" spans="1:17" hidden="1" x14ac:dyDescent="0.25">
      <c r="A438" t="s">
        <v>3674</v>
      </c>
      <c r="B438" t="s">
        <v>3668</v>
      </c>
      <c r="C438">
        <v>437</v>
      </c>
      <c r="E438">
        <v>0</v>
      </c>
      <c r="F438">
        <v>138</v>
      </c>
      <c r="G438">
        <v>132</v>
      </c>
      <c r="H438" t="s">
        <v>591</v>
      </c>
      <c r="I438" t="s">
        <v>591</v>
      </c>
      <c r="J438" t="s">
        <v>591</v>
      </c>
      <c r="K438" t="s">
        <v>591</v>
      </c>
      <c r="L438" t="s">
        <v>591</v>
      </c>
      <c r="P438">
        <v>0</v>
      </c>
      <c r="Q438">
        <v>50</v>
      </c>
    </row>
    <row r="439" spans="1:17" hidden="1" x14ac:dyDescent="0.25">
      <c r="A439" t="s">
        <v>3675</v>
      </c>
      <c r="B439" t="s">
        <v>3669</v>
      </c>
      <c r="C439">
        <v>438</v>
      </c>
      <c r="E439">
        <v>0</v>
      </c>
      <c r="F439">
        <v>139</v>
      </c>
      <c r="G439">
        <v>133</v>
      </c>
      <c r="H439" t="s">
        <v>591</v>
      </c>
      <c r="I439" t="s">
        <v>591</v>
      </c>
      <c r="J439" t="s">
        <v>591</v>
      </c>
      <c r="K439" t="s">
        <v>591</v>
      </c>
      <c r="L439" t="s">
        <v>591</v>
      </c>
      <c r="P439">
        <v>0</v>
      </c>
      <c r="Q439">
        <v>50</v>
      </c>
    </row>
    <row r="440" spans="1:17" hidden="1" x14ac:dyDescent="0.25">
      <c r="A440" t="s">
        <v>3676</v>
      </c>
      <c r="B440" t="s">
        <v>3670</v>
      </c>
      <c r="C440">
        <v>439</v>
      </c>
      <c r="E440">
        <v>0</v>
      </c>
      <c r="F440">
        <v>140</v>
      </c>
      <c r="G440">
        <v>134</v>
      </c>
      <c r="H440" t="s">
        <v>591</v>
      </c>
      <c r="I440" t="s">
        <v>591</v>
      </c>
      <c r="J440" t="s">
        <v>591</v>
      </c>
      <c r="K440" t="s">
        <v>591</v>
      </c>
      <c r="L440" t="s">
        <v>591</v>
      </c>
      <c r="P440">
        <v>0</v>
      </c>
      <c r="Q440">
        <v>50</v>
      </c>
    </row>
    <row r="441" spans="1:17" hidden="1" x14ac:dyDescent="0.25">
      <c r="A441" t="s">
        <v>3677</v>
      </c>
      <c r="B441" t="s">
        <v>3671</v>
      </c>
      <c r="C441">
        <v>440</v>
      </c>
      <c r="E441">
        <v>0</v>
      </c>
      <c r="F441">
        <v>141</v>
      </c>
      <c r="G441">
        <v>135</v>
      </c>
      <c r="H441" t="s">
        <v>591</v>
      </c>
      <c r="I441" t="s">
        <v>591</v>
      </c>
      <c r="J441" t="s">
        <v>591</v>
      </c>
      <c r="K441" t="s">
        <v>591</v>
      </c>
      <c r="L441" t="s">
        <v>591</v>
      </c>
      <c r="P441">
        <v>0</v>
      </c>
      <c r="Q441">
        <v>50</v>
      </c>
    </row>
    <row r="442" spans="1:17" hidden="1" x14ac:dyDescent="0.25">
      <c r="A442" t="s">
        <v>3678</v>
      </c>
      <c r="B442" t="s">
        <v>3672</v>
      </c>
      <c r="C442">
        <v>441</v>
      </c>
      <c r="E442">
        <v>0</v>
      </c>
      <c r="F442">
        <v>142</v>
      </c>
      <c r="G442">
        <v>136</v>
      </c>
      <c r="H442" t="s">
        <v>591</v>
      </c>
      <c r="I442" t="s">
        <v>591</v>
      </c>
      <c r="J442" t="s">
        <v>591</v>
      </c>
      <c r="K442" t="s">
        <v>591</v>
      </c>
      <c r="L442" t="s">
        <v>591</v>
      </c>
      <c r="P442">
        <v>0</v>
      </c>
      <c r="Q442">
        <v>50</v>
      </c>
    </row>
    <row r="443" spans="1:17" hidden="1" x14ac:dyDescent="0.25">
      <c r="A443" t="s">
        <v>3679</v>
      </c>
      <c r="B443" t="s">
        <v>3673</v>
      </c>
      <c r="C443">
        <v>442</v>
      </c>
      <c r="E443">
        <v>0</v>
      </c>
      <c r="F443">
        <v>143</v>
      </c>
      <c r="G443">
        <v>137</v>
      </c>
      <c r="H443" t="s">
        <v>591</v>
      </c>
      <c r="I443" t="s">
        <v>591</v>
      </c>
      <c r="J443" t="s">
        <v>591</v>
      </c>
      <c r="K443" t="s">
        <v>591</v>
      </c>
      <c r="L443" t="s">
        <v>591</v>
      </c>
      <c r="P443">
        <v>0</v>
      </c>
      <c r="Q443">
        <v>50</v>
      </c>
    </row>
    <row r="444" spans="1:17" hidden="1" x14ac:dyDescent="0.25">
      <c r="A444" t="s">
        <v>3680</v>
      </c>
      <c r="B444" t="s">
        <v>3674</v>
      </c>
      <c r="C444">
        <v>443</v>
      </c>
      <c r="E444">
        <v>0</v>
      </c>
      <c r="F444">
        <v>144</v>
      </c>
      <c r="G444">
        <v>138</v>
      </c>
      <c r="H444" t="s">
        <v>591</v>
      </c>
      <c r="I444" t="s">
        <v>591</v>
      </c>
      <c r="J444" t="s">
        <v>591</v>
      </c>
      <c r="K444" t="s">
        <v>591</v>
      </c>
      <c r="L444" t="s">
        <v>591</v>
      </c>
      <c r="P444">
        <v>0</v>
      </c>
      <c r="Q444">
        <v>50</v>
      </c>
    </row>
    <row r="445" spans="1:17" hidden="1" x14ac:dyDescent="0.25">
      <c r="A445" t="s">
        <v>3681</v>
      </c>
      <c r="B445" t="s">
        <v>3675</v>
      </c>
      <c r="C445">
        <v>444</v>
      </c>
      <c r="E445">
        <v>0</v>
      </c>
      <c r="F445">
        <v>145</v>
      </c>
      <c r="G445">
        <v>139</v>
      </c>
      <c r="H445" t="s">
        <v>591</v>
      </c>
      <c r="I445" t="s">
        <v>591</v>
      </c>
      <c r="J445" t="s">
        <v>591</v>
      </c>
      <c r="K445" t="s">
        <v>591</v>
      </c>
      <c r="L445" t="s">
        <v>591</v>
      </c>
      <c r="P445">
        <v>0</v>
      </c>
      <c r="Q445">
        <v>50</v>
      </c>
    </row>
    <row r="446" spans="1:17" hidden="1" x14ac:dyDescent="0.25">
      <c r="A446" t="s">
        <v>3682</v>
      </c>
      <c r="B446" t="s">
        <v>3676</v>
      </c>
      <c r="C446">
        <v>445</v>
      </c>
      <c r="E446">
        <v>0</v>
      </c>
      <c r="F446">
        <v>146</v>
      </c>
      <c r="G446">
        <v>140</v>
      </c>
      <c r="H446" t="s">
        <v>591</v>
      </c>
      <c r="I446" t="s">
        <v>591</v>
      </c>
      <c r="J446" t="s">
        <v>591</v>
      </c>
      <c r="K446" t="s">
        <v>591</v>
      </c>
      <c r="L446" t="s">
        <v>591</v>
      </c>
      <c r="P446">
        <v>0</v>
      </c>
      <c r="Q446">
        <v>50</v>
      </c>
    </row>
    <row r="447" spans="1:17" hidden="1" x14ac:dyDescent="0.25">
      <c r="A447" t="s">
        <v>3683</v>
      </c>
      <c r="B447" t="s">
        <v>3677</v>
      </c>
      <c r="C447">
        <v>446</v>
      </c>
      <c r="E447">
        <v>0</v>
      </c>
      <c r="F447">
        <v>147</v>
      </c>
      <c r="G447">
        <v>141</v>
      </c>
      <c r="H447" t="s">
        <v>591</v>
      </c>
      <c r="I447" t="s">
        <v>591</v>
      </c>
      <c r="J447" t="s">
        <v>591</v>
      </c>
      <c r="K447" t="s">
        <v>591</v>
      </c>
      <c r="L447" t="s">
        <v>591</v>
      </c>
      <c r="P447">
        <v>0</v>
      </c>
      <c r="Q447">
        <v>50</v>
      </c>
    </row>
    <row r="448" spans="1:17" hidden="1" x14ac:dyDescent="0.25">
      <c r="A448" t="s">
        <v>3684</v>
      </c>
      <c r="B448" t="s">
        <v>3678</v>
      </c>
      <c r="C448">
        <v>447</v>
      </c>
      <c r="E448">
        <v>0</v>
      </c>
      <c r="F448">
        <v>148</v>
      </c>
      <c r="G448">
        <v>142</v>
      </c>
      <c r="H448" t="s">
        <v>591</v>
      </c>
      <c r="I448" t="s">
        <v>591</v>
      </c>
      <c r="J448" t="s">
        <v>591</v>
      </c>
      <c r="K448" t="s">
        <v>591</v>
      </c>
      <c r="L448" t="s">
        <v>591</v>
      </c>
      <c r="P448">
        <v>0</v>
      </c>
      <c r="Q448">
        <v>50</v>
      </c>
    </row>
    <row r="449" spans="1:17" hidden="1" x14ac:dyDescent="0.25">
      <c r="A449" t="s">
        <v>3685</v>
      </c>
      <c r="B449" t="s">
        <v>3679</v>
      </c>
      <c r="C449">
        <v>448</v>
      </c>
      <c r="E449">
        <v>0</v>
      </c>
      <c r="F449">
        <v>149</v>
      </c>
      <c r="G449">
        <v>143</v>
      </c>
      <c r="H449" t="s">
        <v>591</v>
      </c>
      <c r="I449" t="s">
        <v>591</v>
      </c>
      <c r="J449" t="s">
        <v>591</v>
      </c>
      <c r="K449" t="s">
        <v>591</v>
      </c>
      <c r="L449" t="s">
        <v>591</v>
      </c>
      <c r="P449">
        <v>0</v>
      </c>
      <c r="Q449">
        <v>50</v>
      </c>
    </row>
    <row r="450" spans="1:17" hidden="1" x14ac:dyDescent="0.25">
      <c r="A450" t="s">
        <v>3686</v>
      </c>
      <c r="B450" t="s">
        <v>3680</v>
      </c>
      <c r="C450">
        <v>449</v>
      </c>
      <c r="E450">
        <v>0</v>
      </c>
      <c r="F450">
        <v>150</v>
      </c>
      <c r="G450">
        <v>144</v>
      </c>
      <c r="H450" t="s">
        <v>591</v>
      </c>
      <c r="I450" t="s">
        <v>591</v>
      </c>
      <c r="J450" t="s">
        <v>591</v>
      </c>
      <c r="K450" t="s">
        <v>591</v>
      </c>
      <c r="L450" t="s">
        <v>591</v>
      </c>
      <c r="P450">
        <v>0</v>
      </c>
      <c r="Q450">
        <v>50</v>
      </c>
    </row>
    <row r="451" spans="1:17" hidden="1" x14ac:dyDescent="0.25">
      <c r="A451" t="s">
        <v>3687</v>
      </c>
      <c r="B451" t="s">
        <v>3681</v>
      </c>
      <c r="C451">
        <v>450</v>
      </c>
      <c r="E451">
        <v>0</v>
      </c>
      <c r="F451">
        <v>151</v>
      </c>
      <c r="G451">
        <v>145</v>
      </c>
      <c r="H451" t="s">
        <v>591</v>
      </c>
      <c r="I451" t="s">
        <v>591</v>
      </c>
      <c r="J451" t="s">
        <v>591</v>
      </c>
      <c r="K451" t="s">
        <v>591</v>
      </c>
      <c r="L451" t="s">
        <v>591</v>
      </c>
      <c r="P451">
        <v>0</v>
      </c>
      <c r="Q451">
        <v>50</v>
      </c>
    </row>
    <row r="452" spans="1:17" hidden="1" x14ac:dyDescent="0.25">
      <c r="A452" t="s">
        <v>3688</v>
      </c>
      <c r="B452" t="s">
        <v>3682</v>
      </c>
      <c r="C452">
        <v>451</v>
      </c>
      <c r="E452">
        <v>0</v>
      </c>
      <c r="F452">
        <v>152</v>
      </c>
      <c r="G452">
        <v>146</v>
      </c>
      <c r="H452" t="s">
        <v>591</v>
      </c>
      <c r="I452" t="s">
        <v>591</v>
      </c>
      <c r="J452" t="s">
        <v>591</v>
      </c>
      <c r="K452" t="s">
        <v>591</v>
      </c>
      <c r="L452" t="s">
        <v>591</v>
      </c>
      <c r="P452">
        <v>0</v>
      </c>
      <c r="Q452">
        <v>50</v>
      </c>
    </row>
    <row r="453" spans="1:17" hidden="1" x14ac:dyDescent="0.25">
      <c r="A453" t="s">
        <v>3689</v>
      </c>
      <c r="B453" t="s">
        <v>3683</v>
      </c>
      <c r="C453">
        <v>452</v>
      </c>
      <c r="E453">
        <v>0</v>
      </c>
      <c r="F453">
        <v>153</v>
      </c>
      <c r="G453">
        <v>147</v>
      </c>
      <c r="H453" t="s">
        <v>591</v>
      </c>
      <c r="I453" t="s">
        <v>591</v>
      </c>
      <c r="J453" t="s">
        <v>591</v>
      </c>
      <c r="K453" t="s">
        <v>591</v>
      </c>
      <c r="L453" t="s">
        <v>591</v>
      </c>
      <c r="P453">
        <v>0</v>
      </c>
      <c r="Q453">
        <v>50</v>
      </c>
    </row>
    <row r="454" spans="1:17" hidden="1" x14ac:dyDescent="0.25">
      <c r="A454" t="s">
        <v>3690</v>
      </c>
      <c r="B454" t="s">
        <v>3684</v>
      </c>
      <c r="C454">
        <v>453</v>
      </c>
      <c r="E454">
        <v>0</v>
      </c>
      <c r="F454">
        <v>154</v>
      </c>
      <c r="G454">
        <v>148</v>
      </c>
      <c r="H454" t="s">
        <v>591</v>
      </c>
      <c r="I454" t="s">
        <v>591</v>
      </c>
      <c r="J454" t="s">
        <v>591</v>
      </c>
      <c r="K454" t="s">
        <v>591</v>
      </c>
      <c r="L454" t="s">
        <v>591</v>
      </c>
      <c r="P454">
        <v>0</v>
      </c>
      <c r="Q454">
        <v>50</v>
      </c>
    </row>
    <row r="455" spans="1:17" hidden="1" x14ac:dyDescent="0.25">
      <c r="A455" t="s">
        <v>3691</v>
      </c>
      <c r="B455" t="s">
        <v>3685</v>
      </c>
      <c r="C455">
        <v>454</v>
      </c>
      <c r="E455">
        <v>0</v>
      </c>
      <c r="F455">
        <v>155</v>
      </c>
      <c r="G455">
        <v>149</v>
      </c>
      <c r="H455" t="s">
        <v>591</v>
      </c>
      <c r="I455" t="s">
        <v>591</v>
      </c>
      <c r="J455" t="s">
        <v>591</v>
      </c>
      <c r="K455" t="s">
        <v>591</v>
      </c>
      <c r="L455" t="s">
        <v>591</v>
      </c>
      <c r="P455">
        <v>0</v>
      </c>
      <c r="Q455">
        <v>50</v>
      </c>
    </row>
    <row r="456" spans="1:17" hidden="1" x14ac:dyDescent="0.25">
      <c r="A456" t="s">
        <v>3692</v>
      </c>
      <c r="B456" t="s">
        <v>3686</v>
      </c>
      <c r="C456">
        <v>455</v>
      </c>
      <c r="E456">
        <v>0</v>
      </c>
      <c r="F456">
        <v>156</v>
      </c>
      <c r="G456">
        <v>150</v>
      </c>
      <c r="H456" t="s">
        <v>591</v>
      </c>
      <c r="I456" t="s">
        <v>591</v>
      </c>
      <c r="J456" t="s">
        <v>591</v>
      </c>
      <c r="K456" t="s">
        <v>591</v>
      </c>
      <c r="L456" t="s">
        <v>591</v>
      </c>
      <c r="P456">
        <v>0</v>
      </c>
      <c r="Q456">
        <v>50</v>
      </c>
    </row>
    <row r="457" spans="1:17" hidden="1" x14ac:dyDescent="0.25">
      <c r="A457" t="s">
        <v>3693</v>
      </c>
      <c r="B457" t="s">
        <v>3687</v>
      </c>
      <c r="C457">
        <v>456</v>
      </c>
      <c r="E457">
        <v>0</v>
      </c>
      <c r="F457">
        <v>157</v>
      </c>
      <c r="G457">
        <v>151</v>
      </c>
      <c r="H457" t="s">
        <v>591</v>
      </c>
      <c r="I457" t="s">
        <v>591</v>
      </c>
      <c r="J457" t="s">
        <v>591</v>
      </c>
      <c r="K457" t="s">
        <v>591</v>
      </c>
      <c r="L457" t="s">
        <v>591</v>
      </c>
      <c r="P457">
        <v>0</v>
      </c>
      <c r="Q457">
        <v>50</v>
      </c>
    </row>
    <row r="458" spans="1:17" hidden="1" x14ac:dyDescent="0.25">
      <c r="A458" t="s">
        <v>3694</v>
      </c>
      <c r="B458" t="s">
        <v>3688</v>
      </c>
      <c r="C458">
        <v>457</v>
      </c>
      <c r="E458">
        <v>0</v>
      </c>
      <c r="F458">
        <v>158</v>
      </c>
      <c r="G458">
        <v>152</v>
      </c>
      <c r="H458" t="s">
        <v>591</v>
      </c>
      <c r="I458" t="s">
        <v>591</v>
      </c>
      <c r="J458" t="s">
        <v>591</v>
      </c>
      <c r="K458" t="s">
        <v>591</v>
      </c>
      <c r="L458" t="s">
        <v>591</v>
      </c>
      <c r="P458">
        <v>0</v>
      </c>
      <c r="Q458">
        <v>50</v>
      </c>
    </row>
    <row r="459" spans="1:17" hidden="1" x14ac:dyDescent="0.25">
      <c r="A459" t="s">
        <v>3695</v>
      </c>
      <c r="B459" t="s">
        <v>3689</v>
      </c>
      <c r="C459">
        <v>458</v>
      </c>
      <c r="E459">
        <v>0</v>
      </c>
      <c r="F459">
        <v>159</v>
      </c>
      <c r="G459">
        <v>153</v>
      </c>
      <c r="H459" t="s">
        <v>591</v>
      </c>
      <c r="I459" t="s">
        <v>591</v>
      </c>
      <c r="J459" t="s">
        <v>591</v>
      </c>
      <c r="K459" t="s">
        <v>591</v>
      </c>
      <c r="L459" t="s">
        <v>591</v>
      </c>
      <c r="P459">
        <v>0</v>
      </c>
      <c r="Q459">
        <v>50</v>
      </c>
    </row>
    <row r="460" spans="1:17" hidden="1" x14ac:dyDescent="0.25">
      <c r="A460" t="s">
        <v>3696</v>
      </c>
      <c r="B460" t="s">
        <v>3690</v>
      </c>
      <c r="C460">
        <v>459</v>
      </c>
      <c r="E460">
        <v>0</v>
      </c>
      <c r="F460">
        <v>160</v>
      </c>
      <c r="G460">
        <v>154</v>
      </c>
      <c r="H460" t="s">
        <v>591</v>
      </c>
      <c r="I460" t="s">
        <v>591</v>
      </c>
      <c r="J460" t="s">
        <v>591</v>
      </c>
      <c r="K460" t="s">
        <v>591</v>
      </c>
      <c r="L460" t="s">
        <v>591</v>
      </c>
      <c r="P460">
        <v>0</v>
      </c>
      <c r="Q460">
        <v>50</v>
      </c>
    </row>
    <row r="461" spans="1:17" hidden="1" x14ac:dyDescent="0.25">
      <c r="A461" t="s">
        <v>3697</v>
      </c>
      <c r="B461" t="s">
        <v>3691</v>
      </c>
      <c r="C461">
        <v>460</v>
      </c>
      <c r="E461">
        <v>0</v>
      </c>
      <c r="F461">
        <v>161</v>
      </c>
      <c r="G461">
        <v>155</v>
      </c>
      <c r="H461" t="s">
        <v>591</v>
      </c>
      <c r="I461" t="s">
        <v>591</v>
      </c>
      <c r="J461" t="s">
        <v>591</v>
      </c>
      <c r="K461" t="s">
        <v>591</v>
      </c>
      <c r="L461" t="s">
        <v>591</v>
      </c>
      <c r="P461">
        <v>0</v>
      </c>
      <c r="Q461">
        <v>50</v>
      </c>
    </row>
    <row r="462" spans="1:17" hidden="1" x14ac:dyDescent="0.25">
      <c r="A462" t="s">
        <v>3698</v>
      </c>
      <c r="B462" t="s">
        <v>3692</v>
      </c>
      <c r="C462">
        <v>461</v>
      </c>
      <c r="E462">
        <v>0</v>
      </c>
      <c r="F462">
        <v>162</v>
      </c>
      <c r="G462">
        <v>156</v>
      </c>
      <c r="H462" t="s">
        <v>591</v>
      </c>
      <c r="I462" t="s">
        <v>591</v>
      </c>
      <c r="J462" t="s">
        <v>591</v>
      </c>
      <c r="K462" t="s">
        <v>591</v>
      </c>
      <c r="L462" t="s">
        <v>591</v>
      </c>
      <c r="P462">
        <v>0</v>
      </c>
      <c r="Q462">
        <v>50</v>
      </c>
    </row>
    <row r="463" spans="1:17" hidden="1" x14ac:dyDescent="0.25">
      <c r="A463" t="s">
        <v>3699</v>
      </c>
      <c r="B463" t="s">
        <v>3693</v>
      </c>
      <c r="C463">
        <v>462</v>
      </c>
      <c r="E463">
        <v>0</v>
      </c>
      <c r="F463">
        <v>163</v>
      </c>
      <c r="G463">
        <v>157</v>
      </c>
      <c r="H463" t="s">
        <v>591</v>
      </c>
      <c r="I463" t="s">
        <v>591</v>
      </c>
      <c r="J463" t="s">
        <v>591</v>
      </c>
      <c r="K463" t="s">
        <v>591</v>
      </c>
      <c r="L463" t="s">
        <v>591</v>
      </c>
      <c r="P463">
        <v>0</v>
      </c>
      <c r="Q463">
        <v>50</v>
      </c>
    </row>
    <row r="464" spans="1:17" hidden="1" x14ac:dyDescent="0.25">
      <c r="A464" t="s">
        <v>3700</v>
      </c>
      <c r="B464" t="s">
        <v>3694</v>
      </c>
      <c r="C464">
        <v>463</v>
      </c>
      <c r="E464">
        <v>0</v>
      </c>
      <c r="F464">
        <v>164</v>
      </c>
      <c r="G464">
        <v>158</v>
      </c>
      <c r="H464" t="s">
        <v>591</v>
      </c>
      <c r="I464" t="s">
        <v>591</v>
      </c>
      <c r="J464" t="s">
        <v>591</v>
      </c>
      <c r="K464" t="s">
        <v>591</v>
      </c>
      <c r="L464" t="s">
        <v>591</v>
      </c>
      <c r="P464">
        <v>0</v>
      </c>
      <c r="Q464">
        <v>50</v>
      </c>
    </row>
    <row r="465" spans="1:17" hidden="1" x14ac:dyDescent="0.25">
      <c r="A465" t="s">
        <v>3701</v>
      </c>
      <c r="B465" t="s">
        <v>3695</v>
      </c>
      <c r="C465">
        <v>464</v>
      </c>
      <c r="E465">
        <v>0</v>
      </c>
      <c r="F465">
        <v>165</v>
      </c>
      <c r="G465">
        <v>159</v>
      </c>
      <c r="H465" t="s">
        <v>591</v>
      </c>
      <c r="I465" t="s">
        <v>591</v>
      </c>
      <c r="J465" t="s">
        <v>591</v>
      </c>
      <c r="K465" t="s">
        <v>591</v>
      </c>
      <c r="L465" t="s">
        <v>591</v>
      </c>
      <c r="P465">
        <v>0</v>
      </c>
      <c r="Q465">
        <v>50</v>
      </c>
    </row>
    <row r="466" spans="1:17" hidden="1" x14ac:dyDescent="0.25">
      <c r="A466" t="s">
        <v>3702</v>
      </c>
      <c r="B466" t="s">
        <v>3696</v>
      </c>
      <c r="C466">
        <v>465</v>
      </c>
      <c r="E466">
        <v>0</v>
      </c>
      <c r="F466">
        <v>166</v>
      </c>
      <c r="G466">
        <v>160</v>
      </c>
      <c r="H466" t="s">
        <v>591</v>
      </c>
      <c r="I466" t="s">
        <v>591</v>
      </c>
      <c r="J466" t="s">
        <v>591</v>
      </c>
      <c r="K466" t="s">
        <v>591</v>
      </c>
      <c r="L466" t="s">
        <v>591</v>
      </c>
      <c r="P466">
        <v>0</v>
      </c>
      <c r="Q466">
        <v>50</v>
      </c>
    </row>
    <row r="467" spans="1:17" hidden="1" x14ac:dyDescent="0.25">
      <c r="A467" t="s">
        <v>3703</v>
      </c>
      <c r="B467" t="s">
        <v>3697</v>
      </c>
      <c r="C467">
        <v>466</v>
      </c>
      <c r="E467">
        <v>0</v>
      </c>
      <c r="F467">
        <v>167</v>
      </c>
      <c r="G467">
        <v>161</v>
      </c>
      <c r="H467" t="s">
        <v>591</v>
      </c>
      <c r="I467" t="s">
        <v>591</v>
      </c>
      <c r="J467" t="s">
        <v>591</v>
      </c>
      <c r="K467" t="s">
        <v>591</v>
      </c>
      <c r="L467" t="s">
        <v>591</v>
      </c>
      <c r="P467">
        <v>0</v>
      </c>
      <c r="Q467">
        <v>50</v>
      </c>
    </row>
    <row r="468" spans="1:17" hidden="1" x14ac:dyDescent="0.25">
      <c r="A468" t="s">
        <v>3704</v>
      </c>
      <c r="B468" t="s">
        <v>3698</v>
      </c>
      <c r="C468">
        <v>467</v>
      </c>
      <c r="E468">
        <v>0</v>
      </c>
      <c r="F468">
        <v>168</v>
      </c>
      <c r="G468">
        <v>162</v>
      </c>
      <c r="H468" t="s">
        <v>591</v>
      </c>
      <c r="I468" t="s">
        <v>591</v>
      </c>
      <c r="J468" t="s">
        <v>591</v>
      </c>
      <c r="K468" t="s">
        <v>591</v>
      </c>
      <c r="L468" t="s">
        <v>591</v>
      </c>
      <c r="P468">
        <v>0</v>
      </c>
      <c r="Q468">
        <v>50</v>
      </c>
    </row>
    <row r="469" spans="1:17" hidden="1" x14ac:dyDescent="0.25">
      <c r="A469" t="s">
        <v>3705</v>
      </c>
      <c r="B469" t="s">
        <v>3699</v>
      </c>
      <c r="C469">
        <v>468</v>
      </c>
      <c r="E469">
        <v>0</v>
      </c>
      <c r="F469">
        <v>169</v>
      </c>
      <c r="G469">
        <v>163</v>
      </c>
      <c r="H469" t="s">
        <v>591</v>
      </c>
      <c r="I469" t="s">
        <v>591</v>
      </c>
      <c r="J469" t="s">
        <v>591</v>
      </c>
      <c r="K469" t="s">
        <v>591</v>
      </c>
      <c r="L469" t="s">
        <v>591</v>
      </c>
      <c r="P469">
        <v>0</v>
      </c>
      <c r="Q469">
        <v>50</v>
      </c>
    </row>
    <row r="470" spans="1:17" hidden="1" x14ac:dyDescent="0.25">
      <c r="A470" t="s">
        <v>3706</v>
      </c>
      <c r="B470" t="s">
        <v>3700</v>
      </c>
      <c r="C470">
        <v>469</v>
      </c>
      <c r="E470">
        <v>0</v>
      </c>
      <c r="F470">
        <v>170</v>
      </c>
      <c r="G470">
        <v>164</v>
      </c>
      <c r="H470" t="s">
        <v>591</v>
      </c>
      <c r="I470" t="s">
        <v>591</v>
      </c>
      <c r="J470" t="s">
        <v>591</v>
      </c>
      <c r="K470" t="s">
        <v>591</v>
      </c>
      <c r="L470" t="s">
        <v>591</v>
      </c>
      <c r="P470">
        <v>0</v>
      </c>
      <c r="Q470">
        <v>50</v>
      </c>
    </row>
    <row r="471" spans="1:17" hidden="1" x14ac:dyDescent="0.25">
      <c r="A471" t="s">
        <v>3707</v>
      </c>
      <c r="B471" t="s">
        <v>3701</v>
      </c>
      <c r="C471">
        <v>470</v>
      </c>
      <c r="E471">
        <v>0</v>
      </c>
      <c r="F471">
        <v>171</v>
      </c>
      <c r="G471">
        <v>165</v>
      </c>
      <c r="H471" t="s">
        <v>591</v>
      </c>
      <c r="I471" t="s">
        <v>591</v>
      </c>
      <c r="J471" t="s">
        <v>591</v>
      </c>
      <c r="K471" t="s">
        <v>591</v>
      </c>
      <c r="L471" t="s">
        <v>591</v>
      </c>
      <c r="P471">
        <v>0</v>
      </c>
      <c r="Q471">
        <v>50</v>
      </c>
    </row>
    <row r="472" spans="1:17" hidden="1" x14ac:dyDescent="0.25">
      <c r="A472" t="s">
        <v>3708</v>
      </c>
      <c r="B472" t="s">
        <v>3702</v>
      </c>
      <c r="C472">
        <v>471</v>
      </c>
      <c r="E472">
        <v>0</v>
      </c>
      <c r="F472">
        <v>172</v>
      </c>
      <c r="G472">
        <v>166</v>
      </c>
      <c r="H472" t="s">
        <v>591</v>
      </c>
      <c r="I472" t="s">
        <v>591</v>
      </c>
      <c r="J472" t="s">
        <v>591</v>
      </c>
      <c r="K472" t="s">
        <v>591</v>
      </c>
      <c r="L472" t="s">
        <v>591</v>
      </c>
      <c r="P472">
        <v>0</v>
      </c>
      <c r="Q472">
        <v>50</v>
      </c>
    </row>
    <row r="473" spans="1:17" hidden="1" x14ac:dyDescent="0.25">
      <c r="A473" t="s">
        <v>3709</v>
      </c>
      <c r="B473" t="s">
        <v>3703</v>
      </c>
      <c r="C473">
        <v>472</v>
      </c>
      <c r="E473">
        <v>0</v>
      </c>
      <c r="F473">
        <v>173</v>
      </c>
      <c r="G473">
        <v>167</v>
      </c>
      <c r="H473" t="s">
        <v>591</v>
      </c>
      <c r="I473" t="s">
        <v>591</v>
      </c>
      <c r="J473" t="s">
        <v>591</v>
      </c>
      <c r="K473" t="s">
        <v>591</v>
      </c>
      <c r="L473" t="s">
        <v>591</v>
      </c>
      <c r="P473">
        <v>0</v>
      </c>
      <c r="Q473">
        <v>50</v>
      </c>
    </row>
    <row r="474" spans="1:17" hidden="1" x14ac:dyDescent="0.25">
      <c r="A474" t="s">
        <v>3710</v>
      </c>
      <c r="B474" t="s">
        <v>3704</v>
      </c>
      <c r="C474">
        <v>473</v>
      </c>
      <c r="E474">
        <v>0</v>
      </c>
      <c r="F474">
        <v>174</v>
      </c>
      <c r="G474">
        <v>168</v>
      </c>
      <c r="H474" t="s">
        <v>591</v>
      </c>
      <c r="I474" t="s">
        <v>591</v>
      </c>
      <c r="J474" t="s">
        <v>591</v>
      </c>
      <c r="K474" t="s">
        <v>591</v>
      </c>
      <c r="L474" t="s">
        <v>591</v>
      </c>
      <c r="P474">
        <v>0</v>
      </c>
      <c r="Q474">
        <v>50</v>
      </c>
    </row>
    <row r="475" spans="1:17" hidden="1" x14ac:dyDescent="0.25">
      <c r="A475" t="s">
        <v>3711</v>
      </c>
      <c r="B475" t="s">
        <v>3705</v>
      </c>
      <c r="C475">
        <v>474</v>
      </c>
      <c r="E475">
        <v>0</v>
      </c>
      <c r="F475">
        <v>175</v>
      </c>
      <c r="G475">
        <v>169</v>
      </c>
      <c r="H475" t="s">
        <v>591</v>
      </c>
      <c r="I475" t="s">
        <v>591</v>
      </c>
      <c r="J475" t="s">
        <v>591</v>
      </c>
      <c r="K475" t="s">
        <v>591</v>
      </c>
      <c r="L475" t="s">
        <v>591</v>
      </c>
      <c r="P475">
        <v>0</v>
      </c>
      <c r="Q475">
        <v>50</v>
      </c>
    </row>
    <row r="476" spans="1:17" hidden="1" x14ac:dyDescent="0.25">
      <c r="A476" t="s">
        <v>3712</v>
      </c>
      <c r="B476" t="s">
        <v>3706</v>
      </c>
      <c r="C476">
        <v>475</v>
      </c>
      <c r="E476">
        <v>0</v>
      </c>
      <c r="F476">
        <v>176</v>
      </c>
      <c r="G476">
        <v>170</v>
      </c>
      <c r="H476" t="s">
        <v>591</v>
      </c>
      <c r="I476" t="s">
        <v>591</v>
      </c>
      <c r="J476" t="s">
        <v>591</v>
      </c>
      <c r="K476" t="s">
        <v>591</v>
      </c>
      <c r="L476" t="s">
        <v>591</v>
      </c>
      <c r="P476">
        <v>0</v>
      </c>
      <c r="Q476">
        <v>50</v>
      </c>
    </row>
    <row r="477" spans="1:17" hidden="1" x14ac:dyDescent="0.25">
      <c r="A477" t="s">
        <v>3713</v>
      </c>
      <c r="B477" t="s">
        <v>3707</v>
      </c>
      <c r="C477">
        <v>476</v>
      </c>
      <c r="E477">
        <v>0</v>
      </c>
      <c r="F477">
        <v>177</v>
      </c>
      <c r="G477">
        <v>171</v>
      </c>
      <c r="H477" t="s">
        <v>591</v>
      </c>
      <c r="I477" t="s">
        <v>591</v>
      </c>
      <c r="J477" t="s">
        <v>591</v>
      </c>
      <c r="K477" t="s">
        <v>591</v>
      </c>
      <c r="L477" t="s">
        <v>591</v>
      </c>
      <c r="P477">
        <v>0</v>
      </c>
      <c r="Q477">
        <v>50</v>
      </c>
    </row>
    <row r="478" spans="1:17" hidden="1" x14ac:dyDescent="0.25">
      <c r="A478" t="s">
        <v>3714</v>
      </c>
      <c r="B478" t="s">
        <v>3708</v>
      </c>
      <c r="C478">
        <v>477</v>
      </c>
      <c r="E478">
        <v>0</v>
      </c>
      <c r="F478">
        <v>178</v>
      </c>
      <c r="G478">
        <v>172</v>
      </c>
      <c r="H478" t="s">
        <v>591</v>
      </c>
      <c r="I478" t="s">
        <v>591</v>
      </c>
      <c r="J478" t="s">
        <v>591</v>
      </c>
      <c r="K478" t="s">
        <v>591</v>
      </c>
      <c r="L478" t="s">
        <v>591</v>
      </c>
      <c r="P478">
        <v>0</v>
      </c>
      <c r="Q478">
        <v>50</v>
      </c>
    </row>
    <row r="479" spans="1:17" hidden="1" x14ac:dyDescent="0.25">
      <c r="A479" t="s">
        <v>3715</v>
      </c>
      <c r="B479" t="s">
        <v>3709</v>
      </c>
      <c r="C479">
        <v>478</v>
      </c>
      <c r="E479">
        <v>0</v>
      </c>
      <c r="F479">
        <v>179</v>
      </c>
      <c r="G479">
        <v>173</v>
      </c>
      <c r="H479" t="s">
        <v>591</v>
      </c>
      <c r="I479" t="s">
        <v>591</v>
      </c>
      <c r="J479" t="s">
        <v>591</v>
      </c>
      <c r="K479" t="s">
        <v>591</v>
      </c>
      <c r="L479" t="s">
        <v>591</v>
      </c>
      <c r="P479">
        <v>0</v>
      </c>
      <c r="Q479">
        <v>50</v>
      </c>
    </row>
    <row r="480" spans="1:17" hidden="1" x14ac:dyDescent="0.25">
      <c r="A480" t="s">
        <v>3716</v>
      </c>
      <c r="B480" t="s">
        <v>3710</v>
      </c>
      <c r="C480">
        <v>479</v>
      </c>
      <c r="E480">
        <v>0</v>
      </c>
      <c r="F480">
        <v>180</v>
      </c>
      <c r="G480">
        <v>174</v>
      </c>
      <c r="H480" t="s">
        <v>591</v>
      </c>
      <c r="I480" t="s">
        <v>591</v>
      </c>
      <c r="J480" t="s">
        <v>591</v>
      </c>
      <c r="K480" t="s">
        <v>591</v>
      </c>
      <c r="L480" t="s">
        <v>591</v>
      </c>
      <c r="P480">
        <v>0</v>
      </c>
      <c r="Q480">
        <v>50</v>
      </c>
    </row>
    <row r="481" spans="1:17" hidden="1" x14ac:dyDescent="0.25">
      <c r="A481" t="s">
        <v>3717</v>
      </c>
      <c r="B481" t="s">
        <v>3711</v>
      </c>
      <c r="C481">
        <v>480</v>
      </c>
      <c r="E481">
        <v>0</v>
      </c>
      <c r="F481">
        <v>181</v>
      </c>
      <c r="G481">
        <v>175</v>
      </c>
      <c r="H481" t="s">
        <v>591</v>
      </c>
      <c r="I481" t="s">
        <v>591</v>
      </c>
      <c r="J481" t="s">
        <v>591</v>
      </c>
      <c r="K481" t="s">
        <v>591</v>
      </c>
      <c r="L481" t="s">
        <v>591</v>
      </c>
      <c r="P481">
        <v>0</v>
      </c>
      <c r="Q481">
        <v>50</v>
      </c>
    </row>
    <row r="482" spans="1:17" hidden="1" x14ac:dyDescent="0.25">
      <c r="A482" t="s">
        <v>3718</v>
      </c>
      <c r="B482" t="s">
        <v>3712</v>
      </c>
      <c r="C482">
        <v>481</v>
      </c>
      <c r="E482">
        <v>0</v>
      </c>
      <c r="F482">
        <v>182</v>
      </c>
      <c r="G482">
        <v>176</v>
      </c>
      <c r="H482" t="s">
        <v>591</v>
      </c>
      <c r="I482" t="s">
        <v>591</v>
      </c>
      <c r="J482" t="s">
        <v>591</v>
      </c>
      <c r="K482" t="s">
        <v>591</v>
      </c>
      <c r="L482" t="s">
        <v>591</v>
      </c>
      <c r="P482">
        <v>0</v>
      </c>
      <c r="Q482">
        <v>50</v>
      </c>
    </row>
    <row r="483" spans="1:17" hidden="1" x14ac:dyDescent="0.25">
      <c r="A483" t="s">
        <v>3719</v>
      </c>
      <c r="B483" t="s">
        <v>3713</v>
      </c>
      <c r="C483">
        <v>482</v>
      </c>
      <c r="E483">
        <v>0</v>
      </c>
      <c r="F483">
        <v>183</v>
      </c>
      <c r="G483">
        <v>177</v>
      </c>
      <c r="H483" t="s">
        <v>591</v>
      </c>
      <c r="I483" t="s">
        <v>591</v>
      </c>
      <c r="J483" t="s">
        <v>591</v>
      </c>
      <c r="K483" t="s">
        <v>591</v>
      </c>
      <c r="L483" t="s">
        <v>591</v>
      </c>
      <c r="P483">
        <v>0</v>
      </c>
      <c r="Q483">
        <v>50</v>
      </c>
    </row>
    <row r="484" spans="1:17" hidden="1" x14ac:dyDescent="0.25">
      <c r="A484" t="s">
        <v>3720</v>
      </c>
      <c r="B484" t="s">
        <v>3714</v>
      </c>
      <c r="C484">
        <v>483</v>
      </c>
      <c r="E484">
        <v>0</v>
      </c>
      <c r="F484">
        <v>184</v>
      </c>
      <c r="G484">
        <v>178</v>
      </c>
      <c r="H484" t="s">
        <v>591</v>
      </c>
      <c r="I484" t="s">
        <v>591</v>
      </c>
      <c r="J484" t="s">
        <v>591</v>
      </c>
      <c r="K484" t="s">
        <v>591</v>
      </c>
      <c r="L484" t="s">
        <v>591</v>
      </c>
      <c r="P484">
        <v>0</v>
      </c>
      <c r="Q484">
        <v>50</v>
      </c>
    </row>
    <row r="485" spans="1:17" hidden="1" x14ac:dyDescent="0.25">
      <c r="A485" t="s">
        <v>3721</v>
      </c>
      <c r="B485" t="s">
        <v>3715</v>
      </c>
      <c r="C485">
        <v>484</v>
      </c>
      <c r="E485">
        <v>0</v>
      </c>
      <c r="F485">
        <v>185</v>
      </c>
      <c r="G485">
        <v>179</v>
      </c>
      <c r="H485" t="s">
        <v>591</v>
      </c>
      <c r="I485" t="s">
        <v>591</v>
      </c>
      <c r="J485" t="s">
        <v>591</v>
      </c>
      <c r="K485" t="s">
        <v>591</v>
      </c>
      <c r="L485" t="s">
        <v>591</v>
      </c>
      <c r="P485">
        <v>0</v>
      </c>
      <c r="Q485">
        <v>50</v>
      </c>
    </row>
    <row r="486" spans="1:17" hidden="1" x14ac:dyDescent="0.25">
      <c r="A486" t="s">
        <v>3722</v>
      </c>
      <c r="B486" t="s">
        <v>3716</v>
      </c>
      <c r="C486">
        <v>485</v>
      </c>
      <c r="E486">
        <v>0</v>
      </c>
      <c r="F486">
        <v>186</v>
      </c>
      <c r="G486">
        <v>180</v>
      </c>
      <c r="H486" t="s">
        <v>591</v>
      </c>
      <c r="I486" t="s">
        <v>591</v>
      </c>
      <c r="J486" t="s">
        <v>591</v>
      </c>
      <c r="K486" t="s">
        <v>591</v>
      </c>
      <c r="L486" t="s">
        <v>591</v>
      </c>
      <c r="P486">
        <v>0</v>
      </c>
      <c r="Q486">
        <v>50</v>
      </c>
    </row>
    <row r="487" spans="1:17" hidden="1" x14ac:dyDescent="0.25">
      <c r="A487" t="s">
        <v>3723</v>
      </c>
      <c r="B487" t="s">
        <v>3717</v>
      </c>
      <c r="C487">
        <v>486</v>
      </c>
      <c r="E487">
        <v>0</v>
      </c>
      <c r="F487">
        <v>187</v>
      </c>
      <c r="G487">
        <v>181</v>
      </c>
      <c r="H487" t="s">
        <v>591</v>
      </c>
      <c r="I487" t="s">
        <v>591</v>
      </c>
      <c r="J487" t="s">
        <v>591</v>
      </c>
      <c r="K487" t="s">
        <v>591</v>
      </c>
      <c r="L487" t="s">
        <v>591</v>
      </c>
      <c r="P487">
        <v>0</v>
      </c>
      <c r="Q487">
        <v>50</v>
      </c>
    </row>
    <row r="488" spans="1:17" hidden="1" x14ac:dyDescent="0.25">
      <c r="A488" t="s">
        <v>3724</v>
      </c>
      <c r="B488" t="s">
        <v>3718</v>
      </c>
      <c r="C488">
        <v>487</v>
      </c>
      <c r="E488">
        <v>0</v>
      </c>
      <c r="F488">
        <v>188</v>
      </c>
      <c r="G488">
        <v>182</v>
      </c>
      <c r="H488" t="s">
        <v>591</v>
      </c>
      <c r="I488" t="s">
        <v>591</v>
      </c>
      <c r="J488" t="s">
        <v>591</v>
      </c>
      <c r="K488" t="s">
        <v>591</v>
      </c>
      <c r="L488" t="s">
        <v>591</v>
      </c>
      <c r="P488">
        <v>0</v>
      </c>
      <c r="Q488">
        <v>50</v>
      </c>
    </row>
    <row r="489" spans="1:17" hidden="1" x14ac:dyDescent="0.25">
      <c r="A489" t="s">
        <v>3725</v>
      </c>
      <c r="B489" t="s">
        <v>3719</v>
      </c>
      <c r="C489">
        <v>488</v>
      </c>
      <c r="E489">
        <v>0</v>
      </c>
      <c r="F489">
        <v>189</v>
      </c>
      <c r="G489">
        <v>183</v>
      </c>
      <c r="H489" t="s">
        <v>591</v>
      </c>
      <c r="I489" t="s">
        <v>591</v>
      </c>
      <c r="J489" t="s">
        <v>591</v>
      </c>
      <c r="K489" t="s">
        <v>591</v>
      </c>
      <c r="L489" t="s">
        <v>591</v>
      </c>
      <c r="P489">
        <v>0</v>
      </c>
      <c r="Q489">
        <v>50</v>
      </c>
    </row>
    <row r="490" spans="1:17" hidden="1" x14ac:dyDescent="0.25">
      <c r="A490" t="s">
        <v>3726</v>
      </c>
      <c r="B490" t="s">
        <v>3720</v>
      </c>
      <c r="C490">
        <v>489</v>
      </c>
      <c r="E490">
        <v>0</v>
      </c>
      <c r="F490">
        <v>190</v>
      </c>
      <c r="G490">
        <v>184</v>
      </c>
      <c r="H490" t="s">
        <v>591</v>
      </c>
      <c r="I490" t="s">
        <v>591</v>
      </c>
      <c r="J490" t="s">
        <v>591</v>
      </c>
      <c r="K490" t="s">
        <v>591</v>
      </c>
      <c r="L490" t="s">
        <v>591</v>
      </c>
      <c r="P490">
        <v>0</v>
      </c>
      <c r="Q490">
        <v>50</v>
      </c>
    </row>
    <row r="491" spans="1:17" hidden="1" x14ac:dyDescent="0.25">
      <c r="A491" t="s">
        <v>3727</v>
      </c>
      <c r="B491" t="s">
        <v>3721</v>
      </c>
      <c r="C491">
        <v>490</v>
      </c>
      <c r="E491">
        <v>0</v>
      </c>
      <c r="F491">
        <v>191</v>
      </c>
      <c r="G491">
        <v>185</v>
      </c>
      <c r="H491" t="s">
        <v>591</v>
      </c>
      <c r="I491" t="s">
        <v>591</v>
      </c>
      <c r="J491" t="s">
        <v>591</v>
      </c>
      <c r="K491" t="s">
        <v>591</v>
      </c>
      <c r="L491" t="s">
        <v>591</v>
      </c>
      <c r="P491">
        <v>0</v>
      </c>
      <c r="Q491">
        <v>50</v>
      </c>
    </row>
    <row r="492" spans="1:17" hidden="1" x14ac:dyDescent="0.25">
      <c r="A492" t="s">
        <v>3728</v>
      </c>
      <c r="B492" t="s">
        <v>3722</v>
      </c>
      <c r="C492">
        <v>491</v>
      </c>
      <c r="E492">
        <v>0</v>
      </c>
      <c r="F492">
        <v>192</v>
      </c>
      <c r="G492">
        <v>186</v>
      </c>
      <c r="H492" t="s">
        <v>591</v>
      </c>
      <c r="I492" t="s">
        <v>591</v>
      </c>
      <c r="J492" t="s">
        <v>591</v>
      </c>
      <c r="K492" t="s">
        <v>591</v>
      </c>
      <c r="L492" t="s">
        <v>591</v>
      </c>
      <c r="P492">
        <v>0</v>
      </c>
      <c r="Q492">
        <v>50</v>
      </c>
    </row>
    <row r="493" spans="1:17" hidden="1" x14ac:dyDescent="0.25">
      <c r="A493" t="s">
        <v>3729</v>
      </c>
      <c r="B493" t="s">
        <v>3723</v>
      </c>
      <c r="C493">
        <v>492</v>
      </c>
      <c r="E493">
        <v>0</v>
      </c>
      <c r="F493">
        <v>193</v>
      </c>
      <c r="G493">
        <v>187</v>
      </c>
      <c r="H493" t="s">
        <v>591</v>
      </c>
      <c r="I493" t="s">
        <v>591</v>
      </c>
      <c r="J493" t="s">
        <v>591</v>
      </c>
      <c r="K493" t="s">
        <v>591</v>
      </c>
      <c r="L493" t="s">
        <v>591</v>
      </c>
      <c r="P493">
        <v>0</v>
      </c>
      <c r="Q493">
        <v>50</v>
      </c>
    </row>
    <row r="494" spans="1:17" hidden="1" x14ac:dyDescent="0.25">
      <c r="A494" t="s">
        <v>3730</v>
      </c>
      <c r="B494" t="s">
        <v>3724</v>
      </c>
      <c r="C494">
        <v>493</v>
      </c>
      <c r="E494">
        <v>0</v>
      </c>
      <c r="F494">
        <v>194</v>
      </c>
      <c r="G494">
        <v>188</v>
      </c>
      <c r="H494" t="s">
        <v>591</v>
      </c>
      <c r="I494" t="s">
        <v>591</v>
      </c>
      <c r="J494" t="s">
        <v>591</v>
      </c>
      <c r="K494" t="s">
        <v>591</v>
      </c>
      <c r="L494" t="s">
        <v>591</v>
      </c>
      <c r="P494">
        <v>0</v>
      </c>
      <c r="Q494">
        <v>50</v>
      </c>
    </row>
    <row r="495" spans="1:17" hidden="1" x14ac:dyDescent="0.25">
      <c r="A495" t="s">
        <v>3731</v>
      </c>
      <c r="B495" t="s">
        <v>3725</v>
      </c>
      <c r="C495">
        <v>494</v>
      </c>
      <c r="E495">
        <v>0</v>
      </c>
      <c r="F495">
        <v>195</v>
      </c>
      <c r="G495">
        <v>189</v>
      </c>
      <c r="H495" t="s">
        <v>591</v>
      </c>
      <c r="I495" t="s">
        <v>591</v>
      </c>
      <c r="J495" t="s">
        <v>591</v>
      </c>
      <c r="K495" t="s">
        <v>591</v>
      </c>
      <c r="L495" t="s">
        <v>591</v>
      </c>
      <c r="P495">
        <v>0</v>
      </c>
      <c r="Q495">
        <v>50</v>
      </c>
    </row>
    <row r="496" spans="1:17" hidden="1" x14ac:dyDescent="0.25">
      <c r="A496" t="s">
        <v>3732</v>
      </c>
      <c r="B496" t="s">
        <v>3726</v>
      </c>
      <c r="C496">
        <v>495</v>
      </c>
      <c r="E496">
        <v>0</v>
      </c>
      <c r="F496">
        <v>196</v>
      </c>
      <c r="G496">
        <v>190</v>
      </c>
      <c r="H496" t="s">
        <v>591</v>
      </c>
      <c r="I496" t="s">
        <v>591</v>
      </c>
      <c r="J496" t="s">
        <v>591</v>
      </c>
      <c r="K496" t="s">
        <v>591</v>
      </c>
      <c r="L496" t="s">
        <v>591</v>
      </c>
      <c r="P496">
        <v>0</v>
      </c>
      <c r="Q496">
        <v>50</v>
      </c>
    </row>
    <row r="497" spans="1:17" hidden="1" x14ac:dyDescent="0.25">
      <c r="A497" t="s">
        <v>3733</v>
      </c>
      <c r="B497" t="s">
        <v>3727</v>
      </c>
      <c r="C497">
        <v>496</v>
      </c>
      <c r="E497">
        <v>0</v>
      </c>
      <c r="F497">
        <v>197</v>
      </c>
      <c r="G497">
        <v>191</v>
      </c>
      <c r="H497" t="s">
        <v>591</v>
      </c>
      <c r="I497" t="s">
        <v>591</v>
      </c>
      <c r="J497" t="s">
        <v>591</v>
      </c>
      <c r="K497" t="s">
        <v>591</v>
      </c>
      <c r="L497" t="s">
        <v>591</v>
      </c>
      <c r="P497">
        <v>0</v>
      </c>
      <c r="Q497">
        <v>50</v>
      </c>
    </row>
    <row r="498" spans="1:17" hidden="1" x14ac:dyDescent="0.25">
      <c r="A498" t="s">
        <v>3734</v>
      </c>
      <c r="B498" t="s">
        <v>3728</v>
      </c>
      <c r="C498">
        <v>497</v>
      </c>
      <c r="E498">
        <v>0</v>
      </c>
      <c r="F498">
        <v>198</v>
      </c>
      <c r="G498">
        <v>192</v>
      </c>
      <c r="H498" t="s">
        <v>591</v>
      </c>
      <c r="I498" t="s">
        <v>591</v>
      </c>
      <c r="J498" t="s">
        <v>591</v>
      </c>
      <c r="K498" t="s">
        <v>591</v>
      </c>
      <c r="L498" t="s">
        <v>591</v>
      </c>
      <c r="P498">
        <v>0</v>
      </c>
      <c r="Q498">
        <v>50</v>
      </c>
    </row>
    <row r="499" spans="1:17" hidden="1" x14ac:dyDescent="0.25">
      <c r="A499" t="s">
        <v>3735</v>
      </c>
      <c r="B499" t="s">
        <v>3729</v>
      </c>
      <c r="C499">
        <v>498</v>
      </c>
      <c r="E499">
        <v>0</v>
      </c>
      <c r="F499">
        <v>199</v>
      </c>
      <c r="G499">
        <v>193</v>
      </c>
      <c r="H499" t="s">
        <v>591</v>
      </c>
      <c r="I499" t="s">
        <v>591</v>
      </c>
      <c r="J499" t="s">
        <v>591</v>
      </c>
      <c r="K499" t="s">
        <v>591</v>
      </c>
      <c r="L499" t="s">
        <v>591</v>
      </c>
      <c r="P499">
        <v>0</v>
      </c>
      <c r="Q499">
        <v>50</v>
      </c>
    </row>
    <row r="500" spans="1:17" hidden="1" x14ac:dyDescent="0.25">
      <c r="A500" t="s">
        <v>3736</v>
      </c>
      <c r="B500" t="s">
        <v>3730</v>
      </c>
      <c r="C500">
        <v>499</v>
      </c>
      <c r="E500">
        <v>0</v>
      </c>
      <c r="F500">
        <v>200</v>
      </c>
      <c r="G500">
        <v>194</v>
      </c>
      <c r="H500" t="s">
        <v>591</v>
      </c>
      <c r="I500" t="s">
        <v>591</v>
      </c>
      <c r="J500" t="s">
        <v>591</v>
      </c>
      <c r="K500" t="s">
        <v>591</v>
      </c>
      <c r="L500" t="s">
        <v>591</v>
      </c>
      <c r="P500">
        <v>0</v>
      </c>
      <c r="Q500">
        <v>50</v>
      </c>
    </row>
    <row r="501" spans="1:17" hidden="1" x14ac:dyDescent="0.25">
      <c r="A501" t="s">
        <v>3737</v>
      </c>
      <c r="B501" t="s">
        <v>3731</v>
      </c>
      <c r="C501">
        <v>500</v>
      </c>
      <c r="E501">
        <v>0</v>
      </c>
      <c r="F501">
        <v>201</v>
      </c>
      <c r="G501">
        <v>195</v>
      </c>
      <c r="H501" t="s">
        <v>591</v>
      </c>
      <c r="I501" t="s">
        <v>591</v>
      </c>
      <c r="J501" t="s">
        <v>591</v>
      </c>
      <c r="K501" t="s">
        <v>591</v>
      </c>
      <c r="L501" t="s">
        <v>591</v>
      </c>
      <c r="P501">
        <v>0</v>
      </c>
      <c r="Q501">
        <v>50</v>
      </c>
    </row>
    <row r="502" spans="1:17" hidden="1" x14ac:dyDescent="0.25">
      <c r="A502" t="s">
        <v>3738</v>
      </c>
      <c r="B502" t="s">
        <v>3732</v>
      </c>
      <c r="C502">
        <v>501</v>
      </c>
      <c r="E502">
        <v>0</v>
      </c>
      <c r="F502">
        <v>202</v>
      </c>
      <c r="G502">
        <v>196</v>
      </c>
      <c r="H502" t="s">
        <v>591</v>
      </c>
      <c r="I502" t="s">
        <v>591</v>
      </c>
      <c r="J502" t="s">
        <v>591</v>
      </c>
      <c r="K502" t="s">
        <v>591</v>
      </c>
      <c r="L502" t="s">
        <v>591</v>
      </c>
      <c r="P502">
        <v>0</v>
      </c>
      <c r="Q502">
        <v>50</v>
      </c>
    </row>
    <row r="503" spans="1:17" hidden="1" x14ac:dyDescent="0.25">
      <c r="A503" t="s">
        <v>3739</v>
      </c>
      <c r="B503" t="s">
        <v>3733</v>
      </c>
      <c r="C503">
        <v>502</v>
      </c>
      <c r="E503">
        <v>0</v>
      </c>
      <c r="F503">
        <v>203</v>
      </c>
      <c r="G503">
        <v>197</v>
      </c>
      <c r="H503" t="s">
        <v>591</v>
      </c>
      <c r="I503" t="s">
        <v>591</v>
      </c>
      <c r="J503" t="s">
        <v>591</v>
      </c>
      <c r="K503" t="s">
        <v>591</v>
      </c>
      <c r="L503" t="s">
        <v>591</v>
      </c>
      <c r="P503">
        <v>0</v>
      </c>
      <c r="Q503">
        <v>50</v>
      </c>
    </row>
    <row r="504" spans="1:17" hidden="1" x14ac:dyDescent="0.25">
      <c r="A504" t="s">
        <v>3740</v>
      </c>
      <c r="B504" t="s">
        <v>3734</v>
      </c>
      <c r="C504">
        <v>503</v>
      </c>
      <c r="E504">
        <v>0</v>
      </c>
      <c r="F504">
        <v>204</v>
      </c>
      <c r="G504">
        <v>198</v>
      </c>
      <c r="H504" t="s">
        <v>591</v>
      </c>
      <c r="I504" t="s">
        <v>591</v>
      </c>
      <c r="J504" t="s">
        <v>591</v>
      </c>
      <c r="K504" t="s">
        <v>591</v>
      </c>
      <c r="L504" t="s">
        <v>591</v>
      </c>
      <c r="P504">
        <v>0</v>
      </c>
      <c r="Q504">
        <v>50</v>
      </c>
    </row>
  </sheetData>
  <autoFilter ref="A1:Q504" xr:uid="{3E20B2B2-E4BD-43D1-91F1-CAA26367D761}">
    <filterColumn colId="11">
      <filters>
        <filter val="Eton Manor AC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79998168889431442"/>
  </sheetPr>
  <dimension ref="A1:O28"/>
  <sheetViews>
    <sheetView showGridLines="0" topLeftCell="B1" zoomScaleNormal="100" workbookViewId="0">
      <selection activeCell="G7" sqref="G7"/>
    </sheetView>
  </sheetViews>
  <sheetFormatPr defaultColWidth="9" defaultRowHeight="15.75" x14ac:dyDescent="0.25"/>
  <cols>
    <col min="1" max="1" width="10.75" style="14" hidden="1" customWidth="1"/>
    <col min="2" max="2" width="25.375" style="14" customWidth="1"/>
    <col min="3" max="3" width="6" style="43" customWidth="1"/>
    <col min="4" max="4" width="24.5" style="14" customWidth="1"/>
    <col min="5" max="5" width="9" style="44"/>
    <col min="6" max="6" width="11" style="43" customWidth="1"/>
    <col min="7" max="7" width="9" style="14" customWidth="1"/>
    <col min="8" max="8" width="9" style="14" hidden="1" customWidth="1"/>
    <col min="9" max="9" width="13.5" style="14" customWidth="1"/>
    <col min="10" max="10" width="19.125" style="14" customWidth="1"/>
    <col min="11" max="11" width="15.25" style="14" customWidth="1"/>
    <col min="12" max="12" width="18.5" style="14" customWidth="1"/>
    <col min="13" max="13" width="23.375" style="14" customWidth="1"/>
    <col min="14" max="15" width="20.375" style="14" customWidth="1"/>
    <col min="16" max="16384" width="9" style="14"/>
  </cols>
  <sheetData>
    <row r="1" spans="1:15" ht="16.5" thickBot="1" x14ac:dyDescent="0.3">
      <c r="B1" s="104" t="s">
        <v>81</v>
      </c>
      <c r="C1" s="104" t="s">
        <v>0</v>
      </c>
      <c r="D1" s="104" t="s">
        <v>2</v>
      </c>
      <c r="E1" s="104" t="s">
        <v>4</v>
      </c>
      <c r="F1" s="105" t="s">
        <v>848</v>
      </c>
      <c r="G1" s="30"/>
      <c r="H1" s="103"/>
      <c r="I1" s="106" t="s">
        <v>79</v>
      </c>
      <c r="J1" s="69">
        <v>3</v>
      </c>
      <c r="K1" s="107" t="s">
        <v>80</v>
      </c>
      <c r="L1" s="107" t="s">
        <v>148</v>
      </c>
      <c r="M1" s="107" t="s">
        <v>149</v>
      </c>
      <c r="N1" s="107" t="s">
        <v>150</v>
      </c>
      <c r="O1" s="108" t="s">
        <v>151</v>
      </c>
    </row>
    <row r="2" spans="1:15" ht="16.5" thickBot="1" x14ac:dyDescent="0.3">
      <c r="B2" s="15"/>
      <c r="C2" s="16"/>
      <c r="D2" s="17"/>
      <c r="E2" s="18"/>
      <c r="F2" s="19"/>
      <c r="I2" s="20"/>
      <c r="J2" s="16"/>
      <c r="K2" s="17"/>
      <c r="L2" s="18"/>
      <c r="M2" s="45"/>
      <c r="N2" s="66"/>
      <c r="O2" s="46"/>
    </row>
    <row r="3" spans="1:15" x14ac:dyDescent="0.25">
      <c r="A3" s="14" t="s">
        <v>31</v>
      </c>
      <c r="B3" s="21" t="s">
        <v>25</v>
      </c>
      <c r="C3" s="22">
        <v>1</v>
      </c>
      <c r="D3" s="75" t="str">
        <f>IF(ISNA(VLOOKUP($A3,Sex,10,FALSE)),"",VLOOKUP($A3,Sex,10,FALSE))</f>
        <v>Euan Brown</v>
      </c>
      <c r="E3" s="23" t="str">
        <f>IF(ISNA(VLOOKUP($A3,Sex,24,FALSE)),"",VLOOKUP($A3,Sex,24,FALSE))</f>
        <v xml:space="preserve">   15.48 </v>
      </c>
      <c r="F3" s="24">
        <f>IF(ISNA(VLOOKUP($A3,Sex,2,FALSE)),"",VLOOKUP($A3,Sex,2,FALSE))</f>
        <v>1</v>
      </c>
      <c r="I3" s="25" t="s">
        <v>0</v>
      </c>
      <c r="J3" s="26" t="s">
        <v>3</v>
      </c>
      <c r="K3" s="27" t="s">
        <v>5</v>
      </c>
      <c r="L3" s="23"/>
      <c r="M3" s="23"/>
      <c r="N3" s="67"/>
      <c r="O3" s="68"/>
    </row>
    <row r="4" spans="1:15" x14ac:dyDescent="0.25">
      <c r="A4" s="14" t="s">
        <v>32</v>
      </c>
      <c r="B4" s="28"/>
      <c r="C4" s="29">
        <v>2</v>
      </c>
      <c r="D4" s="35" t="str">
        <f>IF(ISNA(VLOOKUP($A4,Sex,10,FALSE)),"",VLOOKUP($A4,Sex,10,FALSE))</f>
        <v>Crispian Bloomfield</v>
      </c>
      <c r="E4" s="31" t="str">
        <f>IF(ISNA(VLOOKUP($A4,Sex,24,FALSE)),"",VLOOKUP($A4,Sex,24,FALSE))</f>
        <v xml:space="preserve">   15.54 </v>
      </c>
      <c r="F4" s="32">
        <f>IF(ISNA(VLOOKUP($A4,Sex,2,FALSE)),"",VLOOKUP($A4,Sex,2,FALSE))</f>
        <v>2</v>
      </c>
      <c r="H4" s="14" t="s">
        <v>86</v>
      </c>
      <c r="I4" s="96">
        <v>1</v>
      </c>
      <c r="J4" s="88" t="str">
        <f t="shared" ref="J4:J13" si="0">IF(ISNA(VLOOKUP($H4,Team_Index,6,FALSE)),"",VLOOKUP($H4,Team_Index,6,FALSE))</f>
        <v>Ilford AC</v>
      </c>
      <c r="K4" s="88">
        <f t="shared" ref="K4:K13" si="1">IF(ISNA(VLOOKUP($H4,Team_Index,7,FALSE)),"",VLOOKUP($H4,Team_Index,7,FALSE))</f>
        <v>12</v>
      </c>
      <c r="L4" s="90" t="str">
        <f t="shared" ref="L4:L13" si="2">IF($J$1&gt;0,IF(ISNA(VLOOKUP($H4,Team_Index,12,FALSE)),"",VLOOKUP($H4,Team_Index,12,FALSE)),"")</f>
        <v>Alex Richards</v>
      </c>
      <c r="M4" s="90" t="str">
        <f t="shared" ref="M4:M13" si="3">IF($J$1&gt;1,IF(ISNA(VLOOKUP($H4,Team_Index,13,FALSE)),"",VLOOKUP($H4,Team_Index,13,FALSE)),"")</f>
        <v>Aaron Samuel</v>
      </c>
      <c r="N4" s="90" t="str">
        <f t="shared" ref="N4:N13" si="4">IF($J$1&gt;2,IF(ISNA(VLOOKUP($H4,Team_Index,14,FALSE)),"",VLOOKUP($H4,Team_Index,14,FALSE)),"")</f>
        <v>Amin Koikai</v>
      </c>
      <c r="O4" s="91" t="str">
        <f t="shared" ref="O4:O13" si="5">IF($J$1&gt;3,IF(ISNA(VLOOKUP($H4,Team_Index,15,FALSE)),"",VLOOKUP($H4,Team_Index,15,FALSE)),"")</f>
        <v/>
      </c>
    </row>
    <row r="5" spans="1:15" x14ac:dyDescent="0.25">
      <c r="A5" s="14" t="s">
        <v>33</v>
      </c>
      <c r="B5" s="28"/>
      <c r="C5" s="29">
        <v>3</v>
      </c>
      <c r="D5" s="30" t="str">
        <f>IF(ISNA(VLOOKUP($A5,Sex,10,FALSE)),"",VLOOKUP($A5,Sex,10,FALSE))</f>
        <v>Alex Richards</v>
      </c>
      <c r="E5" s="98" t="str">
        <f>IF(ISNA(VLOOKUP($A5,Sex,24,FALSE)),"",VLOOKUP($A5,Sex,24,FALSE))</f>
        <v xml:space="preserve">   16.04 </v>
      </c>
      <c r="F5" s="32">
        <f>IF(ISNA(VLOOKUP($A5,Sex,2,FALSE)),"",VLOOKUP($A5,Sex,2,FALSE))</f>
        <v>3</v>
      </c>
      <c r="H5" s="14" t="s">
        <v>87</v>
      </c>
      <c r="I5" s="96">
        <v>2</v>
      </c>
      <c r="J5" s="88" t="str">
        <f t="shared" si="0"/>
        <v>East London Runners</v>
      </c>
      <c r="K5" s="88">
        <f t="shared" si="1"/>
        <v>16</v>
      </c>
      <c r="L5" s="90" t="str">
        <f t="shared" si="2"/>
        <v>Euan Brown</v>
      </c>
      <c r="M5" s="90" t="str">
        <f t="shared" si="3"/>
        <v>Mark Boulton</v>
      </c>
      <c r="N5" s="90" t="str">
        <f t="shared" si="4"/>
        <v>Jose Rodriguez</v>
      </c>
      <c r="O5" s="92" t="str">
        <f t="shared" si="5"/>
        <v/>
      </c>
    </row>
    <row r="6" spans="1:15" x14ac:dyDescent="0.25">
      <c r="A6" s="14" t="s">
        <v>163</v>
      </c>
      <c r="B6" s="28" t="s">
        <v>16</v>
      </c>
      <c r="C6" s="29">
        <v>1</v>
      </c>
      <c r="D6" s="30" t="str">
        <f t="shared" ref="D6:D12" si="6">IF(ISNA(VLOOKUP($A6,Group,11,FALSE)),"",VLOOKUP($A6,Group,11,FALSE))</f>
        <v>Amin Koikai</v>
      </c>
      <c r="E6" s="31" t="str">
        <f t="shared" ref="E6:E12" si="7">IF(ISNA(VLOOKUP($A6,Group,25,FALSE)),"",VLOOKUP($A6,Group,25,FALSE))</f>
        <v xml:space="preserve">   16.31 </v>
      </c>
      <c r="F6" s="32">
        <f t="shared" ref="F6:F12" si="8">IF(ISNA(VLOOKUP($A6,Group,3,FALSE)),"",VLOOKUP($A6,Group,3,FALSE))</f>
        <v>5</v>
      </c>
      <c r="H6" s="14" t="s">
        <v>88</v>
      </c>
      <c r="I6" s="96">
        <v>3</v>
      </c>
      <c r="J6" s="88" t="str">
        <f t="shared" si="0"/>
        <v>Barking Road Runners</v>
      </c>
      <c r="K6" s="88">
        <f t="shared" si="1"/>
        <v>63</v>
      </c>
      <c r="L6" s="90" t="str">
        <f t="shared" si="2"/>
        <v>Liviu Ionita</v>
      </c>
      <c r="M6" s="90" t="str">
        <f t="shared" si="3"/>
        <v>Philip Ellul</v>
      </c>
      <c r="N6" s="90" t="str">
        <f t="shared" si="4"/>
        <v>Diarmuid Mac Donnell</v>
      </c>
      <c r="O6" s="91" t="str">
        <f t="shared" si="5"/>
        <v/>
      </c>
    </row>
    <row r="7" spans="1:15" x14ac:dyDescent="0.25">
      <c r="A7" s="14" t="s">
        <v>164</v>
      </c>
      <c r="B7" s="28" t="s">
        <v>17</v>
      </c>
      <c r="C7" s="29">
        <v>1</v>
      </c>
      <c r="D7" s="30" t="str">
        <f t="shared" si="6"/>
        <v>stephen philcox</v>
      </c>
      <c r="E7" s="31" t="str">
        <f t="shared" si="7"/>
        <v xml:space="preserve">   17.59 </v>
      </c>
      <c r="F7" s="32">
        <f t="shared" si="8"/>
        <v>21</v>
      </c>
      <c r="H7" s="14" t="s">
        <v>89</v>
      </c>
      <c r="I7" s="96">
        <v>4</v>
      </c>
      <c r="J7" s="88" t="str">
        <f t="shared" si="0"/>
        <v>Harold Wood Running Club</v>
      </c>
      <c r="K7" s="88">
        <f t="shared" si="1"/>
        <v>75</v>
      </c>
      <c r="L7" s="90" t="str">
        <f t="shared" si="2"/>
        <v>Adam Bartlett</v>
      </c>
      <c r="M7" s="90" t="str">
        <f t="shared" si="3"/>
        <v>Christopher King</v>
      </c>
      <c r="N7" s="90" t="str">
        <f t="shared" si="4"/>
        <v>James Coker</v>
      </c>
      <c r="O7" s="91" t="str">
        <f t="shared" si="5"/>
        <v/>
      </c>
    </row>
    <row r="8" spans="1:15" x14ac:dyDescent="0.25">
      <c r="A8" s="14" t="s">
        <v>165</v>
      </c>
      <c r="B8" s="33" t="s">
        <v>18</v>
      </c>
      <c r="C8" s="34">
        <v>1</v>
      </c>
      <c r="D8" s="30" t="str">
        <f t="shared" si="6"/>
        <v>Dave Cox</v>
      </c>
      <c r="E8" s="31" t="str">
        <f t="shared" si="7"/>
        <v xml:space="preserve">   19.08 </v>
      </c>
      <c r="F8" s="36">
        <f t="shared" si="8"/>
        <v>36</v>
      </c>
      <c r="H8" s="14" t="s">
        <v>90</v>
      </c>
      <c r="I8" s="96">
        <v>5</v>
      </c>
      <c r="J8" s="88" t="str">
        <f t="shared" si="0"/>
        <v>East End Road Runners</v>
      </c>
      <c r="K8" s="88">
        <f>IF(ISNA(VLOOKUP($H8,Team_Index,7,FALSE)),"",VLOOKUP($H8,Team_Index,7,FALSE))</f>
        <v>75</v>
      </c>
      <c r="L8" s="90" t="str">
        <f t="shared" si="2"/>
        <v>Jimmi Lee</v>
      </c>
      <c r="M8" s="90" t="str">
        <f t="shared" si="3"/>
        <v>Simon Leung-Chester</v>
      </c>
      <c r="N8" s="90" t="str">
        <f t="shared" si="4"/>
        <v>Rodney Baldwin</v>
      </c>
      <c r="O8" s="91" t="str">
        <f t="shared" si="5"/>
        <v/>
      </c>
    </row>
    <row r="9" spans="1:15" x14ac:dyDescent="0.25">
      <c r="A9" s="14" t="s">
        <v>2120</v>
      </c>
      <c r="B9" s="33" t="s">
        <v>2122</v>
      </c>
      <c r="C9" s="34">
        <v>1</v>
      </c>
      <c r="D9" s="30" t="str">
        <f t="shared" si="6"/>
        <v>Roger Green</v>
      </c>
      <c r="E9" s="31" t="str">
        <f t="shared" si="7"/>
        <v xml:space="preserve">   22.29 </v>
      </c>
      <c r="F9" s="36">
        <f t="shared" si="8"/>
        <v>124</v>
      </c>
      <c r="H9" s="14" t="s">
        <v>91</v>
      </c>
      <c r="I9" s="96">
        <v>6</v>
      </c>
      <c r="J9" s="88" t="str">
        <f t="shared" si="0"/>
        <v>Eton Manor AC</v>
      </c>
      <c r="K9" s="88">
        <f t="shared" si="1"/>
        <v>102</v>
      </c>
      <c r="L9" s="90" t="str">
        <f t="shared" si="2"/>
        <v>Paul Boddey</v>
      </c>
      <c r="M9" s="90" t="str">
        <f t="shared" si="3"/>
        <v>George Fernandez</v>
      </c>
      <c r="N9" s="90" t="str">
        <f t="shared" si="4"/>
        <v>david cato</v>
      </c>
      <c r="O9" s="91" t="str">
        <f t="shared" si="5"/>
        <v/>
      </c>
    </row>
    <row r="10" spans="1:15" x14ac:dyDescent="0.25">
      <c r="A10" s="14" t="s">
        <v>70</v>
      </c>
      <c r="B10" s="33" t="s">
        <v>137</v>
      </c>
      <c r="C10" s="34">
        <v>1</v>
      </c>
      <c r="D10" s="30" t="str">
        <f t="shared" si="6"/>
        <v/>
      </c>
      <c r="E10" s="31" t="str">
        <f t="shared" si="7"/>
        <v/>
      </c>
      <c r="F10" s="36" t="str">
        <f t="shared" si="8"/>
        <v/>
      </c>
      <c r="H10" s="14" t="s">
        <v>92</v>
      </c>
      <c r="I10" s="96">
        <v>7</v>
      </c>
      <c r="J10" s="88" t="str">
        <f t="shared" si="0"/>
        <v>Orion Harriers</v>
      </c>
      <c r="K10" s="88">
        <f t="shared" si="1"/>
        <v>123</v>
      </c>
      <c r="L10" s="90" t="str">
        <f t="shared" si="2"/>
        <v>Bob Glasgow</v>
      </c>
      <c r="M10" s="90" t="str">
        <f t="shared" si="3"/>
        <v>Martin Reynolds</v>
      </c>
      <c r="N10" s="90" t="str">
        <f t="shared" si="4"/>
        <v>Dan Green</v>
      </c>
      <c r="O10" s="91" t="str">
        <f t="shared" si="5"/>
        <v/>
      </c>
    </row>
    <row r="11" spans="1:15" x14ac:dyDescent="0.25">
      <c r="A11" s="14" t="s">
        <v>69</v>
      </c>
      <c r="B11" s="33" t="s">
        <v>138</v>
      </c>
      <c r="C11" s="29">
        <v>1</v>
      </c>
      <c r="D11" s="30" t="str">
        <f t="shared" si="6"/>
        <v/>
      </c>
      <c r="E11" s="31" t="str">
        <f t="shared" si="7"/>
        <v/>
      </c>
      <c r="F11" s="32" t="str">
        <f t="shared" si="8"/>
        <v/>
      </c>
      <c r="H11" s="14" t="s">
        <v>93</v>
      </c>
      <c r="I11" s="96">
        <v>8</v>
      </c>
      <c r="J11" s="88" t="str">
        <f t="shared" si="0"/>
        <v>Havering 90 Joggers</v>
      </c>
      <c r="K11" s="88">
        <f t="shared" si="1"/>
        <v>189</v>
      </c>
      <c r="L11" s="90" t="str">
        <f t="shared" si="2"/>
        <v>Gary Flint</v>
      </c>
      <c r="M11" s="90" t="str">
        <f t="shared" si="3"/>
        <v>TONY COLLINS</v>
      </c>
      <c r="N11" s="90" t="str">
        <f t="shared" si="4"/>
        <v>Neill Collins</v>
      </c>
      <c r="O11" s="91" t="str">
        <f t="shared" si="5"/>
        <v/>
      </c>
    </row>
    <row r="12" spans="1:15" ht="16.5" thickBot="1" x14ac:dyDescent="0.3">
      <c r="A12" s="14" t="s">
        <v>73</v>
      </c>
      <c r="B12" s="37" t="s">
        <v>139</v>
      </c>
      <c r="C12" s="38">
        <v>1</v>
      </c>
      <c r="D12" s="83" t="str">
        <f t="shared" si="6"/>
        <v/>
      </c>
      <c r="E12" s="41" t="str">
        <f t="shared" si="7"/>
        <v/>
      </c>
      <c r="F12" s="39" t="str">
        <f t="shared" si="8"/>
        <v/>
      </c>
      <c r="H12" s="14" t="s">
        <v>94</v>
      </c>
      <c r="I12" s="96">
        <v>9</v>
      </c>
      <c r="J12" s="88" t="str">
        <f t="shared" si="0"/>
        <v>Unattached</v>
      </c>
      <c r="K12" s="88">
        <f t="shared" si="1"/>
        <v>189</v>
      </c>
      <c r="L12" s="90" t="str">
        <f t="shared" si="2"/>
        <v>Phil Enright</v>
      </c>
      <c r="M12" s="90" t="str">
        <f t="shared" si="3"/>
        <v>Radoslaw Michalczuk</v>
      </c>
      <c r="N12" s="90" t="str">
        <f t="shared" si="4"/>
        <v>Lee Patten</v>
      </c>
      <c r="O12" s="91" t="str">
        <f t="shared" si="5"/>
        <v/>
      </c>
    </row>
    <row r="13" spans="1:15" ht="16.5" thickBot="1" x14ac:dyDescent="0.3">
      <c r="B13" s="15"/>
      <c r="C13" s="16"/>
      <c r="D13" s="17"/>
      <c r="E13" s="18"/>
      <c r="F13" s="19"/>
      <c r="H13" s="14" t="s">
        <v>95</v>
      </c>
      <c r="I13" s="97">
        <v>10</v>
      </c>
      <c r="J13" s="89" t="str">
        <f t="shared" si="0"/>
        <v>Dagenham 88 Runners</v>
      </c>
      <c r="K13" s="89">
        <f t="shared" si="1"/>
        <v>218</v>
      </c>
      <c r="L13" s="93" t="str">
        <f t="shared" si="2"/>
        <v>Peter Salmon</v>
      </c>
      <c r="M13" s="93" t="str">
        <f t="shared" si="3"/>
        <v>Jeff Webster</v>
      </c>
      <c r="N13" s="93" t="str">
        <f t="shared" si="4"/>
        <v>Jamie Austin</v>
      </c>
      <c r="O13" s="94" t="str">
        <f t="shared" si="5"/>
        <v/>
      </c>
    </row>
    <row r="14" spans="1:15" x14ac:dyDescent="0.25">
      <c r="A14" s="14" t="s">
        <v>34</v>
      </c>
      <c r="B14" s="21" t="s">
        <v>26</v>
      </c>
      <c r="C14" s="22">
        <v>1</v>
      </c>
      <c r="D14" s="75" t="str">
        <f>IF(ISNA(VLOOKUP($A14,Sex,10,FALSE)),"",VLOOKUP($A14,Sex,10,FALSE))</f>
        <v>Gemma Kersey</v>
      </c>
      <c r="E14" s="23" t="str">
        <f>IF(ISNA(VLOOKUP($A14,Sex,24,FALSE)),"",VLOOKUP($A14,Sex,24,FALSE))</f>
        <v xml:space="preserve">   17.38 </v>
      </c>
      <c r="F14" s="24">
        <f>IF(ISNA(VLOOKUP($A14,Sex,2,FALSE)),"",VLOOKUP($A14,Sex,2,FALSE))</f>
        <v>10</v>
      </c>
      <c r="I14" s="42"/>
    </row>
    <row r="15" spans="1:15" ht="16.5" thickBot="1" x14ac:dyDescent="0.3">
      <c r="A15" s="14" t="s">
        <v>35</v>
      </c>
      <c r="B15" s="28"/>
      <c r="C15" s="29">
        <v>2</v>
      </c>
      <c r="D15" s="35" t="str">
        <f>IF(ISNA(VLOOKUP($A15,Sex,10,FALSE)),"",VLOOKUP($A15,Sex,10,FALSE))</f>
        <v xml:space="preserve">Emily Bullis	</v>
      </c>
      <c r="E15" s="31" t="str">
        <f>IF(ISNA(VLOOKUP($A15,Sex,24,FALSE)),"",VLOOKUP($A15,Sex,24,FALSE))</f>
        <v xml:space="preserve">   18.41 </v>
      </c>
      <c r="F15" s="32">
        <f>IF(ISNA(VLOOKUP($A15,Sex,2,FALSE)),"",VLOOKUP($A15,Sex,2,FALSE))</f>
        <v>29</v>
      </c>
    </row>
    <row r="16" spans="1:15" ht="16.5" thickBot="1" x14ac:dyDescent="0.3">
      <c r="A16" s="14" t="s">
        <v>36</v>
      </c>
      <c r="B16" s="28"/>
      <c r="C16" s="29">
        <v>3</v>
      </c>
      <c r="D16" s="30" t="str">
        <f>IF(ISNA(VLOOKUP($A16,Sex,10,FALSE)),"",VLOOKUP($A16,Sex,10,FALSE))</f>
        <v>Zoila Gilham-Fernandez</v>
      </c>
      <c r="E16" s="98" t="str">
        <f>IF(ISNA(VLOOKUP($A16,Sex,24,FALSE)),"",VLOOKUP($A16,Sex,24,FALSE))</f>
        <v xml:space="preserve">   20.03 </v>
      </c>
      <c r="F16" s="32">
        <f>IF(ISNA(VLOOKUP($A16,Sex,2,FALSE)),"",VLOOKUP($A16,Sex,2,FALSE))</f>
        <v>58</v>
      </c>
      <c r="I16" s="109" t="s">
        <v>84</v>
      </c>
      <c r="J16" s="111">
        <v>3</v>
      </c>
      <c r="K16" s="112" t="s">
        <v>80</v>
      </c>
      <c r="L16" s="113" t="s">
        <v>148</v>
      </c>
      <c r="M16" s="113" t="s">
        <v>149</v>
      </c>
      <c r="N16" s="113" t="s">
        <v>150</v>
      </c>
      <c r="O16" s="110" t="s">
        <v>151</v>
      </c>
    </row>
    <row r="17" spans="1:15" ht="16.5" thickBot="1" x14ac:dyDescent="0.3">
      <c r="A17" s="14" t="s">
        <v>166</v>
      </c>
      <c r="B17" s="28" t="s">
        <v>19</v>
      </c>
      <c r="C17" s="29">
        <v>1</v>
      </c>
      <c r="D17" s="30" t="str">
        <f t="shared" ref="D17:D23" si="9">IF(ISNA(VLOOKUP($A17,Group,11,FALSE)),"",VLOOKUP($A17,Group,11,FALSE))</f>
        <v>Jennifer Heymann</v>
      </c>
      <c r="E17" s="31" t="str">
        <f t="shared" ref="E17:E23" si="10">IF(ISNA(VLOOKUP($A17,Group,25,FALSE)),"",VLOOKUP($A17,Group,25,FALSE))</f>
        <v xml:space="preserve">   20.38 </v>
      </c>
      <c r="F17" s="32">
        <f t="shared" ref="F17:F23" si="11">IF(ISNA(VLOOKUP($A17,Group,3,FALSE)),"",VLOOKUP($A17,Group,3,FALSE))</f>
        <v>73</v>
      </c>
      <c r="I17" s="20"/>
      <c r="J17" s="16"/>
      <c r="K17" s="17"/>
      <c r="L17" s="18"/>
      <c r="M17" s="18"/>
      <c r="N17" s="40"/>
      <c r="O17" s="68"/>
    </row>
    <row r="18" spans="1:15" ht="15.75" customHeight="1" x14ac:dyDescent="0.25">
      <c r="A18" s="14" t="s">
        <v>167</v>
      </c>
      <c r="B18" s="28" t="s">
        <v>20</v>
      </c>
      <c r="C18" s="29">
        <v>1</v>
      </c>
      <c r="D18" s="30" t="str">
        <f t="shared" si="9"/>
        <v>Linda Day</v>
      </c>
      <c r="E18" s="31" t="str">
        <f t="shared" si="10"/>
        <v xml:space="preserve">   21.55 </v>
      </c>
      <c r="F18" s="32">
        <f t="shared" si="11"/>
        <v>108</v>
      </c>
      <c r="I18" s="25" t="s">
        <v>0</v>
      </c>
      <c r="J18" s="26" t="s">
        <v>3</v>
      </c>
      <c r="K18" s="27" t="s">
        <v>5</v>
      </c>
      <c r="L18" s="23"/>
      <c r="M18" s="23"/>
      <c r="N18" s="67"/>
      <c r="O18" s="24"/>
    </row>
    <row r="19" spans="1:15" x14ac:dyDescent="0.25">
      <c r="A19" s="14" t="s">
        <v>168</v>
      </c>
      <c r="B19" s="28" t="s">
        <v>21</v>
      </c>
      <c r="C19" s="29">
        <v>1</v>
      </c>
      <c r="D19" s="30" t="str">
        <f t="shared" si="9"/>
        <v>Breege Nordin</v>
      </c>
      <c r="E19" s="31" t="str">
        <f t="shared" si="10"/>
        <v xml:space="preserve">   21.39 </v>
      </c>
      <c r="F19" s="32">
        <f t="shared" si="11"/>
        <v>98</v>
      </c>
      <c r="H19" s="14" t="s">
        <v>96</v>
      </c>
      <c r="I19" s="96">
        <v>1</v>
      </c>
      <c r="J19" s="88" t="str">
        <f t="shared" ref="J19:J28" si="12">IF(ISNA(VLOOKUP($H19,Team_Index,6,FALSE)),"",VLOOKUP($H19,Team_Index,6,FALSE))</f>
        <v>east london runners</v>
      </c>
      <c r="K19" s="88">
        <f t="shared" ref="K19:K28" si="13">IF(ISNA(VLOOKUP($H19,Team_Index,8,FALSE)),"",VLOOKUP($H19,Team_Index,8,FALSE))</f>
        <v>14</v>
      </c>
      <c r="L19" s="90" t="str">
        <f t="shared" ref="L19:L28" si="14">IF($J$16&gt;0,IF(ISNA(VLOOKUP($H19,Team_Index,12,FALSE)),"",VLOOKUP($H19,Team_Index,12,FALSE)),"")</f>
        <v>Zoila Gilham-Fernandez</v>
      </c>
      <c r="M19" s="90" t="str">
        <f t="shared" ref="M19:M28" si="15">IF($J$16&gt;1,IF(ISNA(VLOOKUP($H19,Team_Index,13,FALSE)),"",VLOOKUP($H19,Team_Index,13,FALSE)),"")</f>
        <v>Caroline Frith</v>
      </c>
      <c r="N19" s="95" t="str">
        <f t="shared" ref="N19:N28" si="16">IF($J$16&gt;2,IF(ISNA(VLOOKUP($H19,Team_Index,14,FALSE)),"",VLOOKUP($H19,Team_Index,14,FALSE)),"")</f>
        <v>emily clarke</v>
      </c>
      <c r="O19" s="91" t="str">
        <f t="shared" ref="O19:O28" si="17">IF($J$16&gt;3,IF(ISNA(VLOOKUP($H19,Team_Index,15,FALSE)),"",VLOOKUP($H19,Team_Index,15,FALSE)),"")</f>
        <v/>
      </c>
    </row>
    <row r="20" spans="1:15" x14ac:dyDescent="0.25">
      <c r="A20" s="14" t="s">
        <v>2121</v>
      </c>
      <c r="B20" s="28" t="s">
        <v>2123</v>
      </c>
      <c r="C20" s="29">
        <v>1</v>
      </c>
      <c r="D20" s="30" t="str">
        <f t="shared" si="9"/>
        <v>Selon Timi Veerasamy</v>
      </c>
      <c r="E20" s="31" t="str">
        <f t="shared" si="10"/>
        <v xml:space="preserve">   28.29 </v>
      </c>
      <c r="F20" s="32">
        <f t="shared" si="11"/>
        <v>241</v>
      </c>
      <c r="H20" s="14" t="s">
        <v>97</v>
      </c>
      <c r="I20" s="96">
        <v>2</v>
      </c>
      <c r="J20" s="88" t="str">
        <f t="shared" si="12"/>
        <v>Ilford AC</v>
      </c>
      <c r="K20" s="88">
        <f t="shared" si="13"/>
        <v>30</v>
      </c>
      <c r="L20" s="90" t="str">
        <f t="shared" si="14"/>
        <v>Breege Nordin</v>
      </c>
      <c r="M20" s="90" t="str">
        <f t="shared" si="15"/>
        <v>Carlie Qirem</v>
      </c>
      <c r="N20" s="90" t="str">
        <f t="shared" si="16"/>
        <v>Jenni Sheehan</v>
      </c>
      <c r="O20" s="92" t="str">
        <f t="shared" si="17"/>
        <v/>
      </c>
    </row>
    <row r="21" spans="1:15" x14ac:dyDescent="0.25">
      <c r="A21" s="14" t="s">
        <v>71</v>
      </c>
      <c r="B21" s="33" t="s">
        <v>140</v>
      </c>
      <c r="C21" s="16">
        <v>1</v>
      </c>
      <c r="D21" s="30" t="str">
        <f t="shared" si="9"/>
        <v/>
      </c>
      <c r="E21" s="31" t="str">
        <f t="shared" si="10"/>
        <v/>
      </c>
      <c r="F21" s="19" t="str">
        <f t="shared" si="11"/>
        <v/>
      </c>
      <c r="H21" s="14" t="s">
        <v>98</v>
      </c>
      <c r="I21" s="96">
        <v>3</v>
      </c>
      <c r="J21" s="88" t="str">
        <f t="shared" si="12"/>
        <v>Eton Manor AC</v>
      </c>
      <c r="K21" s="88">
        <f t="shared" si="13"/>
        <v>33</v>
      </c>
      <c r="L21" s="90" t="str">
        <f t="shared" si="14"/>
        <v>Jennifer Heymann</v>
      </c>
      <c r="M21" s="90" t="str">
        <f t="shared" si="15"/>
        <v>Kate Malcolm</v>
      </c>
      <c r="N21" s="90" t="str">
        <f t="shared" si="16"/>
        <v>Gail Hennessy</v>
      </c>
      <c r="O21" s="92" t="str">
        <f t="shared" si="17"/>
        <v/>
      </c>
    </row>
    <row r="22" spans="1:15" x14ac:dyDescent="0.25">
      <c r="A22" s="14" t="s">
        <v>72</v>
      </c>
      <c r="B22" s="33" t="s">
        <v>141</v>
      </c>
      <c r="C22" s="29">
        <v>1</v>
      </c>
      <c r="D22" s="30" t="str">
        <f t="shared" si="9"/>
        <v/>
      </c>
      <c r="E22" s="31" t="str">
        <f t="shared" si="10"/>
        <v/>
      </c>
      <c r="F22" s="32" t="str">
        <f t="shared" si="11"/>
        <v/>
      </c>
      <c r="H22" s="14" t="s">
        <v>99</v>
      </c>
      <c r="I22" s="96">
        <v>4</v>
      </c>
      <c r="J22" s="88" t="str">
        <f t="shared" si="12"/>
        <v>Orion Harriers</v>
      </c>
      <c r="K22" s="88">
        <f t="shared" si="13"/>
        <v>36</v>
      </c>
      <c r="L22" s="90" t="str">
        <f t="shared" si="14"/>
        <v>Alison Taylor</v>
      </c>
      <c r="M22" s="90" t="str">
        <f t="shared" si="15"/>
        <v>Christine Inch</v>
      </c>
      <c r="N22" s="90" t="str">
        <f t="shared" si="16"/>
        <v>Mary Armitage</v>
      </c>
      <c r="O22" s="92" t="str">
        <f t="shared" si="17"/>
        <v/>
      </c>
    </row>
    <row r="23" spans="1:15" ht="16.5" thickBot="1" x14ac:dyDescent="0.3">
      <c r="A23" s="42" t="s">
        <v>74</v>
      </c>
      <c r="B23" s="37" t="s">
        <v>142</v>
      </c>
      <c r="C23" s="38">
        <v>1</v>
      </c>
      <c r="D23" s="40" t="str">
        <f t="shared" si="9"/>
        <v/>
      </c>
      <c r="E23" s="41" t="str">
        <f t="shared" si="10"/>
        <v/>
      </c>
      <c r="F23" s="82" t="str">
        <f t="shared" si="11"/>
        <v/>
      </c>
      <c r="H23" s="14" t="s">
        <v>100</v>
      </c>
      <c r="I23" s="96">
        <v>5</v>
      </c>
      <c r="J23" s="88" t="str">
        <f t="shared" si="12"/>
        <v>Harold Wood Running Club</v>
      </c>
      <c r="K23" s="88">
        <f t="shared" si="13"/>
        <v>46</v>
      </c>
      <c r="L23" s="90" t="str">
        <f t="shared" si="14"/>
        <v>Linda Day</v>
      </c>
      <c r="M23" s="90" t="str">
        <f t="shared" si="15"/>
        <v>Rosie Hatch</v>
      </c>
      <c r="N23" s="90" t="str">
        <f t="shared" si="16"/>
        <v>Ruth Quince</v>
      </c>
      <c r="O23" s="92" t="str">
        <f t="shared" si="17"/>
        <v/>
      </c>
    </row>
    <row r="24" spans="1:15" x14ac:dyDescent="0.25">
      <c r="H24" s="14" t="s">
        <v>101</v>
      </c>
      <c r="I24" s="96">
        <v>6</v>
      </c>
      <c r="J24" s="88" t="str">
        <f t="shared" si="12"/>
        <v>Barking Road Runners</v>
      </c>
      <c r="K24" s="88">
        <f t="shared" si="13"/>
        <v>80</v>
      </c>
      <c r="L24" s="90" t="str">
        <f t="shared" si="14"/>
        <v>Amanda Heslegrave</v>
      </c>
      <c r="M24" s="90" t="str">
        <f t="shared" si="15"/>
        <v>Sally Bridge</v>
      </c>
      <c r="N24" s="90" t="str">
        <f t="shared" si="16"/>
        <v>Faye Spooner</v>
      </c>
      <c r="O24" s="92" t="str">
        <f t="shared" si="17"/>
        <v/>
      </c>
    </row>
    <row r="25" spans="1:15" x14ac:dyDescent="0.25">
      <c r="H25" s="14" t="s">
        <v>102</v>
      </c>
      <c r="I25" s="96">
        <v>7</v>
      </c>
      <c r="J25" s="88" t="str">
        <f t="shared" si="12"/>
        <v>East End Road Runners</v>
      </c>
      <c r="K25" s="88">
        <f t="shared" si="13"/>
        <v>91</v>
      </c>
      <c r="L25" s="90" t="str">
        <f t="shared" si="14"/>
        <v>Megan Davies</v>
      </c>
      <c r="M25" s="90" t="str">
        <f t="shared" si="15"/>
        <v>Sarah Bemand</v>
      </c>
      <c r="N25" s="90" t="str">
        <f t="shared" si="16"/>
        <v>Catherine Jane Apps</v>
      </c>
      <c r="O25" s="92" t="str">
        <f t="shared" si="17"/>
        <v/>
      </c>
    </row>
    <row r="26" spans="1:15" x14ac:dyDescent="0.25">
      <c r="H26" s="14" t="s">
        <v>103</v>
      </c>
      <c r="I26" s="96">
        <v>8</v>
      </c>
      <c r="J26" s="88" t="str">
        <f t="shared" si="12"/>
        <v>Dagenham 88 Runners</v>
      </c>
      <c r="K26" s="88">
        <f t="shared" si="13"/>
        <v>137</v>
      </c>
      <c r="L26" s="90" t="str">
        <f t="shared" si="14"/>
        <v>Hannah Sheikh</v>
      </c>
      <c r="M26" s="90" t="str">
        <f t="shared" si="15"/>
        <v>Louise Chappell</v>
      </c>
      <c r="N26" s="90" t="str">
        <f t="shared" si="16"/>
        <v>Rosina Salmon</v>
      </c>
      <c r="O26" s="92" t="str">
        <f t="shared" si="17"/>
        <v/>
      </c>
    </row>
    <row r="27" spans="1:15" x14ac:dyDescent="0.25">
      <c r="H27" s="14" t="s">
        <v>104</v>
      </c>
      <c r="I27" s="96">
        <v>9</v>
      </c>
      <c r="J27" s="88" t="str">
        <f t="shared" si="12"/>
        <v>Havering 90 Joggers</v>
      </c>
      <c r="K27" s="88">
        <f t="shared" si="13"/>
        <v>144</v>
      </c>
      <c r="L27" s="90" t="str">
        <f t="shared" si="14"/>
        <v>Kate Pettit</v>
      </c>
      <c r="M27" s="90" t="str">
        <f t="shared" si="15"/>
        <v>Emma Bolton</v>
      </c>
      <c r="N27" s="90" t="str">
        <f t="shared" si="16"/>
        <v>Amanda Keasley</v>
      </c>
      <c r="O27" s="92" t="str">
        <f t="shared" si="17"/>
        <v/>
      </c>
    </row>
    <row r="28" spans="1:15" ht="16.5" thickBot="1" x14ac:dyDescent="0.3">
      <c r="H28" s="14" t="s">
        <v>105</v>
      </c>
      <c r="I28" s="97">
        <v>10</v>
      </c>
      <c r="J28" s="89" t="str">
        <f t="shared" si="12"/>
        <v/>
      </c>
      <c r="K28" s="89" t="str">
        <f t="shared" si="13"/>
        <v/>
      </c>
      <c r="L28" s="93" t="str">
        <f t="shared" si="14"/>
        <v/>
      </c>
      <c r="M28" s="93" t="str">
        <f t="shared" si="15"/>
        <v/>
      </c>
      <c r="N28" s="93" t="str">
        <f t="shared" si="16"/>
        <v/>
      </c>
      <c r="O28" s="94" t="str">
        <f t="shared" si="17"/>
        <v/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 filterMode="1">
    <tabColor theme="4" tint="0.79998168889431442"/>
  </sheetPr>
  <dimension ref="A1:G156"/>
  <sheetViews>
    <sheetView workbookViewId="0"/>
  </sheetViews>
  <sheetFormatPr defaultRowHeight="15.75" x14ac:dyDescent="0.25"/>
  <cols>
    <col min="1" max="1" width="7.125" customWidth="1"/>
    <col min="2" max="2" width="9.25" customWidth="1"/>
    <col min="3" max="3" width="20.625" customWidth="1"/>
    <col min="4" max="4" width="9.375" style="72" customWidth="1"/>
    <col min="5" max="5" width="20" customWidth="1"/>
    <col min="6" max="6" width="11.625" customWidth="1"/>
    <col min="7" max="7" width="12.5" customWidth="1"/>
  </cols>
  <sheetData>
    <row r="1" spans="1:7" x14ac:dyDescent="0.25">
      <c r="A1" s="114" t="s">
        <v>2727</v>
      </c>
      <c r="B1" s="114"/>
      <c r="C1" s="114"/>
      <c r="D1" s="117"/>
      <c r="E1" s="114"/>
      <c r="F1" s="114"/>
      <c r="G1" s="114"/>
    </row>
    <row r="2" spans="1:7" x14ac:dyDescent="0.25">
      <c r="A2" s="114" t="s">
        <v>0</v>
      </c>
      <c r="B2" s="114" t="s">
        <v>849</v>
      </c>
      <c r="C2" s="114" t="s">
        <v>2</v>
      </c>
      <c r="D2" s="117" t="s">
        <v>4</v>
      </c>
      <c r="E2" s="114" t="s">
        <v>153</v>
      </c>
      <c r="F2" s="114" t="s">
        <v>587</v>
      </c>
      <c r="G2" s="114" t="s">
        <v>850</v>
      </c>
    </row>
    <row r="3" spans="1:7" x14ac:dyDescent="0.25">
      <c r="A3" s="48"/>
      <c r="B3" s="48"/>
      <c r="C3" s="48"/>
      <c r="D3" s="70"/>
      <c r="E3" s="48"/>
      <c r="F3" s="48"/>
    </row>
    <row r="4" spans="1:7" x14ac:dyDescent="0.25">
      <c r="A4" s="48"/>
      <c r="B4" s="48"/>
      <c r="C4" s="48"/>
      <c r="D4" s="70"/>
      <c r="E4" s="48"/>
      <c r="F4" s="48"/>
    </row>
    <row r="5" spans="1:7" x14ac:dyDescent="0.25">
      <c r="A5" s="48"/>
      <c r="B5" s="48"/>
      <c r="C5" s="48"/>
      <c r="D5" s="70"/>
      <c r="E5" s="48"/>
      <c r="F5" s="48"/>
    </row>
    <row r="6" spans="1:7" x14ac:dyDescent="0.25">
      <c r="A6" s="48"/>
      <c r="B6" s="48"/>
      <c r="C6" s="48"/>
      <c r="D6" s="70"/>
      <c r="E6" s="48"/>
      <c r="F6" s="48"/>
    </row>
    <row r="7" spans="1:7" x14ac:dyDescent="0.25">
      <c r="A7" s="48"/>
      <c r="B7" s="48"/>
      <c r="C7" s="48"/>
      <c r="D7" s="70"/>
      <c r="E7" s="48"/>
      <c r="F7" s="48"/>
    </row>
    <row r="8" spans="1:7" x14ac:dyDescent="0.25">
      <c r="A8" s="48"/>
      <c r="B8" s="48"/>
      <c r="C8" s="48"/>
      <c r="D8" s="70"/>
      <c r="E8" s="48"/>
      <c r="F8" s="48"/>
    </row>
    <row r="9" spans="1:7" x14ac:dyDescent="0.25">
      <c r="A9" s="48"/>
      <c r="B9" s="48"/>
      <c r="C9" s="48"/>
      <c r="D9" s="70"/>
      <c r="E9" s="48"/>
      <c r="F9" s="48"/>
    </row>
    <row r="10" spans="1:7" x14ac:dyDescent="0.25">
      <c r="A10" s="48"/>
      <c r="B10" s="48"/>
      <c r="C10" s="48"/>
      <c r="D10" s="70"/>
      <c r="E10" s="48"/>
      <c r="F10" s="48"/>
    </row>
    <row r="11" spans="1:7" x14ac:dyDescent="0.25">
      <c r="A11" s="48"/>
      <c r="B11" s="48"/>
      <c r="C11" s="48"/>
      <c r="D11" s="70"/>
      <c r="E11" s="48"/>
      <c r="F11" s="48"/>
    </row>
    <row r="12" spans="1:7" x14ac:dyDescent="0.25">
      <c r="A12" s="48"/>
      <c r="B12" s="48"/>
      <c r="C12" s="48"/>
      <c r="D12" s="70"/>
      <c r="E12" s="48"/>
      <c r="F12" s="48"/>
    </row>
    <row r="13" spans="1:7" x14ac:dyDescent="0.25">
      <c r="A13" s="48"/>
      <c r="B13" s="48"/>
      <c r="C13" s="48"/>
      <c r="D13" s="70"/>
      <c r="E13" s="48"/>
      <c r="F13" s="48"/>
    </row>
    <row r="14" spans="1:7" x14ac:dyDescent="0.25">
      <c r="A14" s="48"/>
      <c r="B14" s="48"/>
      <c r="C14" s="48"/>
      <c r="D14" s="70"/>
      <c r="E14" s="48"/>
      <c r="F14" s="48"/>
    </row>
    <row r="15" spans="1:7" x14ac:dyDescent="0.25">
      <c r="A15" s="48"/>
      <c r="B15" s="48"/>
      <c r="C15" s="48"/>
      <c r="D15" s="70"/>
      <c r="E15" s="48"/>
      <c r="F15" s="48"/>
    </row>
    <row r="16" spans="1:7" x14ac:dyDescent="0.25">
      <c r="A16" s="48"/>
      <c r="B16" s="48"/>
      <c r="C16" s="48"/>
      <c r="D16" s="70"/>
      <c r="E16" s="48"/>
      <c r="F16" s="48"/>
    </row>
    <row r="17" spans="1:6" x14ac:dyDescent="0.25">
      <c r="A17" s="48"/>
      <c r="B17" s="48"/>
      <c r="C17" s="48"/>
      <c r="D17" s="70"/>
      <c r="E17" s="48"/>
      <c r="F17" s="48"/>
    </row>
    <row r="18" spans="1:6" x14ac:dyDescent="0.25">
      <c r="A18" s="48"/>
      <c r="B18" s="48"/>
      <c r="C18" s="48"/>
      <c r="D18" s="70"/>
      <c r="E18" s="48"/>
      <c r="F18" s="48"/>
    </row>
    <row r="19" spans="1:6" x14ac:dyDescent="0.25">
      <c r="A19" s="48"/>
      <c r="B19" s="48"/>
      <c r="C19" s="48"/>
      <c r="D19" s="70"/>
      <c r="E19" s="48"/>
      <c r="F19" s="48"/>
    </row>
    <row r="20" spans="1:6" x14ac:dyDescent="0.25">
      <c r="A20" s="48"/>
      <c r="B20" s="48"/>
      <c r="C20" s="48"/>
      <c r="D20" s="70"/>
      <c r="E20" s="48"/>
      <c r="F20" s="48"/>
    </row>
    <row r="21" spans="1:6" x14ac:dyDescent="0.25">
      <c r="A21" s="48"/>
      <c r="B21" s="48"/>
      <c r="C21" s="48"/>
      <c r="D21" s="70"/>
      <c r="E21" s="48"/>
      <c r="F21" s="48"/>
    </row>
    <row r="22" spans="1:6" x14ac:dyDescent="0.25">
      <c r="A22" s="48"/>
      <c r="B22" s="48"/>
      <c r="C22" s="48"/>
      <c r="D22" s="70"/>
      <c r="E22" s="48"/>
      <c r="F22" s="48"/>
    </row>
    <row r="23" spans="1:6" x14ac:dyDescent="0.25">
      <c r="A23" s="48"/>
      <c r="B23" s="48"/>
      <c r="C23" s="48"/>
      <c r="D23" s="70"/>
      <c r="E23" s="48"/>
      <c r="F23" s="48"/>
    </row>
    <row r="24" spans="1:6" x14ac:dyDescent="0.25">
      <c r="A24" s="48"/>
      <c r="B24" s="48"/>
      <c r="C24" s="48"/>
      <c r="D24" s="70"/>
      <c r="E24" s="48"/>
      <c r="F24" s="48"/>
    </row>
    <row r="25" spans="1:6" x14ac:dyDescent="0.25">
      <c r="A25" s="48"/>
      <c r="B25" s="48"/>
      <c r="C25" s="48"/>
      <c r="D25" s="70"/>
      <c r="E25" s="48"/>
      <c r="F25" s="48"/>
    </row>
    <row r="26" spans="1:6" x14ac:dyDescent="0.25">
      <c r="A26" s="48"/>
      <c r="B26" s="48"/>
      <c r="C26" s="48"/>
      <c r="D26" s="70"/>
      <c r="E26" s="48"/>
      <c r="F26" s="48"/>
    </row>
    <row r="27" spans="1:6" x14ac:dyDescent="0.25">
      <c r="A27" s="48"/>
      <c r="B27" s="48"/>
      <c r="C27" s="48"/>
      <c r="D27" s="70"/>
      <c r="E27" s="48"/>
      <c r="F27" s="48"/>
    </row>
    <row r="28" spans="1:6" x14ac:dyDescent="0.25">
      <c r="A28" s="48"/>
      <c r="B28" s="48"/>
      <c r="C28" s="48"/>
      <c r="D28" s="70"/>
      <c r="E28" s="48"/>
      <c r="F28" s="48"/>
    </row>
    <row r="29" spans="1:6" x14ac:dyDescent="0.25">
      <c r="A29" s="48"/>
      <c r="B29" s="48"/>
      <c r="C29" s="48"/>
      <c r="D29" s="70"/>
      <c r="E29" s="48"/>
      <c r="F29" s="48"/>
    </row>
    <row r="30" spans="1:6" x14ac:dyDescent="0.25">
      <c r="A30" s="48"/>
      <c r="B30" s="48"/>
      <c r="C30" s="48"/>
      <c r="D30" s="70"/>
      <c r="E30" s="48"/>
      <c r="F30" s="48"/>
    </row>
    <row r="31" spans="1:6" x14ac:dyDescent="0.25">
      <c r="A31" s="48"/>
      <c r="B31" s="48"/>
      <c r="C31" s="48"/>
      <c r="D31" s="70"/>
      <c r="E31" s="48"/>
      <c r="F31" s="48"/>
    </row>
    <row r="32" spans="1:6" x14ac:dyDescent="0.25">
      <c r="A32" s="48"/>
      <c r="B32" s="48"/>
      <c r="C32" s="48"/>
      <c r="D32" s="70"/>
      <c r="E32" s="48"/>
      <c r="F32" s="48"/>
    </row>
    <row r="33" spans="1:6" x14ac:dyDescent="0.25">
      <c r="A33" s="48"/>
      <c r="B33" s="48"/>
      <c r="C33" s="48"/>
      <c r="D33" s="70"/>
      <c r="E33" s="48"/>
      <c r="F33" s="48"/>
    </row>
    <row r="34" spans="1:6" x14ac:dyDescent="0.25">
      <c r="A34" s="48"/>
      <c r="B34" s="48"/>
      <c r="C34" s="48"/>
      <c r="D34" s="70"/>
      <c r="E34" s="48"/>
      <c r="F34" s="48"/>
    </row>
    <row r="35" spans="1:6" x14ac:dyDescent="0.25">
      <c r="A35" s="48"/>
      <c r="B35" s="48"/>
      <c r="C35" s="48"/>
      <c r="D35" s="70"/>
      <c r="E35" s="48"/>
      <c r="F35" s="48"/>
    </row>
    <row r="36" spans="1:6" x14ac:dyDescent="0.25">
      <c r="A36" s="48"/>
      <c r="B36" s="48"/>
      <c r="C36" s="48"/>
      <c r="D36" s="70"/>
      <c r="E36" s="48"/>
      <c r="F36" s="48"/>
    </row>
    <row r="37" spans="1:6" x14ac:dyDescent="0.25">
      <c r="A37" s="48"/>
      <c r="B37" s="48"/>
      <c r="C37" s="48"/>
      <c r="D37" s="70"/>
      <c r="E37" s="48"/>
      <c r="F37" s="48"/>
    </row>
    <row r="38" spans="1:6" x14ac:dyDescent="0.25">
      <c r="A38" s="48"/>
      <c r="B38" s="48"/>
      <c r="C38" s="48"/>
      <c r="D38" s="70"/>
      <c r="E38" s="48"/>
      <c r="F38" s="48"/>
    </row>
    <row r="39" spans="1:6" x14ac:dyDescent="0.25">
      <c r="A39" s="48"/>
      <c r="B39" s="48"/>
      <c r="C39" s="48"/>
      <c r="D39" s="70"/>
      <c r="E39" s="48"/>
      <c r="F39" s="48"/>
    </row>
    <row r="40" spans="1:6" x14ac:dyDescent="0.25">
      <c r="A40" s="48"/>
      <c r="B40" s="48"/>
      <c r="C40" s="48"/>
      <c r="D40" s="70"/>
      <c r="E40" s="48"/>
      <c r="F40" s="48"/>
    </row>
    <row r="41" spans="1:6" x14ac:dyDescent="0.25">
      <c r="A41" s="48"/>
      <c r="B41" s="48"/>
      <c r="C41" s="48"/>
      <c r="D41" s="70"/>
      <c r="E41" s="48"/>
      <c r="F41" s="48"/>
    </row>
    <row r="42" spans="1:6" x14ac:dyDescent="0.25">
      <c r="A42" s="48"/>
      <c r="B42" s="48"/>
      <c r="C42" s="48"/>
      <c r="D42" s="70"/>
      <c r="E42" s="48"/>
      <c r="F42" s="48"/>
    </row>
    <row r="43" spans="1:6" x14ac:dyDescent="0.25">
      <c r="A43" s="48"/>
      <c r="B43" s="48"/>
      <c r="C43" s="48"/>
      <c r="D43" s="70"/>
      <c r="E43" s="48"/>
      <c r="F43" s="48"/>
    </row>
    <row r="44" spans="1:6" x14ac:dyDescent="0.25">
      <c r="A44" s="48"/>
      <c r="B44" s="48"/>
      <c r="C44" s="48"/>
      <c r="D44" s="70"/>
      <c r="E44" s="48"/>
      <c r="F44" s="48"/>
    </row>
    <row r="45" spans="1:6" x14ac:dyDescent="0.25">
      <c r="A45" s="48"/>
      <c r="B45" s="48"/>
      <c r="C45" s="48"/>
      <c r="D45" s="70"/>
      <c r="E45" s="48"/>
      <c r="F45" s="48"/>
    </row>
    <row r="46" spans="1:6" x14ac:dyDescent="0.25">
      <c r="A46" s="48"/>
      <c r="B46" s="48"/>
      <c r="C46" s="48"/>
      <c r="D46" s="70"/>
      <c r="E46" s="48"/>
      <c r="F46" s="48"/>
    </row>
    <row r="47" spans="1:6" x14ac:dyDescent="0.25">
      <c r="A47" s="48"/>
      <c r="B47" s="48"/>
      <c r="C47" s="48"/>
      <c r="D47" s="70"/>
      <c r="E47" s="48"/>
      <c r="F47" s="48"/>
    </row>
    <row r="48" spans="1:6" x14ac:dyDescent="0.25">
      <c r="A48" s="48"/>
      <c r="B48" s="48"/>
      <c r="C48" s="48"/>
      <c r="D48" s="70"/>
      <c r="E48" s="48"/>
      <c r="F48" s="48"/>
    </row>
    <row r="49" spans="1:6" x14ac:dyDescent="0.25">
      <c r="A49" s="48"/>
      <c r="B49" s="48"/>
      <c r="C49" s="48"/>
      <c r="D49" s="70"/>
      <c r="E49" s="48"/>
      <c r="F49" s="48"/>
    </row>
    <row r="50" spans="1:6" x14ac:dyDescent="0.25">
      <c r="A50" s="48"/>
      <c r="B50" s="48"/>
      <c r="C50" s="48"/>
      <c r="D50" s="70"/>
      <c r="E50" s="48"/>
      <c r="F50" s="48"/>
    </row>
    <row r="51" spans="1:6" x14ac:dyDescent="0.25">
      <c r="A51" s="48"/>
      <c r="B51" s="48"/>
      <c r="C51" s="48"/>
      <c r="D51" s="70"/>
      <c r="E51" s="48"/>
      <c r="F51" s="48"/>
    </row>
    <row r="52" spans="1:6" x14ac:dyDescent="0.25">
      <c r="A52" s="48"/>
      <c r="B52" s="48"/>
      <c r="C52" s="48"/>
      <c r="D52" s="70"/>
      <c r="E52" s="48"/>
      <c r="F52" s="48"/>
    </row>
    <row r="53" spans="1:6" x14ac:dyDescent="0.25">
      <c r="A53" s="48"/>
      <c r="B53" s="48"/>
      <c r="C53" s="48"/>
      <c r="D53" s="70"/>
      <c r="E53" s="48"/>
      <c r="F53" s="48"/>
    </row>
    <row r="54" spans="1:6" x14ac:dyDescent="0.25">
      <c r="A54" s="48"/>
      <c r="B54" s="48"/>
      <c r="C54" s="48"/>
      <c r="D54" s="70"/>
      <c r="E54" s="48"/>
      <c r="F54" s="48"/>
    </row>
    <row r="55" spans="1:6" x14ac:dyDescent="0.25">
      <c r="A55" s="48"/>
      <c r="B55" s="48"/>
      <c r="C55" s="48"/>
      <c r="D55" s="70"/>
      <c r="E55" s="48"/>
      <c r="F55" s="48"/>
    </row>
    <row r="56" spans="1:6" x14ac:dyDescent="0.25">
      <c r="A56" s="48"/>
      <c r="B56" s="48"/>
      <c r="C56" s="48"/>
      <c r="D56" s="70"/>
      <c r="E56" s="48"/>
      <c r="F56" s="48"/>
    </row>
    <row r="57" spans="1:6" x14ac:dyDescent="0.25">
      <c r="A57" s="48"/>
      <c r="B57" s="48"/>
      <c r="C57" s="48"/>
      <c r="D57" s="70"/>
      <c r="E57" s="48"/>
      <c r="F57" s="48"/>
    </row>
    <row r="58" spans="1:6" x14ac:dyDescent="0.25">
      <c r="A58" s="48"/>
      <c r="B58" s="48"/>
      <c r="C58" s="48"/>
      <c r="D58" s="70"/>
      <c r="E58" s="48"/>
      <c r="F58" s="48"/>
    </row>
    <row r="59" spans="1:6" x14ac:dyDescent="0.25">
      <c r="A59" s="48"/>
      <c r="B59" s="48"/>
      <c r="C59" s="48"/>
      <c r="D59" s="70"/>
      <c r="E59" s="48"/>
      <c r="F59" s="48"/>
    </row>
    <row r="60" spans="1:6" x14ac:dyDescent="0.25">
      <c r="A60" s="48"/>
      <c r="B60" s="48"/>
      <c r="C60" s="48"/>
      <c r="D60" s="70"/>
      <c r="E60" s="48"/>
      <c r="F60" s="48"/>
    </row>
    <row r="61" spans="1:6" x14ac:dyDescent="0.25">
      <c r="A61" s="48"/>
      <c r="B61" s="48"/>
      <c r="C61" s="48"/>
      <c r="D61" s="70"/>
      <c r="E61" s="48"/>
      <c r="F61" s="48"/>
    </row>
    <row r="62" spans="1:6" x14ac:dyDescent="0.25">
      <c r="A62" s="48"/>
      <c r="B62" s="48"/>
      <c r="C62" s="48"/>
      <c r="D62" s="70"/>
      <c r="E62" s="48"/>
      <c r="F62" s="48"/>
    </row>
    <row r="63" spans="1:6" x14ac:dyDescent="0.25">
      <c r="A63" s="48"/>
      <c r="B63" s="48"/>
      <c r="C63" s="48"/>
      <c r="D63" s="70"/>
      <c r="E63" s="48"/>
      <c r="F63" s="48"/>
    </row>
    <row r="64" spans="1:6" x14ac:dyDescent="0.25">
      <c r="A64" s="48"/>
      <c r="B64" s="48"/>
      <c r="C64" s="48"/>
      <c r="D64" s="70"/>
      <c r="E64" s="48"/>
      <c r="F64" s="48"/>
    </row>
    <row r="65" spans="1:6" x14ac:dyDescent="0.25">
      <c r="A65" s="48"/>
      <c r="B65" s="48"/>
      <c r="C65" s="48"/>
      <c r="D65" s="70"/>
      <c r="E65" s="48"/>
      <c r="F65" s="48"/>
    </row>
    <row r="66" spans="1:6" x14ac:dyDescent="0.25">
      <c r="A66" s="48"/>
      <c r="B66" s="48"/>
      <c r="C66" s="48"/>
      <c r="D66" s="70"/>
      <c r="E66" s="48"/>
      <c r="F66" s="48"/>
    </row>
    <row r="67" spans="1:6" x14ac:dyDescent="0.25">
      <c r="A67" s="48"/>
      <c r="B67" s="48"/>
      <c r="C67" s="48"/>
      <c r="D67" s="70"/>
      <c r="E67" s="48"/>
      <c r="F67" s="48"/>
    </row>
    <row r="68" spans="1:6" x14ac:dyDescent="0.25">
      <c r="A68" s="48"/>
      <c r="B68" s="48"/>
      <c r="C68" s="48"/>
      <c r="D68" s="70"/>
      <c r="E68" s="48"/>
      <c r="F68" s="48"/>
    </row>
    <row r="69" spans="1:6" x14ac:dyDescent="0.25">
      <c r="A69" s="48"/>
      <c r="B69" s="48"/>
      <c r="C69" s="48"/>
      <c r="D69" s="70"/>
      <c r="E69" s="48"/>
      <c r="F69" s="48"/>
    </row>
    <row r="70" spans="1:6" x14ac:dyDescent="0.25">
      <c r="A70" s="48"/>
      <c r="B70" s="48"/>
      <c r="C70" s="48"/>
      <c r="D70" s="70"/>
      <c r="E70" s="48"/>
      <c r="F70" s="48"/>
    </row>
    <row r="71" spans="1:6" x14ac:dyDescent="0.25">
      <c r="A71" s="48"/>
      <c r="B71" s="48"/>
      <c r="C71" s="48"/>
      <c r="D71" s="70"/>
      <c r="E71" s="48"/>
      <c r="F71" s="48"/>
    </row>
    <row r="72" spans="1:6" x14ac:dyDescent="0.25">
      <c r="A72" s="48"/>
      <c r="B72" s="48"/>
      <c r="C72" s="48"/>
      <c r="D72" s="70"/>
      <c r="E72" s="48"/>
      <c r="F72" s="48"/>
    </row>
    <row r="73" spans="1:6" x14ac:dyDescent="0.25">
      <c r="A73" s="48"/>
      <c r="B73" s="48"/>
      <c r="C73" s="48"/>
      <c r="D73" s="70"/>
      <c r="E73" s="48"/>
      <c r="F73" s="48"/>
    </row>
    <row r="74" spans="1:6" x14ac:dyDescent="0.25">
      <c r="A74" s="48"/>
      <c r="B74" s="48"/>
      <c r="C74" s="48"/>
      <c r="D74" s="70"/>
      <c r="E74" s="48"/>
      <c r="F74" s="48"/>
    </row>
    <row r="75" spans="1:6" x14ac:dyDescent="0.25">
      <c r="A75" s="48"/>
      <c r="B75" s="48"/>
      <c r="C75" s="48"/>
      <c r="D75" s="70"/>
      <c r="E75" s="48"/>
      <c r="F75" s="48"/>
    </row>
    <row r="76" spans="1:6" x14ac:dyDescent="0.25">
      <c r="A76" s="48"/>
      <c r="B76" s="48"/>
      <c r="C76" s="48"/>
      <c r="D76" s="70"/>
      <c r="E76" s="48"/>
      <c r="F76" s="48"/>
    </row>
    <row r="77" spans="1:6" x14ac:dyDescent="0.25">
      <c r="A77" s="48"/>
      <c r="B77" s="48"/>
      <c r="C77" s="48"/>
      <c r="D77" s="70"/>
      <c r="E77" s="48"/>
      <c r="F77" s="48"/>
    </row>
    <row r="78" spans="1:6" x14ac:dyDescent="0.25">
      <c r="A78" s="48"/>
      <c r="B78" s="48"/>
      <c r="C78" s="48"/>
      <c r="D78" s="70"/>
      <c r="E78" s="48"/>
      <c r="F78" s="48"/>
    </row>
    <row r="79" spans="1:6" x14ac:dyDescent="0.25">
      <c r="A79" s="48"/>
      <c r="B79" s="48"/>
      <c r="C79" s="48"/>
      <c r="D79" s="70"/>
      <c r="E79" s="48"/>
      <c r="F79" s="48"/>
    </row>
    <row r="80" spans="1:6" x14ac:dyDescent="0.25">
      <c r="A80" s="48"/>
      <c r="B80" s="48"/>
      <c r="C80" s="48"/>
      <c r="D80" s="70"/>
      <c r="E80" s="48"/>
      <c r="F80" s="48"/>
    </row>
    <row r="156" spans="3:3" x14ac:dyDescent="0.25">
      <c r="C156" s="48"/>
    </row>
  </sheetData>
  <sheetProtection algorithmName="SHA-512" hashValue="/SWyqgyGQHwD97C5GznKCrZXudIDwrBq23tKHBrnYGlLjEcEkKPFTEp5ycIdA/kb2ZCa1vSomBZukaZGu6aSiw==" saltValue="RsjS9kQeYvWcKI4KHB7gHA==" spinCount="100000" sheet="1" objects="1" scenarios="1"/>
  <autoFilter ref="A2:G268" xr:uid="{00000000-0009-0000-0000-000004000000}">
    <filterColumn colId="5">
      <customFilters>
        <customFilter val="*"/>
      </custom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4" tint="0.79998168889431442"/>
  </sheetPr>
  <dimension ref="A1:AJ274"/>
  <sheetViews>
    <sheetView workbookViewId="0">
      <selection activeCell="AC5" sqref="AC5"/>
    </sheetView>
  </sheetViews>
  <sheetFormatPr defaultRowHeight="15.75" x14ac:dyDescent="0.25"/>
  <cols>
    <col min="1" max="1" width="20.625" customWidth="1"/>
    <col min="2" max="4" width="3.625" customWidth="1"/>
    <col min="5" max="5" width="20.625" customWidth="1"/>
    <col min="6" max="7" width="3.625" customWidth="1"/>
    <col min="8" max="8" width="20.625" customWidth="1"/>
    <col min="9" max="10" width="3.625" customWidth="1"/>
    <col min="11" max="11" width="20.625" customWidth="1"/>
    <col min="12" max="13" width="3.625" customWidth="1"/>
    <col min="14" max="14" width="20.625" customWidth="1"/>
    <col min="15" max="16" width="3.625" customWidth="1"/>
    <col min="17" max="17" width="20.625" customWidth="1"/>
    <col min="18" max="19" width="3.625" customWidth="1"/>
    <col min="20" max="20" width="20.625" customWidth="1"/>
    <col min="21" max="22" width="3.625" customWidth="1"/>
    <col min="25" max="30" width="9" customWidth="1"/>
    <col min="31" max="31" width="13" customWidth="1"/>
    <col min="32" max="32" width="13" style="127" customWidth="1"/>
    <col min="33" max="36" width="9" customWidth="1"/>
  </cols>
  <sheetData>
    <row r="1" spans="1:36" s="125" customFormat="1" x14ac:dyDescent="0.25">
      <c r="A1" s="125" t="s">
        <v>1283</v>
      </c>
      <c r="AF1" s="172"/>
    </row>
    <row r="2" spans="1:36" s="125" customFormat="1" x14ac:dyDescent="0.25">
      <c r="A2" s="125" t="s">
        <v>2191</v>
      </c>
      <c r="AF2" s="172"/>
    </row>
    <row r="3" spans="1:36" s="2" customFormat="1" x14ac:dyDescent="0.25">
      <c r="A3" s="125" t="s">
        <v>153</v>
      </c>
      <c r="B3" s="125" t="s">
        <v>0</v>
      </c>
      <c r="C3" s="125" t="s">
        <v>1205</v>
      </c>
      <c r="D3" s="125" t="s">
        <v>1206</v>
      </c>
      <c r="E3" s="125" t="s">
        <v>148</v>
      </c>
      <c r="F3" s="125" t="s">
        <v>587</v>
      </c>
      <c r="G3" s="125" t="s">
        <v>0</v>
      </c>
      <c r="H3" s="125" t="s">
        <v>1207</v>
      </c>
      <c r="I3" s="125" t="s">
        <v>587</v>
      </c>
      <c r="J3" s="125" t="s">
        <v>0</v>
      </c>
      <c r="K3" s="125" t="s">
        <v>150</v>
      </c>
      <c r="L3" s="125" t="s">
        <v>587</v>
      </c>
      <c r="M3" s="125" t="s">
        <v>0</v>
      </c>
      <c r="N3" s="125" t="s">
        <v>151</v>
      </c>
      <c r="O3" s="125" t="s">
        <v>587</v>
      </c>
      <c r="P3" s="125" t="s">
        <v>0</v>
      </c>
      <c r="Q3" s="125" t="s">
        <v>1208</v>
      </c>
      <c r="R3" s="125" t="s">
        <v>587</v>
      </c>
      <c r="S3" s="125" t="s">
        <v>0</v>
      </c>
      <c r="T3" s="125" t="s">
        <v>1209</v>
      </c>
      <c r="U3" s="125" t="s">
        <v>587</v>
      </c>
      <c r="V3" s="125" t="s">
        <v>0</v>
      </c>
      <c r="AF3" s="173"/>
    </row>
    <row r="4" spans="1:36" x14ac:dyDescent="0.25">
      <c r="Y4" s="48"/>
    </row>
    <row r="5" spans="1:36" x14ac:dyDescent="0.25">
      <c r="A5" t="s">
        <v>1277</v>
      </c>
    </row>
    <row r="6" spans="1:36" x14ac:dyDescent="0.25">
      <c r="A6" t="s">
        <v>12</v>
      </c>
      <c r="B6">
        <v>1</v>
      </c>
      <c r="C6">
        <v>6</v>
      </c>
      <c r="D6">
        <v>34</v>
      </c>
      <c r="E6" t="s">
        <v>335</v>
      </c>
      <c r="F6" t="s">
        <v>1813</v>
      </c>
      <c r="G6">
        <v>1</v>
      </c>
      <c r="H6" t="s">
        <v>364</v>
      </c>
      <c r="I6" t="s">
        <v>1813</v>
      </c>
      <c r="J6">
        <v>2</v>
      </c>
      <c r="K6" t="s">
        <v>1357</v>
      </c>
      <c r="L6" t="s">
        <v>1813</v>
      </c>
      <c r="M6">
        <v>5</v>
      </c>
      <c r="N6" t="s">
        <v>1345</v>
      </c>
      <c r="O6" t="s">
        <v>1814</v>
      </c>
      <c r="P6">
        <v>7</v>
      </c>
      <c r="Q6" t="s">
        <v>363</v>
      </c>
      <c r="R6" t="s">
        <v>1814</v>
      </c>
      <c r="S6">
        <v>9</v>
      </c>
      <c r="T6" t="s">
        <v>895</v>
      </c>
      <c r="U6" t="s">
        <v>1814</v>
      </c>
      <c r="V6">
        <v>10</v>
      </c>
      <c r="Y6" s="48"/>
      <c r="Z6" t="s">
        <v>6</v>
      </c>
      <c r="AA6" t="s">
        <v>2</v>
      </c>
      <c r="AB6" t="s">
        <v>3</v>
      </c>
      <c r="AC6" t="s">
        <v>22</v>
      </c>
      <c r="AD6" t="s">
        <v>37</v>
      </c>
      <c r="AE6" t="s">
        <v>1242</v>
      </c>
      <c r="AF6" s="127" t="s">
        <v>1240</v>
      </c>
      <c r="AG6" t="s">
        <v>8</v>
      </c>
      <c r="AI6" t="s">
        <v>4</v>
      </c>
    </row>
    <row r="7" spans="1:36" x14ac:dyDescent="0.25">
      <c r="A7" t="s">
        <v>108</v>
      </c>
      <c r="B7">
        <v>2</v>
      </c>
      <c r="C7">
        <v>6</v>
      </c>
      <c r="D7">
        <v>98</v>
      </c>
      <c r="E7" t="s">
        <v>302</v>
      </c>
      <c r="F7" t="s">
        <v>1814</v>
      </c>
      <c r="G7">
        <v>6</v>
      </c>
      <c r="H7" t="s">
        <v>1682</v>
      </c>
      <c r="I7" t="s">
        <v>1813</v>
      </c>
      <c r="J7">
        <v>13</v>
      </c>
      <c r="K7" t="s">
        <v>1808</v>
      </c>
      <c r="L7" t="s">
        <v>1813</v>
      </c>
      <c r="M7">
        <v>15</v>
      </c>
      <c r="N7" t="s">
        <v>187</v>
      </c>
      <c r="O7" t="s">
        <v>1814</v>
      </c>
      <c r="P7">
        <v>20</v>
      </c>
      <c r="Q7" t="s">
        <v>2196</v>
      </c>
      <c r="R7" t="s">
        <v>1814</v>
      </c>
      <c r="S7">
        <v>21</v>
      </c>
      <c r="T7" t="s">
        <v>1874</v>
      </c>
      <c r="U7" t="s">
        <v>1814</v>
      </c>
      <c r="V7">
        <v>23</v>
      </c>
      <c r="Z7">
        <v>1</v>
      </c>
      <c r="AA7" t="s">
        <v>192</v>
      </c>
      <c r="AB7" t="s">
        <v>108</v>
      </c>
      <c r="AC7" t="s">
        <v>23</v>
      </c>
      <c r="AG7">
        <v>581</v>
      </c>
      <c r="AI7">
        <v>28</v>
      </c>
      <c r="AJ7">
        <v>12</v>
      </c>
    </row>
    <row r="8" spans="1:36" x14ac:dyDescent="0.25">
      <c r="A8" t="s">
        <v>63</v>
      </c>
      <c r="B8">
        <v>3</v>
      </c>
      <c r="C8">
        <v>6</v>
      </c>
      <c r="D8">
        <v>315</v>
      </c>
      <c r="E8" t="s">
        <v>2192</v>
      </c>
      <c r="F8" t="s">
        <v>1813</v>
      </c>
      <c r="G8">
        <v>4</v>
      </c>
      <c r="H8" t="s">
        <v>408</v>
      </c>
      <c r="I8" t="s">
        <v>1813</v>
      </c>
      <c r="J8">
        <v>14</v>
      </c>
      <c r="K8" t="s">
        <v>244</v>
      </c>
      <c r="L8" t="s">
        <v>1813</v>
      </c>
      <c r="M8">
        <v>22</v>
      </c>
      <c r="N8" t="s">
        <v>1895</v>
      </c>
      <c r="O8" t="s">
        <v>1814</v>
      </c>
      <c r="P8">
        <v>75</v>
      </c>
      <c r="Q8" t="s">
        <v>1410</v>
      </c>
      <c r="R8" t="s">
        <v>1814</v>
      </c>
      <c r="S8">
        <v>93</v>
      </c>
      <c r="T8" t="s">
        <v>1751</v>
      </c>
      <c r="U8" t="s">
        <v>1814</v>
      </c>
      <c r="V8">
        <v>107</v>
      </c>
      <c r="Z8">
        <v>302</v>
      </c>
      <c r="AA8" t="s">
        <v>301</v>
      </c>
      <c r="AB8" t="s">
        <v>154</v>
      </c>
      <c r="AC8" t="s">
        <v>24</v>
      </c>
      <c r="AG8">
        <v>385</v>
      </c>
      <c r="AI8">
        <v>28</v>
      </c>
      <c r="AJ8">
        <v>54</v>
      </c>
    </row>
    <row r="9" spans="1:36" x14ac:dyDescent="0.25">
      <c r="A9" t="s">
        <v>38</v>
      </c>
      <c r="B9">
        <v>4</v>
      </c>
      <c r="C9">
        <v>6</v>
      </c>
      <c r="D9">
        <v>320</v>
      </c>
      <c r="E9" t="s">
        <v>2198</v>
      </c>
      <c r="F9" t="s">
        <v>1813</v>
      </c>
      <c r="G9">
        <v>27</v>
      </c>
      <c r="H9" t="s">
        <v>1764</v>
      </c>
      <c r="I9" t="s">
        <v>1813</v>
      </c>
      <c r="J9">
        <v>35</v>
      </c>
      <c r="K9" t="s">
        <v>2202</v>
      </c>
      <c r="L9" t="s">
        <v>1814</v>
      </c>
      <c r="M9">
        <v>45</v>
      </c>
      <c r="N9" t="s">
        <v>2205</v>
      </c>
      <c r="O9" t="s">
        <v>1814</v>
      </c>
      <c r="P9">
        <v>54</v>
      </c>
      <c r="Q9" t="s">
        <v>204</v>
      </c>
      <c r="R9" t="s">
        <v>1814</v>
      </c>
      <c r="S9">
        <v>77</v>
      </c>
      <c r="T9" t="s">
        <v>841</v>
      </c>
      <c r="U9" t="s">
        <v>1814</v>
      </c>
      <c r="V9">
        <v>82</v>
      </c>
      <c r="Z9">
        <v>303</v>
      </c>
      <c r="AA9" t="s">
        <v>1651</v>
      </c>
      <c r="AB9" t="s">
        <v>108</v>
      </c>
      <c r="AC9" t="s">
        <v>24</v>
      </c>
      <c r="AG9">
        <v>368</v>
      </c>
      <c r="AI9">
        <v>29</v>
      </c>
      <c r="AJ9">
        <v>2</v>
      </c>
    </row>
    <row r="10" spans="1:36" x14ac:dyDescent="0.25">
      <c r="A10" t="s">
        <v>43</v>
      </c>
      <c r="B10">
        <v>5</v>
      </c>
      <c r="C10">
        <v>6</v>
      </c>
      <c r="D10">
        <v>330</v>
      </c>
      <c r="E10" t="s">
        <v>565</v>
      </c>
      <c r="F10" t="s">
        <v>1813</v>
      </c>
      <c r="G10">
        <v>3</v>
      </c>
      <c r="H10" t="s">
        <v>1789</v>
      </c>
      <c r="I10" t="s">
        <v>1814</v>
      </c>
      <c r="J10">
        <v>28</v>
      </c>
      <c r="K10" t="s">
        <v>300</v>
      </c>
      <c r="L10" t="s">
        <v>1814</v>
      </c>
      <c r="M10">
        <v>63</v>
      </c>
      <c r="N10" t="s">
        <v>1155</v>
      </c>
      <c r="O10" t="s">
        <v>1813</v>
      </c>
      <c r="P10">
        <v>68</v>
      </c>
      <c r="Q10" t="s">
        <v>269</v>
      </c>
      <c r="R10" t="s">
        <v>1814</v>
      </c>
      <c r="S10">
        <v>74</v>
      </c>
      <c r="T10" t="s">
        <v>238</v>
      </c>
      <c r="U10" t="s">
        <v>1814</v>
      </c>
      <c r="V10">
        <v>94</v>
      </c>
      <c r="Z10">
        <v>304</v>
      </c>
      <c r="AA10" t="s">
        <v>549</v>
      </c>
      <c r="AB10" t="s">
        <v>14</v>
      </c>
      <c r="AC10" t="s">
        <v>24</v>
      </c>
      <c r="AG10">
        <v>510</v>
      </c>
      <c r="AI10">
        <v>29</v>
      </c>
      <c r="AJ10">
        <v>23</v>
      </c>
    </row>
    <row r="11" spans="1:36" x14ac:dyDescent="0.25">
      <c r="A11" t="s">
        <v>1805</v>
      </c>
      <c r="B11">
        <v>6</v>
      </c>
      <c r="C11">
        <v>6</v>
      </c>
      <c r="D11">
        <v>355</v>
      </c>
      <c r="E11" t="s">
        <v>2193</v>
      </c>
      <c r="F11" t="s">
        <v>1813</v>
      </c>
      <c r="G11">
        <v>11</v>
      </c>
      <c r="H11" t="s">
        <v>2028</v>
      </c>
      <c r="I11" t="s">
        <v>1813</v>
      </c>
      <c r="J11">
        <v>24</v>
      </c>
      <c r="K11" t="s">
        <v>2197</v>
      </c>
      <c r="L11" t="s">
        <v>1813</v>
      </c>
      <c r="M11">
        <v>26</v>
      </c>
      <c r="N11" t="s">
        <v>1779</v>
      </c>
      <c r="O11" t="s">
        <v>1814</v>
      </c>
      <c r="P11">
        <v>92</v>
      </c>
      <c r="Q11" t="s">
        <v>2214</v>
      </c>
      <c r="R11" t="s">
        <v>1814</v>
      </c>
      <c r="S11">
        <v>96</v>
      </c>
      <c r="T11" t="s">
        <v>2217</v>
      </c>
      <c r="U11" t="s">
        <v>1814</v>
      </c>
      <c r="V11">
        <v>106</v>
      </c>
      <c r="Z11">
        <v>305</v>
      </c>
      <c r="AA11" t="s">
        <v>188</v>
      </c>
      <c r="AB11" t="s">
        <v>108</v>
      </c>
      <c r="AC11" t="s">
        <v>23</v>
      </c>
      <c r="AG11">
        <v>587</v>
      </c>
      <c r="AI11">
        <v>30</v>
      </c>
      <c r="AJ11">
        <v>11</v>
      </c>
    </row>
    <row r="12" spans="1:36" x14ac:dyDescent="0.25">
      <c r="A12" t="s">
        <v>14</v>
      </c>
      <c r="B12">
        <v>7</v>
      </c>
      <c r="C12">
        <v>6</v>
      </c>
      <c r="D12">
        <v>433</v>
      </c>
      <c r="E12" t="s">
        <v>1522</v>
      </c>
      <c r="F12" t="s">
        <v>1814</v>
      </c>
      <c r="G12">
        <v>41</v>
      </c>
      <c r="H12" t="s">
        <v>2148</v>
      </c>
      <c r="I12" t="s">
        <v>1814</v>
      </c>
      <c r="J12">
        <v>53</v>
      </c>
      <c r="K12" t="s">
        <v>1911</v>
      </c>
      <c r="L12" t="s">
        <v>1814</v>
      </c>
      <c r="M12">
        <v>64</v>
      </c>
      <c r="N12" t="s">
        <v>1662</v>
      </c>
      <c r="O12" t="s">
        <v>1814</v>
      </c>
      <c r="P12">
        <v>70</v>
      </c>
      <c r="Q12" t="s">
        <v>549</v>
      </c>
      <c r="R12" t="s">
        <v>1814</v>
      </c>
      <c r="S12">
        <v>87</v>
      </c>
      <c r="T12" t="s">
        <v>421</v>
      </c>
      <c r="U12" t="s">
        <v>1814</v>
      </c>
      <c r="V12">
        <v>118</v>
      </c>
      <c r="Z12">
        <v>306</v>
      </c>
      <c r="AA12" t="s">
        <v>1690</v>
      </c>
      <c r="AB12" t="s">
        <v>12</v>
      </c>
      <c r="AC12" t="s">
        <v>23</v>
      </c>
      <c r="AG12">
        <v>399</v>
      </c>
      <c r="AI12">
        <v>30</v>
      </c>
      <c r="AJ12">
        <v>42</v>
      </c>
    </row>
    <row r="13" spans="1:36" x14ac:dyDescent="0.25">
      <c r="A13" t="s">
        <v>155</v>
      </c>
      <c r="B13">
        <v>8</v>
      </c>
      <c r="C13">
        <v>6</v>
      </c>
      <c r="D13">
        <v>438</v>
      </c>
      <c r="E13" t="s">
        <v>414</v>
      </c>
      <c r="F13" t="s">
        <v>1814</v>
      </c>
      <c r="G13">
        <v>38</v>
      </c>
      <c r="H13" t="s">
        <v>1756</v>
      </c>
      <c r="I13" t="s">
        <v>1814</v>
      </c>
      <c r="J13">
        <v>47</v>
      </c>
      <c r="K13" t="s">
        <v>1404</v>
      </c>
      <c r="L13" t="s">
        <v>1813</v>
      </c>
      <c r="M13">
        <v>80</v>
      </c>
      <c r="N13" t="s">
        <v>1370</v>
      </c>
      <c r="O13" t="s">
        <v>1814</v>
      </c>
      <c r="P13">
        <v>84</v>
      </c>
      <c r="Q13" t="s">
        <v>872</v>
      </c>
      <c r="R13" t="s">
        <v>1814</v>
      </c>
      <c r="S13">
        <v>88</v>
      </c>
      <c r="T13" t="s">
        <v>1468</v>
      </c>
      <c r="U13" t="s">
        <v>1814</v>
      </c>
      <c r="V13">
        <v>101</v>
      </c>
      <c r="Z13">
        <v>307</v>
      </c>
      <c r="AA13" t="s">
        <v>180</v>
      </c>
      <c r="AB13" t="s">
        <v>12</v>
      </c>
      <c r="AC13" t="s">
        <v>24</v>
      </c>
      <c r="AG13">
        <v>378</v>
      </c>
      <c r="AI13">
        <v>31</v>
      </c>
      <c r="AJ13">
        <v>15</v>
      </c>
    </row>
    <row r="14" spans="1:36" x14ac:dyDescent="0.25">
      <c r="A14" t="s">
        <v>154</v>
      </c>
      <c r="B14">
        <v>9</v>
      </c>
      <c r="C14">
        <v>5</v>
      </c>
      <c r="D14">
        <v>483</v>
      </c>
      <c r="E14" t="s">
        <v>1903</v>
      </c>
      <c r="F14" t="s">
        <v>1813</v>
      </c>
      <c r="G14">
        <v>8</v>
      </c>
      <c r="H14" t="s">
        <v>1720</v>
      </c>
      <c r="I14" t="s">
        <v>1813</v>
      </c>
      <c r="J14">
        <v>17</v>
      </c>
      <c r="K14" t="s">
        <v>301</v>
      </c>
      <c r="L14" t="s">
        <v>1814</v>
      </c>
      <c r="M14">
        <v>43</v>
      </c>
      <c r="N14" t="s">
        <v>456</v>
      </c>
      <c r="O14" t="s">
        <v>1814</v>
      </c>
      <c r="P14">
        <v>119</v>
      </c>
      <c r="Q14" t="s">
        <v>2141</v>
      </c>
      <c r="R14" t="s">
        <v>1814</v>
      </c>
      <c r="S14">
        <v>139</v>
      </c>
      <c r="T14" t="s">
        <v>1815</v>
      </c>
      <c r="V14">
        <v>157</v>
      </c>
      <c r="Z14">
        <v>308</v>
      </c>
      <c r="AA14" t="s">
        <v>1784</v>
      </c>
      <c r="AB14" t="s">
        <v>12</v>
      </c>
      <c r="AC14" t="s">
        <v>24</v>
      </c>
      <c r="AG14">
        <v>584</v>
      </c>
      <c r="AI14">
        <v>31</v>
      </c>
      <c r="AJ14">
        <v>17</v>
      </c>
    </row>
    <row r="15" spans="1:36" x14ac:dyDescent="0.25">
      <c r="A15" t="s">
        <v>1278</v>
      </c>
      <c r="Z15">
        <v>309</v>
      </c>
      <c r="AA15" t="s">
        <v>2229</v>
      </c>
      <c r="AB15" t="s">
        <v>12</v>
      </c>
      <c r="AC15" t="s">
        <v>24</v>
      </c>
      <c r="AG15">
        <v>548</v>
      </c>
      <c r="AI15">
        <v>31</v>
      </c>
      <c r="AJ15">
        <v>25</v>
      </c>
    </row>
    <row r="16" spans="1:36" x14ac:dyDescent="0.25">
      <c r="A16" t="s">
        <v>12</v>
      </c>
      <c r="B16">
        <v>1</v>
      </c>
      <c r="C16">
        <v>4</v>
      </c>
      <c r="D16">
        <v>13</v>
      </c>
      <c r="E16" t="s">
        <v>260</v>
      </c>
      <c r="F16" t="s">
        <v>1814</v>
      </c>
      <c r="G16">
        <v>1</v>
      </c>
      <c r="H16" t="s">
        <v>1323</v>
      </c>
      <c r="I16" t="s">
        <v>1813</v>
      </c>
      <c r="J16">
        <v>3</v>
      </c>
      <c r="K16" t="s">
        <v>2124</v>
      </c>
      <c r="L16" t="s">
        <v>1814</v>
      </c>
      <c r="M16">
        <v>4</v>
      </c>
      <c r="N16" t="s">
        <v>1450</v>
      </c>
      <c r="O16" t="s">
        <v>1813</v>
      </c>
      <c r="P16">
        <v>5</v>
      </c>
      <c r="Z16">
        <v>310</v>
      </c>
      <c r="AA16" t="s">
        <v>2255</v>
      </c>
      <c r="AB16" t="s">
        <v>12</v>
      </c>
      <c r="AC16" t="s">
        <v>24</v>
      </c>
      <c r="AG16">
        <v>571</v>
      </c>
      <c r="AI16">
        <v>31</v>
      </c>
      <c r="AJ16">
        <v>35</v>
      </c>
    </row>
    <row r="17" spans="1:36" x14ac:dyDescent="0.25">
      <c r="A17" t="s">
        <v>154</v>
      </c>
      <c r="B17">
        <v>2</v>
      </c>
      <c r="C17">
        <v>4</v>
      </c>
      <c r="D17">
        <v>25</v>
      </c>
      <c r="E17" t="s">
        <v>1956</v>
      </c>
      <c r="F17" t="s">
        <v>1814</v>
      </c>
      <c r="G17">
        <v>2</v>
      </c>
      <c r="H17" t="s">
        <v>1883</v>
      </c>
      <c r="I17" t="s">
        <v>1814</v>
      </c>
      <c r="J17">
        <v>6</v>
      </c>
      <c r="K17" t="s">
        <v>365</v>
      </c>
      <c r="L17" t="s">
        <v>1814</v>
      </c>
      <c r="M17">
        <v>8</v>
      </c>
      <c r="N17" t="s">
        <v>1928</v>
      </c>
      <c r="O17" t="s">
        <v>1814</v>
      </c>
      <c r="P17">
        <v>9</v>
      </c>
      <c r="Z17">
        <v>312</v>
      </c>
      <c r="AA17" t="s">
        <v>179</v>
      </c>
      <c r="AB17" t="s">
        <v>12</v>
      </c>
      <c r="AC17" t="s">
        <v>23</v>
      </c>
      <c r="AG17">
        <v>425</v>
      </c>
      <c r="AI17">
        <v>31</v>
      </c>
      <c r="AJ17">
        <v>44</v>
      </c>
    </row>
    <row r="18" spans="1:36" x14ac:dyDescent="0.25">
      <c r="A18" t="s">
        <v>108</v>
      </c>
      <c r="B18">
        <v>3</v>
      </c>
      <c r="C18">
        <v>4</v>
      </c>
      <c r="D18">
        <v>43</v>
      </c>
      <c r="E18" t="s">
        <v>229</v>
      </c>
      <c r="F18" t="s">
        <v>1814</v>
      </c>
      <c r="G18">
        <v>7</v>
      </c>
      <c r="H18" t="s">
        <v>1833</v>
      </c>
      <c r="I18" t="s">
        <v>1813</v>
      </c>
      <c r="J18">
        <v>10</v>
      </c>
      <c r="K18" t="s">
        <v>375</v>
      </c>
      <c r="L18" t="s">
        <v>1814</v>
      </c>
      <c r="M18">
        <v>12</v>
      </c>
      <c r="N18" t="s">
        <v>2215</v>
      </c>
      <c r="O18" t="s">
        <v>1814</v>
      </c>
      <c r="P18">
        <v>14</v>
      </c>
      <c r="Z18">
        <v>313</v>
      </c>
      <c r="AA18" t="s">
        <v>258</v>
      </c>
      <c r="AB18" t="s">
        <v>12</v>
      </c>
      <c r="AC18" t="s">
        <v>23</v>
      </c>
      <c r="AG18">
        <v>470</v>
      </c>
      <c r="AI18">
        <v>31</v>
      </c>
      <c r="AJ18">
        <v>58</v>
      </c>
    </row>
    <row r="19" spans="1:36" x14ac:dyDescent="0.25">
      <c r="A19" t="s">
        <v>63</v>
      </c>
      <c r="B19">
        <v>4</v>
      </c>
      <c r="C19">
        <v>4</v>
      </c>
      <c r="D19">
        <v>113</v>
      </c>
      <c r="E19" t="s">
        <v>2211</v>
      </c>
      <c r="F19" t="s">
        <v>1813</v>
      </c>
      <c r="G19">
        <v>11</v>
      </c>
      <c r="H19" t="s">
        <v>2147</v>
      </c>
      <c r="I19" t="s">
        <v>1813</v>
      </c>
      <c r="J19">
        <v>28</v>
      </c>
      <c r="K19" t="s">
        <v>251</v>
      </c>
      <c r="L19" t="s">
        <v>1814</v>
      </c>
      <c r="M19">
        <v>29</v>
      </c>
      <c r="N19" t="s">
        <v>1182</v>
      </c>
      <c r="O19" t="s">
        <v>1814</v>
      </c>
      <c r="P19">
        <v>45</v>
      </c>
      <c r="Z19">
        <v>315</v>
      </c>
      <c r="AA19" t="s">
        <v>1773</v>
      </c>
      <c r="AB19" t="s">
        <v>1805</v>
      </c>
      <c r="AC19" t="s">
        <v>24</v>
      </c>
      <c r="AG19">
        <v>344</v>
      </c>
      <c r="AI19">
        <v>32</v>
      </c>
      <c r="AJ19">
        <v>12</v>
      </c>
    </row>
    <row r="20" spans="1:36" x14ac:dyDescent="0.25">
      <c r="A20" t="s">
        <v>1805</v>
      </c>
      <c r="B20">
        <v>5</v>
      </c>
      <c r="C20">
        <v>4</v>
      </c>
      <c r="D20">
        <v>131</v>
      </c>
      <c r="E20" t="s">
        <v>2216</v>
      </c>
      <c r="F20" t="s">
        <v>1813</v>
      </c>
      <c r="G20">
        <v>16</v>
      </c>
      <c r="H20" t="s">
        <v>2218</v>
      </c>
      <c r="I20" t="s">
        <v>1814</v>
      </c>
      <c r="J20">
        <v>23</v>
      </c>
      <c r="K20" t="s">
        <v>2222</v>
      </c>
      <c r="L20" t="s">
        <v>1813</v>
      </c>
      <c r="M20">
        <v>30</v>
      </c>
      <c r="N20" t="s">
        <v>2234</v>
      </c>
      <c r="O20" t="s">
        <v>1814</v>
      </c>
      <c r="P20">
        <v>62</v>
      </c>
      <c r="Z20">
        <v>316</v>
      </c>
      <c r="AA20" t="s">
        <v>2206</v>
      </c>
      <c r="AB20" t="s">
        <v>12</v>
      </c>
      <c r="AC20" t="s">
        <v>24</v>
      </c>
      <c r="AG20">
        <v>505</v>
      </c>
      <c r="AI20">
        <v>32</v>
      </c>
      <c r="AJ20">
        <v>17</v>
      </c>
    </row>
    <row r="21" spans="1:36" x14ac:dyDescent="0.25">
      <c r="A21" t="s">
        <v>14</v>
      </c>
      <c r="B21">
        <v>5</v>
      </c>
      <c r="C21">
        <v>4</v>
      </c>
      <c r="D21">
        <v>131</v>
      </c>
      <c r="E21" t="s">
        <v>1794</v>
      </c>
      <c r="F21" t="s">
        <v>1814</v>
      </c>
      <c r="G21">
        <v>17</v>
      </c>
      <c r="H21" t="s">
        <v>1005</v>
      </c>
      <c r="I21" t="s">
        <v>1814</v>
      </c>
      <c r="J21">
        <v>18</v>
      </c>
      <c r="K21" t="s">
        <v>749</v>
      </c>
      <c r="L21" t="s">
        <v>1814</v>
      </c>
      <c r="M21">
        <v>41</v>
      </c>
      <c r="N21" t="s">
        <v>1677</v>
      </c>
      <c r="O21" t="s">
        <v>1814</v>
      </c>
      <c r="P21">
        <v>55</v>
      </c>
      <c r="Z21">
        <v>318</v>
      </c>
      <c r="AA21" t="s">
        <v>2044</v>
      </c>
      <c r="AB21" t="s">
        <v>1805</v>
      </c>
      <c r="AC21" t="s">
        <v>23</v>
      </c>
      <c r="AG21">
        <v>454</v>
      </c>
      <c r="AI21">
        <v>32</v>
      </c>
      <c r="AJ21">
        <v>20</v>
      </c>
    </row>
    <row r="22" spans="1:36" x14ac:dyDescent="0.25">
      <c r="A22" t="s">
        <v>38</v>
      </c>
      <c r="B22">
        <v>7</v>
      </c>
      <c r="C22">
        <v>4</v>
      </c>
      <c r="D22">
        <v>195</v>
      </c>
      <c r="E22" t="s">
        <v>2223</v>
      </c>
      <c r="F22" t="s">
        <v>1814</v>
      </c>
      <c r="G22">
        <v>31</v>
      </c>
      <c r="H22" t="s">
        <v>2225</v>
      </c>
      <c r="I22" t="s">
        <v>1814</v>
      </c>
      <c r="J22">
        <v>34</v>
      </c>
      <c r="K22" t="s">
        <v>1371</v>
      </c>
      <c r="L22" t="s">
        <v>1814</v>
      </c>
      <c r="M22">
        <v>50</v>
      </c>
      <c r="N22" t="s">
        <v>1742</v>
      </c>
      <c r="O22" t="s">
        <v>1814</v>
      </c>
      <c r="P22">
        <v>80</v>
      </c>
      <c r="Z22">
        <v>319</v>
      </c>
      <c r="AA22" t="s">
        <v>928</v>
      </c>
      <c r="AB22" t="s">
        <v>12</v>
      </c>
      <c r="AC22" t="s">
        <v>24</v>
      </c>
      <c r="AG22">
        <v>582</v>
      </c>
      <c r="AI22">
        <v>32</v>
      </c>
      <c r="AJ22">
        <v>21</v>
      </c>
    </row>
    <row r="23" spans="1:36" x14ac:dyDescent="0.25">
      <c r="A23" t="s">
        <v>155</v>
      </c>
      <c r="B23">
        <v>8</v>
      </c>
      <c r="C23">
        <v>4</v>
      </c>
      <c r="D23">
        <v>217</v>
      </c>
      <c r="E23" t="s">
        <v>281</v>
      </c>
      <c r="F23" t="s">
        <v>1814</v>
      </c>
      <c r="G23">
        <v>27</v>
      </c>
      <c r="H23" t="s">
        <v>1159</v>
      </c>
      <c r="I23" t="s">
        <v>1814</v>
      </c>
      <c r="J23">
        <v>54</v>
      </c>
      <c r="K23" t="s">
        <v>517</v>
      </c>
      <c r="L23" t="s">
        <v>1814</v>
      </c>
      <c r="M23">
        <v>63</v>
      </c>
      <c r="N23" t="s">
        <v>280</v>
      </c>
      <c r="O23" t="s">
        <v>1814</v>
      </c>
      <c r="P23">
        <v>73</v>
      </c>
      <c r="Z23">
        <v>321</v>
      </c>
      <c r="AA23" t="s">
        <v>1348</v>
      </c>
      <c r="AB23" t="s">
        <v>12</v>
      </c>
      <c r="AC23" t="s">
        <v>24</v>
      </c>
      <c r="AG23">
        <v>370</v>
      </c>
      <c r="AI23">
        <v>32</v>
      </c>
      <c r="AJ23">
        <v>25</v>
      </c>
    </row>
    <row r="24" spans="1:36" x14ac:dyDescent="0.25">
      <c r="A24" t="s">
        <v>43</v>
      </c>
      <c r="B24">
        <v>9</v>
      </c>
      <c r="C24">
        <v>3</v>
      </c>
      <c r="D24">
        <v>285</v>
      </c>
      <c r="E24" t="s">
        <v>578</v>
      </c>
      <c r="F24" t="s">
        <v>1814</v>
      </c>
      <c r="G24">
        <v>38</v>
      </c>
      <c r="H24" t="s">
        <v>380</v>
      </c>
      <c r="I24" t="s">
        <v>1814</v>
      </c>
      <c r="J24">
        <v>43</v>
      </c>
      <c r="K24" t="s">
        <v>1761</v>
      </c>
      <c r="L24" t="s">
        <v>1814</v>
      </c>
      <c r="M24">
        <v>91</v>
      </c>
      <c r="N24" t="s">
        <v>1815</v>
      </c>
      <c r="P24">
        <v>113</v>
      </c>
      <c r="Z24">
        <v>322</v>
      </c>
      <c r="AA24" t="s">
        <v>1370</v>
      </c>
      <c r="AB24" t="s">
        <v>155</v>
      </c>
      <c r="AC24" t="s">
        <v>24</v>
      </c>
      <c r="AG24">
        <v>459</v>
      </c>
      <c r="AI24">
        <v>32</v>
      </c>
      <c r="AJ24">
        <v>29</v>
      </c>
    </row>
    <row r="25" spans="1:36" x14ac:dyDescent="0.25">
      <c r="Z25">
        <v>323</v>
      </c>
      <c r="AA25" t="s">
        <v>1833</v>
      </c>
      <c r="AB25" t="s">
        <v>108</v>
      </c>
      <c r="AC25" t="s">
        <v>23</v>
      </c>
      <c r="AG25">
        <v>335</v>
      </c>
      <c r="AI25">
        <v>32</v>
      </c>
      <c r="AJ25">
        <v>33</v>
      </c>
    </row>
    <row r="26" spans="1:36" x14ac:dyDescent="0.25">
      <c r="Z26">
        <v>324</v>
      </c>
      <c r="AA26" t="s">
        <v>174</v>
      </c>
      <c r="AB26" t="s">
        <v>12</v>
      </c>
      <c r="AC26" t="s">
        <v>23</v>
      </c>
      <c r="AG26">
        <v>332</v>
      </c>
      <c r="AI26">
        <v>32</v>
      </c>
      <c r="AJ26">
        <v>41</v>
      </c>
    </row>
    <row r="27" spans="1:36" x14ac:dyDescent="0.25">
      <c r="Z27">
        <v>325</v>
      </c>
      <c r="AA27" t="s">
        <v>839</v>
      </c>
      <c r="AB27" t="s">
        <v>63</v>
      </c>
      <c r="AC27" t="s">
        <v>23</v>
      </c>
      <c r="AG27">
        <v>456</v>
      </c>
      <c r="AI27">
        <v>32</v>
      </c>
      <c r="AJ27">
        <v>45</v>
      </c>
    </row>
    <row r="28" spans="1:36" x14ac:dyDescent="0.25">
      <c r="Z28">
        <v>327</v>
      </c>
      <c r="AA28" t="s">
        <v>1769</v>
      </c>
      <c r="AB28" t="s">
        <v>63</v>
      </c>
      <c r="AC28" t="s">
        <v>23</v>
      </c>
      <c r="AG28">
        <v>419</v>
      </c>
      <c r="AI28">
        <v>33</v>
      </c>
      <c r="AJ28">
        <v>22</v>
      </c>
    </row>
    <row r="29" spans="1:36" x14ac:dyDescent="0.25">
      <c r="Z29">
        <v>328</v>
      </c>
      <c r="AA29" t="s">
        <v>2241</v>
      </c>
      <c r="AB29" t="s">
        <v>154</v>
      </c>
      <c r="AC29" t="s">
        <v>23</v>
      </c>
      <c r="AG29">
        <v>514</v>
      </c>
      <c r="AI29">
        <v>33</v>
      </c>
      <c r="AJ29">
        <v>23</v>
      </c>
    </row>
    <row r="30" spans="1:36" x14ac:dyDescent="0.25">
      <c r="Z30">
        <v>329</v>
      </c>
      <c r="AA30" t="s">
        <v>367</v>
      </c>
      <c r="AB30" t="s">
        <v>108</v>
      </c>
      <c r="AC30" t="s">
        <v>24</v>
      </c>
      <c r="AG30">
        <v>438</v>
      </c>
      <c r="AI30">
        <v>33</v>
      </c>
      <c r="AJ30">
        <v>24</v>
      </c>
    </row>
    <row r="31" spans="1:36" x14ac:dyDescent="0.25">
      <c r="Z31">
        <v>330</v>
      </c>
      <c r="AA31" t="s">
        <v>1749</v>
      </c>
      <c r="AB31" t="s">
        <v>108</v>
      </c>
      <c r="AC31" t="s">
        <v>23</v>
      </c>
      <c r="AG31">
        <v>532</v>
      </c>
      <c r="AI31">
        <v>33</v>
      </c>
      <c r="AJ31">
        <v>27</v>
      </c>
    </row>
    <row r="32" spans="1:36" x14ac:dyDescent="0.25">
      <c r="Z32">
        <v>331</v>
      </c>
      <c r="AA32" t="s">
        <v>337</v>
      </c>
      <c r="AB32" t="s">
        <v>108</v>
      </c>
      <c r="AC32" t="s">
        <v>24</v>
      </c>
      <c r="AG32">
        <v>422</v>
      </c>
      <c r="AI32">
        <v>33</v>
      </c>
      <c r="AJ32">
        <v>40</v>
      </c>
    </row>
    <row r="33" spans="26:36" x14ac:dyDescent="0.25">
      <c r="Z33">
        <v>332</v>
      </c>
      <c r="AA33" t="s">
        <v>187</v>
      </c>
      <c r="AB33" t="s">
        <v>108</v>
      </c>
      <c r="AC33" t="s">
        <v>24</v>
      </c>
      <c r="AG33">
        <v>586</v>
      </c>
      <c r="AI33">
        <v>33</v>
      </c>
      <c r="AJ33">
        <v>41</v>
      </c>
    </row>
    <row r="34" spans="26:36" x14ac:dyDescent="0.25">
      <c r="Z34">
        <v>333</v>
      </c>
      <c r="AA34" t="s">
        <v>794</v>
      </c>
      <c r="AB34" t="s">
        <v>108</v>
      </c>
      <c r="AC34" t="s">
        <v>23</v>
      </c>
      <c r="AG34">
        <v>580</v>
      </c>
      <c r="AI34">
        <v>33</v>
      </c>
      <c r="AJ34">
        <v>49</v>
      </c>
    </row>
    <row r="35" spans="26:36" x14ac:dyDescent="0.25">
      <c r="Z35">
        <v>334</v>
      </c>
      <c r="AA35" t="s">
        <v>2219</v>
      </c>
      <c r="AB35" t="s">
        <v>108</v>
      </c>
      <c r="AC35" t="s">
        <v>24</v>
      </c>
      <c r="AG35">
        <v>600</v>
      </c>
      <c r="AI35">
        <v>33</v>
      </c>
      <c r="AJ35">
        <v>53</v>
      </c>
    </row>
    <row r="36" spans="26:36" x14ac:dyDescent="0.25">
      <c r="Z36">
        <v>335</v>
      </c>
      <c r="AA36" t="s">
        <v>272</v>
      </c>
      <c r="AB36" t="s">
        <v>12</v>
      </c>
      <c r="AC36" t="s">
        <v>24</v>
      </c>
      <c r="AG36">
        <v>570</v>
      </c>
      <c r="AI36">
        <v>33</v>
      </c>
      <c r="AJ36">
        <v>55</v>
      </c>
    </row>
    <row r="37" spans="26:36" x14ac:dyDescent="0.25">
      <c r="Z37">
        <v>336</v>
      </c>
      <c r="AA37" t="s">
        <v>1748</v>
      </c>
      <c r="AB37" t="s">
        <v>155</v>
      </c>
      <c r="AC37" t="s">
        <v>23</v>
      </c>
      <c r="AG37">
        <v>445</v>
      </c>
      <c r="AI37">
        <v>34</v>
      </c>
      <c r="AJ37">
        <v>7</v>
      </c>
    </row>
    <row r="38" spans="26:36" x14ac:dyDescent="0.25">
      <c r="Z38">
        <v>338</v>
      </c>
      <c r="AA38" t="s">
        <v>2215</v>
      </c>
      <c r="AB38" t="s">
        <v>108</v>
      </c>
      <c r="AC38" t="s">
        <v>23</v>
      </c>
      <c r="AG38">
        <v>434</v>
      </c>
      <c r="AI38">
        <v>34</v>
      </c>
      <c r="AJ38">
        <v>17</v>
      </c>
    </row>
    <row r="39" spans="26:36" x14ac:dyDescent="0.25">
      <c r="Z39">
        <v>339</v>
      </c>
      <c r="AA39" t="s">
        <v>524</v>
      </c>
      <c r="AB39" t="s">
        <v>63</v>
      </c>
      <c r="AC39" t="s">
        <v>852</v>
      </c>
      <c r="AG39">
        <v>331</v>
      </c>
      <c r="AI39">
        <v>34</v>
      </c>
      <c r="AJ39">
        <v>25</v>
      </c>
    </row>
    <row r="40" spans="26:36" x14ac:dyDescent="0.25">
      <c r="Z40">
        <v>340</v>
      </c>
      <c r="AA40" t="s">
        <v>1935</v>
      </c>
      <c r="AB40" t="s">
        <v>63</v>
      </c>
      <c r="AC40" t="s">
        <v>24</v>
      </c>
      <c r="AG40">
        <v>416</v>
      </c>
      <c r="AI40">
        <v>34</v>
      </c>
      <c r="AJ40">
        <v>33</v>
      </c>
    </row>
    <row r="41" spans="26:36" x14ac:dyDescent="0.25">
      <c r="Z41">
        <v>341</v>
      </c>
      <c r="AA41" t="s">
        <v>2213</v>
      </c>
      <c r="AB41" t="s">
        <v>38</v>
      </c>
      <c r="AC41" t="s">
        <v>24</v>
      </c>
      <c r="AG41">
        <v>410</v>
      </c>
      <c r="AI41">
        <v>34</v>
      </c>
      <c r="AJ41">
        <v>35</v>
      </c>
    </row>
    <row r="42" spans="26:36" x14ac:dyDescent="0.25">
      <c r="Z42">
        <v>342</v>
      </c>
      <c r="AA42" t="s">
        <v>1929</v>
      </c>
      <c r="AB42" t="s">
        <v>63</v>
      </c>
      <c r="AC42" t="s">
        <v>23</v>
      </c>
      <c r="AG42">
        <v>446</v>
      </c>
      <c r="AI42">
        <v>34</v>
      </c>
      <c r="AJ42">
        <v>37</v>
      </c>
    </row>
    <row r="43" spans="26:36" x14ac:dyDescent="0.25">
      <c r="Z43">
        <v>343</v>
      </c>
      <c r="AA43" t="s">
        <v>386</v>
      </c>
      <c r="AB43" t="s">
        <v>12</v>
      </c>
      <c r="AC43" t="s">
        <v>24</v>
      </c>
      <c r="AG43">
        <v>377</v>
      </c>
      <c r="AI43">
        <v>34</v>
      </c>
      <c r="AJ43">
        <v>38</v>
      </c>
    </row>
    <row r="44" spans="26:36" x14ac:dyDescent="0.25">
      <c r="Z44">
        <v>344</v>
      </c>
      <c r="AA44" t="s">
        <v>1682</v>
      </c>
      <c r="AB44" t="s">
        <v>108</v>
      </c>
      <c r="AC44" t="s">
        <v>24</v>
      </c>
      <c r="AG44">
        <v>436</v>
      </c>
      <c r="AI44">
        <v>34</v>
      </c>
      <c r="AJ44">
        <v>41</v>
      </c>
    </row>
    <row r="45" spans="26:36" x14ac:dyDescent="0.25">
      <c r="Z45">
        <v>345</v>
      </c>
      <c r="AA45" t="s">
        <v>269</v>
      </c>
      <c r="AB45" t="s">
        <v>43</v>
      </c>
      <c r="AC45" t="s">
        <v>24</v>
      </c>
      <c r="AG45">
        <v>555</v>
      </c>
      <c r="AI45">
        <v>34</v>
      </c>
      <c r="AJ45">
        <v>52</v>
      </c>
    </row>
    <row r="46" spans="26:36" x14ac:dyDescent="0.25">
      <c r="Z46">
        <v>346</v>
      </c>
      <c r="AA46" t="s">
        <v>1758</v>
      </c>
      <c r="AB46" t="s">
        <v>63</v>
      </c>
      <c r="AC46" t="s">
        <v>23</v>
      </c>
      <c r="AG46">
        <v>597</v>
      </c>
      <c r="AI46">
        <v>34</v>
      </c>
      <c r="AJ46">
        <v>55</v>
      </c>
    </row>
    <row r="47" spans="26:36" x14ac:dyDescent="0.25">
      <c r="Z47">
        <v>347</v>
      </c>
      <c r="AA47" t="s">
        <v>1455</v>
      </c>
      <c r="AB47" t="s">
        <v>154</v>
      </c>
      <c r="AC47" t="s">
        <v>23</v>
      </c>
      <c r="AG47">
        <v>350</v>
      </c>
      <c r="AI47">
        <v>34</v>
      </c>
      <c r="AJ47">
        <v>56</v>
      </c>
    </row>
    <row r="48" spans="26:36" x14ac:dyDescent="0.25">
      <c r="Z48">
        <v>348</v>
      </c>
      <c r="AA48" t="s">
        <v>451</v>
      </c>
      <c r="AB48" t="s">
        <v>1325</v>
      </c>
      <c r="AC48" t="s">
        <v>24</v>
      </c>
      <c r="AG48">
        <v>467</v>
      </c>
      <c r="AI48">
        <v>34</v>
      </c>
      <c r="AJ48">
        <v>57</v>
      </c>
    </row>
    <row r="49" spans="26:36" x14ac:dyDescent="0.25">
      <c r="Z49">
        <v>349</v>
      </c>
      <c r="AA49" t="s">
        <v>1699</v>
      </c>
      <c r="AB49" t="s">
        <v>154</v>
      </c>
      <c r="AC49" t="s">
        <v>24</v>
      </c>
      <c r="AG49">
        <v>483</v>
      </c>
      <c r="AI49">
        <v>35</v>
      </c>
      <c r="AJ49">
        <v>17</v>
      </c>
    </row>
    <row r="50" spans="26:36" x14ac:dyDescent="0.25">
      <c r="Z50">
        <v>350</v>
      </c>
      <c r="AA50" t="s">
        <v>1323</v>
      </c>
      <c r="AB50" t="s">
        <v>12</v>
      </c>
      <c r="AC50" t="s">
        <v>23</v>
      </c>
      <c r="AG50">
        <v>592</v>
      </c>
      <c r="AI50">
        <v>35</v>
      </c>
      <c r="AJ50">
        <v>21</v>
      </c>
    </row>
    <row r="51" spans="26:36" x14ac:dyDescent="0.25">
      <c r="Z51">
        <v>351</v>
      </c>
      <c r="AA51" t="s">
        <v>2204</v>
      </c>
      <c r="AB51" t="s">
        <v>12</v>
      </c>
      <c r="AC51" t="s">
        <v>24</v>
      </c>
      <c r="AG51">
        <v>376</v>
      </c>
      <c r="AI51">
        <v>35</v>
      </c>
      <c r="AJ51">
        <v>24</v>
      </c>
    </row>
    <row r="52" spans="26:36" x14ac:dyDescent="0.25">
      <c r="Z52">
        <v>352</v>
      </c>
      <c r="AA52" t="s">
        <v>186</v>
      </c>
      <c r="AB52" t="s">
        <v>12</v>
      </c>
      <c r="AC52" t="s">
        <v>24</v>
      </c>
      <c r="AG52">
        <v>303</v>
      </c>
      <c r="AI52">
        <v>35</v>
      </c>
      <c r="AJ52">
        <v>30</v>
      </c>
    </row>
    <row r="53" spans="26:36" x14ac:dyDescent="0.25">
      <c r="Z53">
        <v>354</v>
      </c>
      <c r="AA53" t="s">
        <v>1155</v>
      </c>
      <c r="AB53" t="s">
        <v>43</v>
      </c>
      <c r="AC53" t="s">
        <v>24</v>
      </c>
      <c r="AG53">
        <v>302</v>
      </c>
      <c r="AI53">
        <v>35</v>
      </c>
      <c r="AJ53">
        <v>34</v>
      </c>
    </row>
    <row r="54" spans="26:36" x14ac:dyDescent="0.25">
      <c r="Z54">
        <v>355</v>
      </c>
      <c r="AA54" t="s">
        <v>578</v>
      </c>
      <c r="AB54" t="s">
        <v>43</v>
      </c>
      <c r="AC54" t="s">
        <v>23</v>
      </c>
      <c r="AG54">
        <v>359</v>
      </c>
      <c r="AI54">
        <v>35</v>
      </c>
      <c r="AJ54">
        <v>41</v>
      </c>
    </row>
    <row r="55" spans="26:36" x14ac:dyDescent="0.25">
      <c r="Z55">
        <v>356</v>
      </c>
      <c r="AA55" t="s">
        <v>198</v>
      </c>
      <c r="AB55" t="s">
        <v>12</v>
      </c>
      <c r="AC55" t="s">
        <v>23</v>
      </c>
      <c r="AG55">
        <v>523</v>
      </c>
      <c r="AI55">
        <v>35</v>
      </c>
      <c r="AJ55">
        <v>44</v>
      </c>
    </row>
    <row r="56" spans="26:36" x14ac:dyDescent="0.25">
      <c r="Z56">
        <v>357</v>
      </c>
      <c r="AA56" t="s">
        <v>1496</v>
      </c>
      <c r="AB56" t="s">
        <v>108</v>
      </c>
      <c r="AC56" t="s">
        <v>24</v>
      </c>
      <c r="AG56">
        <v>531</v>
      </c>
      <c r="AI56">
        <v>35</v>
      </c>
      <c r="AJ56">
        <v>49</v>
      </c>
    </row>
    <row r="57" spans="26:36" x14ac:dyDescent="0.25">
      <c r="Z57">
        <v>359</v>
      </c>
      <c r="AA57" t="s">
        <v>999</v>
      </c>
      <c r="AB57" t="s">
        <v>12</v>
      </c>
      <c r="AC57" t="s">
        <v>24</v>
      </c>
      <c r="AG57">
        <v>554</v>
      </c>
      <c r="AI57">
        <v>35</v>
      </c>
      <c r="AJ57">
        <v>57</v>
      </c>
    </row>
    <row r="58" spans="26:36" x14ac:dyDescent="0.25">
      <c r="Z58">
        <v>360</v>
      </c>
      <c r="AA58" t="s">
        <v>1883</v>
      </c>
      <c r="AB58" t="s">
        <v>154</v>
      </c>
      <c r="AC58" t="s">
        <v>23</v>
      </c>
      <c r="AG58">
        <v>349</v>
      </c>
      <c r="AI58">
        <v>35</v>
      </c>
      <c r="AJ58">
        <v>58</v>
      </c>
    </row>
    <row r="59" spans="26:36" x14ac:dyDescent="0.25">
      <c r="Z59">
        <v>361</v>
      </c>
      <c r="AA59" t="s">
        <v>279</v>
      </c>
      <c r="AB59" t="s">
        <v>108</v>
      </c>
      <c r="AC59" t="s">
        <v>23</v>
      </c>
      <c r="AG59">
        <v>351</v>
      </c>
      <c r="AI59">
        <v>35</v>
      </c>
      <c r="AJ59">
        <v>59</v>
      </c>
    </row>
    <row r="60" spans="26:36" x14ac:dyDescent="0.25">
      <c r="Z60">
        <v>362</v>
      </c>
      <c r="AA60" t="s">
        <v>2225</v>
      </c>
      <c r="AB60" t="s">
        <v>38</v>
      </c>
      <c r="AC60" t="s">
        <v>23</v>
      </c>
      <c r="AG60">
        <v>469</v>
      </c>
      <c r="AI60">
        <v>36</v>
      </c>
      <c r="AJ60">
        <v>7</v>
      </c>
    </row>
    <row r="61" spans="26:36" x14ac:dyDescent="0.25">
      <c r="Z61">
        <v>363</v>
      </c>
      <c r="AA61" t="s">
        <v>456</v>
      </c>
      <c r="AB61" t="s">
        <v>154</v>
      </c>
      <c r="AC61" t="s">
        <v>24</v>
      </c>
      <c r="AG61">
        <v>329</v>
      </c>
      <c r="AI61">
        <v>36</v>
      </c>
      <c r="AJ61">
        <v>8</v>
      </c>
    </row>
    <row r="62" spans="26:36" x14ac:dyDescent="0.25">
      <c r="Z62">
        <v>364</v>
      </c>
      <c r="AA62" t="s">
        <v>2243</v>
      </c>
      <c r="AB62" t="s">
        <v>43</v>
      </c>
      <c r="AC62" t="s">
        <v>24</v>
      </c>
      <c r="AG62">
        <v>475</v>
      </c>
      <c r="AI62">
        <v>36</v>
      </c>
      <c r="AJ62">
        <v>10</v>
      </c>
    </row>
    <row r="63" spans="26:36" x14ac:dyDescent="0.25">
      <c r="Z63">
        <v>365</v>
      </c>
      <c r="AA63" t="s">
        <v>1778</v>
      </c>
      <c r="AB63" t="s">
        <v>154</v>
      </c>
      <c r="AC63" t="s">
        <v>23</v>
      </c>
      <c r="AG63">
        <v>591</v>
      </c>
      <c r="AI63">
        <v>36</v>
      </c>
      <c r="AJ63">
        <v>13</v>
      </c>
    </row>
    <row r="64" spans="26:36" x14ac:dyDescent="0.25">
      <c r="Z64">
        <v>366</v>
      </c>
      <c r="AA64" t="s">
        <v>251</v>
      </c>
      <c r="AB64" t="s">
        <v>63</v>
      </c>
      <c r="AC64" t="s">
        <v>23</v>
      </c>
      <c r="AG64">
        <v>536</v>
      </c>
      <c r="AI64">
        <v>36</v>
      </c>
      <c r="AJ64">
        <v>14</v>
      </c>
    </row>
    <row r="65" spans="26:36" x14ac:dyDescent="0.25">
      <c r="Z65">
        <v>367</v>
      </c>
      <c r="AA65" t="s">
        <v>2238</v>
      </c>
      <c r="AB65" t="s">
        <v>43</v>
      </c>
      <c r="AC65" t="s">
        <v>24</v>
      </c>
      <c r="AG65">
        <v>590</v>
      </c>
      <c r="AI65">
        <v>36</v>
      </c>
      <c r="AJ65">
        <v>17</v>
      </c>
    </row>
    <row r="66" spans="26:36" x14ac:dyDescent="0.25">
      <c r="Z66">
        <v>368</v>
      </c>
      <c r="AA66" t="s">
        <v>565</v>
      </c>
      <c r="AB66" t="s">
        <v>43</v>
      </c>
      <c r="AC66" t="s">
        <v>24</v>
      </c>
      <c r="AG66">
        <v>316</v>
      </c>
      <c r="AI66">
        <v>36</v>
      </c>
      <c r="AJ66">
        <v>20</v>
      </c>
    </row>
    <row r="67" spans="26:36" x14ac:dyDescent="0.25">
      <c r="Z67">
        <v>369</v>
      </c>
      <c r="AA67" t="s">
        <v>2141</v>
      </c>
      <c r="AB67" t="s">
        <v>154</v>
      </c>
      <c r="AC67" t="s">
        <v>24</v>
      </c>
      <c r="AG67">
        <v>319</v>
      </c>
      <c r="AI67">
        <v>36</v>
      </c>
      <c r="AJ67">
        <v>26</v>
      </c>
    </row>
    <row r="68" spans="26:36" x14ac:dyDescent="0.25">
      <c r="Z68">
        <v>370</v>
      </c>
      <c r="AA68" t="s">
        <v>1720</v>
      </c>
      <c r="AB68" t="s">
        <v>154</v>
      </c>
      <c r="AC68" t="s">
        <v>24</v>
      </c>
      <c r="AG68">
        <v>360</v>
      </c>
      <c r="AI68">
        <v>36</v>
      </c>
      <c r="AJ68">
        <v>27</v>
      </c>
    </row>
    <row r="69" spans="26:36" x14ac:dyDescent="0.25">
      <c r="Z69">
        <v>371</v>
      </c>
      <c r="AA69" t="s">
        <v>229</v>
      </c>
      <c r="AB69" t="s">
        <v>108</v>
      </c>
      <c r="AC69" t="s">
        <v>23</v>
      </c>
      <c r="AG69">
        <v>428</v>
      </c>
      <c r="AI69">
        <v>36</v>
      </c>
      <c r="AJ69">
        <v>29</v>
      </c>
    </row>
    <row r="70" spans="26:36" x14ac:dyDescent="0.25">
      <c r="Z70">
        <v>372</v>
      </c>
      <c r="AA70" t="s">
        <v>1910</v>
      </c>
      <c r="AB70" t="s">
        <v>154</v>
      </c>
      <c r="AC70" t="s">
        <v>23</v>
      </c>
      <c r="AG70">
        <v>596</v>
      </c>
      <c r="AI70">
        <v>36</v>
      </c>
      <c r="AJ70">
        <v>35</v>
      </c>
    </row>
    <row r="71" spans="26:36" x14ac:dyDescent="0.25">
      <c r="Z71">
        <v>373</v>
      </c>
      <c r="AA71" t="s">
        <v>476</v>
      </c>
      <c r="AB71" t="s">
        <v>154</v>
      </c>
      <c r="AC71" t="s">
        <v>23</v>
      </c>
      <c r="AG71">
        <v>340</v>
      </c>
      <c r="AI71">
        <v>36</v>
      </c>
      <c r="AJ71">
        <v>41</v>
      </c>
    </row>
    <row r="72" spans="26:36" x14ac:dyDescent="0.25">
      <c r="Z72">
        <v>375</v>
      </c>
      <c r="AA72" t="s">
        <v>228</v>
      </c>
      <c r="AB72" t="s">
        <v>108</v>
      </c>
      <c r="AC72" t="s">
        <v>23</v>
      </c>
      <c r="AG72">
        <v>307</v>
      </c>
      <c r="AI72">
        <v>36</v>
      </c>
      <c r="AJ72">
        <v>51</v>
      </c>
    </row>
    <row r="73" spans="26:36" x14ac:dyDescent="0.25">
      <c r="Z73">
        <v>376</v>
      </c>
      <c r="AA73" t="s">
        <v>2124</v>
      </c>
      <c r="AB73" t="s">
        <v>12</v>
      </c>
      <c r="AC73" t="s">
        <v>23</v>
      </c>
      <c r="AG73">
        <v>453</v>
      </c>
      <c r="AI73">
        <v>36</v>
      </c>
      <c r="AJ73">
        <v>54</v>
      </c>
    </row>
    <row r="74" spans="26:36" x14ac:dyDescent="0.25">
      <c r="Z74">
        <v>377</v>
      </c>
      <c r="AA74" t="s">
        <v>1764</v>
      </c>
      <c r="AB74" t="s">
        <v>38</v>
      </c>
      <c r="AC74" t="s">
        <v>24</v>
      </c>
      <c r="AG74">
        <v>519</v>
      </c>
      <c r="AI74">
        <v>36</v>
      </c>
      <c r="AJ74">
        <v>55</v>
      </c>
    </row>
    <row r="75" spans="26:36" x14ac:dyDescent="0.25">
      <c r="Z75">
        <v>378</v>
      </c>
      <c r="AA75" t="s">
        <v>1345</v>
      </c>
      <c r="AB75" t="s">
        <v>12</v>
      </c>
      <c r="AC75" t="s">
        <v>24</v>
      </c>
      <c r="AG75">
        <v>478</v>
      </c>
      <c r="AI75">
        <v>36</v>
      </c>
      <c r="AJ75">
        <v>57</v>
      </c>
    </row>
    <row r="76" spans="26:36" x14ac:dyDescent="0.25">
      <c r="Z76">
        <v>379</v>
      </c>
      <c r="AA76" t="s">
        <v>421</v>
      </c>
      <c r="AB76" t="s">
        <v>14</v>
      </c>
      <c r="AC76" t="s">
        <v>24</v>
      </c>
      <c r="AG76">
        <v>589</v>
      </c>
      <c r="AI76">
        <v>37</v>
      </c>
      <c r="AJ76">
        <v>4</v>
      </c>
    </row>
    <row r="77" spans="26:36" x14ac:dyDescent="0.25">
      <c r="Z77">
        <v>380</v>
      </c>
      <c r="AA77" t="s">
        <v>525</v>
      </c>
      <c r="AB77" t="s">
        <v>43</v>
      </c>
      <c r="AC77" t="s">
        <v>24</v>
      </c>
      <c r="AG77">
        <v>412</v>
      </c>
      <c r="AI77">
        <v>37</v>
      </c>
      <c r="AJ77">
        <v>10</v>
      </c>
    </row>
    <row r="78" spans="26:36" x14ac:dyDescent="0.25">
      <c r="Z78">
        <v>381</v>
      </c>
      <c r="AA78" t="s">
        <v>2227</v>
      </c>
      <c r="AB78" t="s">
        <v>154</v>
      </c>
      <c r="AC78" t="s">
        <v>23</v>
      </c>
      <c r="AG78">
        <v>473</v>
      </c>
      <c r="AI78">
        <v>37</v>
      </c>
      <c r="AJ78">
        <v>20</v>
      </c>
    </row>
    <row r="79" spans="26:36" x14ac:dyDescent="0.25">
      <c r="Z79">
        <v>382</v>
      </c>
      <c r="AA79" t="s">
        <v>1794</v>
      </c>
      <c r="AB79" t="s">
        <v>14</v>
      </c>
      <c r="AC79" t="s">
        <v>23</v>
      </c>
      <c r="AG79">
        <v>387</v>
      </c>
      <c r="AI79">
        <v>37</v>
      </c>
      <c r="AJ79">
        <v>23</v>
      </c>
    </row>
    <row r="80" spans="26:36" x14ac:dyDescent="0.25">
      <c r="Z80">
        <v>383</v>
      </c>
      <c r="AA80" t="s">
        <v>475</v>
      </c>
      <c r="AB80" t="s">
        <v>154</v>
      </c>
      <c r="AC80" t="s">
        <v>23</v>
      </c>
      <c r="AG80">
        <v>354</v>
      </c>
      <c r="AI80">
        <v>37</v>
      </c>
      <c r="AJ80">
        <v>25</v>
      </c>
    </row>
    <row r="81" spans="26:36" x14ac:dyDescent="0.25">
      <c r="Z81">
        <v>384</v>
      </c>
      <c r="AA81" t="s">
        <v>1677</v>
      </c>
      <c r="AB81" t="s">
        <v>14</v>
      </c>
      <c r="AC81" t="s">
        <v>23</v>
      </c>
      <c r="AG81">
        <v>521</v>
      </c>
      <c r="AI81">
        <v>37</v>
      </c>
      <c r="AJ81">
        <v>29</v>
      </c>
    </row>
    <row r="82" spans="26:36" x14ac:dyDescent="0.25">
      <c r="Z82">
        <v>385</v>
      </c>
      <c r="AA82" t="s">
        <v>364</v>
      </c>
      <c r="AB82" t="s">
        <v>12</v>
      </c>
      <c r="AC82" t="s">
        <v>24</v>
      </c>
      <c r="AG82">
        <v>464</v>
      </c>
      <c r="AI82">
        <v>37</v>
      </c>
      <c r="AJ82">
        <v>45</v>
      </c>
    </row>
    <row r="83" spans="26:36" x14ac:dyDescent="0.25">
      <c r="Z83">
        <v>386</v>
      </c>
      <c r="AA83" t="s">
        <v>2231</v>
      </c>
      <c r="AB83" t="s">
        <v>12</v>
      </c>
      <c r="AC83" t="s">
        <v>23</v>
      </c>
      <c r="AG83">
        <v>476</v>
      </c>
      <c r="AI83">
        <v>37</v>
      </c>
      <c r="AJ83">
        <v>47</v>
      </c>
    </row>
    <row r="84" spans="26:36" x14ac:dyDescent="0.25">
      <c r="Z84">
        <v>387</v>
      </c>
      <c r="AA84" t="s">
        <v>264</v>
      </c>
      <c r="AB84" t="s">
        <v>12</v>
      </c>
      <c r="AC84" t="s">
        <v>24</v>
      </c>
      <c r="AG84">
        <v>417</v>
      </c>
      <c r="AI84">
        <v>37</v>
      </c>
      <c r="AJ84">
        <v>52</v>
      </c>
    </row>
    <row r="85" spans="26:36" x14ac:dyDescent="0.25">
      <c r="Z85">
        <v>388</v>
      </c>
      <c r="AA85" t="s">
        <v>1404</v>
      </c>
      <c r="AB85" t="s">
        <v>155</v>
      </c>
      <c r="AC85" t="s">
        <v>24</v>
      </c>
      <c r="AG85">
        <v>468</v>
      </c>
      <c r="AI85">
        <v>37</v>
      </c>
      <c r="AJ85">
        <v>57</v>
      </c>
    </row>
    <row r="86" spans="26:36" x14ac:dyDescent="0.25">
      <c r="Z86">
        <v>389</v>
      </c>
      <c r="AA86" t="s">
        <v>872</v>
      </c>
      <c r="AB86" t="s">
        <v>155</v>
      </c>
      <c r="AC86" t="s">
        <v>24</v>
      </c>
      <c r="AG86">
        <v>345</v>
      </c>
      <c r="AI86">
        <v>38</v>
      </c>
      <c r="AJ86">
        <v>1</v>
      </c>
    </row>
    <row r="87" spans="26:36" x14ac:dyDescent="0.25">
      <c r="Z87">
        <v>390</v>
      </c>
      <c r="AA87" t="s">
        <v>1083</v>
      </c>
      <c r="AB87" t="s">
        <v>38</v>
      </c>
      <c r="AC87" t="s">
        <v>23</v>
      </c>
      <c r="AG87">
        <v>371</v>
      </c>
      <c r="AI87">
        <v>38</v>
      </c>
      <c r="AJ87">
        <v>6</v>
      </c>
    </row>
    <row r="88" spans="26:36" x14ac:dyDescent="0.25">
      <c r="Z88">
        <v>391</v>
      </c>
      <c r="AA88" t="s">
        <v>782</v>
      </c>
      <c r="AB88" t="s">
        <v>12</v>
      </c>
      <c r="AC88" t="s">
        <v>23</v>
      </c>
      <c r="AG88">
        <v>418</v>
      </c>
      <c r="AI88">
        <v>38</v>
      </c>
      <c r="AJ88">
        <v>24</v>
      </c>
    </row>
    <row r="89" spans="26:36" x14ac:dyDescent="0.25">
      <c r="Z89">
        <v>392</v>
      </c>
      <c r="AA89" t="s">
        <v>1371</v>
      </c>
      <c r="AB89" t="s">
        <v>38</v>
      </c>
      <c r="AC89" t="s">
        <v>23</v>
      </c>
      <c r="AG89">
        <v>534</v>
      </c>
      <c r="AI89">
        <v>38</v>
      </c>
      <c r="AJ89">
        <v>25</v>
      </c>
    </row>
    <row r="90" spans="26:36" x14ac:dyDescent="0.25">
      <c r="Z90">
        <v>393</v>
      </c>
      <c r="AA90" t="s">
        <v>756</v>
      </c>
      <c r="AB90" t="s">
        <v>155</v>
      </c>
      <c r="AC90" t="s">
        <v>23</v>
      </c>
      <c r="AG90">
        <v>568</v>
      </c>
      <c r="AI90">
        <v>38</v>
      </c>
      <c r="AJ90">
        <v>26</v>
      </c>
    </row>
    <row r="91" spans="26:36" x14ac:dyDescent="0.25">
      <c r="Z91">
        <v>394</v>
      </c>
      <c r="AA91" t="s">
        <v>385</v>
      </c>
      <c r="AB91" t="s">
        <v>12</v>
      </c>
      <c r="AC91" t="s">
        <v>23</v>
      </c>
      <c r="AG91">
        <v>352</v>
      </c>
      <c r="AI91">
        <v>38</v>
      </c>
      <c r="AJ91">
        <v>37</v>
      </c>
    </row>
    <row r="92" spans="26:36" x14ac:dyDescent="0.25">
      <c r="Z92">
        <v>395</v>
      </c>
      <c r="AA92" t="s">
        <v>2212</v>
      </c>
      <c r="AB92" t="s">
        <v>38</v>
      </c>
      <c r="AC92" t="s">
        <v>24</v>
      </c>
      <c r="AG92">
        <v>573</v>
      </c>
      <c r="AI92">
        <v>38</v>
      </c>
      <c r="AJ92">
        <v>40</v>
      </c>
    </row>
    <row r="93" spans="26:36" x14ac:dyDescent="0.25">
      <c r="Z93">
        <v>396</v>
      </c>
      <c r="AA93" t="s">
        <v>1851</v>
      </c>
      <c r="AB93" t="s">
        <v>63</v>
      </c>
      <c r="AC93" t="s">
        <v>23</v>
      </c>
      <c r="AG93">
        <v>323</v>
      </c>
      <c r="AI93">
        <v>38</v>
      </c>
      <c r="AJ93">
        <v>43</v>
      </c>
    </row>
    <row r="94" spans="26:36" x14ac:dyDescent="0.25">
      <c r="Z94">
        <v>397</v>
      </c>
      <c r="AA94" t="s">
        <v>2228</v>
      </c>
      <c r="AB94" t="s">
        <v>12</v>
      </c>
      <c r="AC94" t="s">
        <v>23</v>
      </c>
      <c r="AG94">
        <v>444</v>
      </c>
      <c r="AI94">
        <v>38</v>
      </c>
      <c r="AJ94">
        <v>58</v>
      </c>
    </row>
    <row r="95" spans="26:36" x14ac:dyDescent="0.25">
      <c r="Z95">
        <v>398</v>
      </c>
      <c r="AA95" t="s">
        <v>298</v>
      </c>
      <c r="AB95" t="s">
        <v>108</v>
      </c>
      <c r="AC95" t="s">
        <v>23</v>
      </c>
      <c r="AG95">
        <v>550</v>
      </c>
      <c r="AI95">
        <v>39</v>
      </c>
      <c r="AJ95">
        <v>3</v>
      </c>
    </row>
    <row r="96" spans="26:36" x14ac:dyDescent="0.25">
      <c r="Z96">
        <v>399</v>
      </c>
      <c r="AA96" t="s">
        <v>302</v>
      </c>
      <c r="AB96" t="s">
        <v>108</v>
      </c>
      <c r="AC96" t="s">
        <v>24</v>
      </c>
      <c r="AG96">
        <v>407</v>
      </c>
      <c r="AI96">
        <v>39</v>
      </c>
      <c r="AJ96">
        <v>13</v>
      </c>
    </row>
    <row r="97" spans="26:36" x14ac:dyDescent="0.25">
      <c r="Z97">
        <v>400</v>
      </c>
      <c r="AA97" t="s">
        <v>2251</v>
      </c>
      <c r="AB97" t="s">
        <v>155</v>
      </c>
      <c r="AC97" t="s">
        <v>24</v>
      </c>
      <c r="AG97">
        <v>388</v>
      </c>
      <c r="AI97">
        <v>39</v>
      </c>
      <c r="AJ97">
        <v>22</v>
      </c>
    </row>
    <row r="98" spans="26:36" x14ac:dyDescent="0.25">
      <c r="Z98">
        <v>401</v>
      </c>
      <c r="AA98" t="s">
        <v>380</v>
      </c>
      <c r="AB98" t="s">
        <v>43</v>
      </c>
      <c r="AC98" t="s">
        <v>23</v>
      </c>
      <c r="AG98">
        <v>515</v>
      </c>
      <c r="AI98">
        <v>39</v>
      </c>
      <c r="AJ98">
        <v>23</v>
      </c>
    </row>
    <row r="99" spans="26:36" x14ac:dyDescent="0.25">
      <c r="Z99">
        <v>402</v>
      </c>
      <c r="AA99" t="s">
        <v>1410</v>
      </c>
      <c r="AB99" t="s">
        <v>63</v>
      </c>
      <c r="AC99" t="s">
        <v>24</v>
      </c>
      <c r="AG99">
        <v>572</v>
      </c>
      <c r="AI99">
        <v>39</v>
      </c>
      <c r="AJ99">
        <v>26</v>
      </c>
    </row>
    <row r="100" spans="26:36" x14ac:dyDescent="0.25">
      <c r="Z100">
        <v>403</v>
      </c>
      <c r="AA100" t="s">
        <v>353</v>
      </c>
      <c r="AB100" t="s">
        <v>43</v>
      </c>
      <c r="AC100" t="s">
        <v>24</v>
      </c>
      <c r="AG100">
        <v>315</v>
      </c>
      <c r="AI100">
        <v>39</v>
      </c>
      <c r="AJ100">
        <v>27</v>
      </c>
    </row>
    <row r="101" spans="26:36" x14ac:dyDescent="0.25">
      <c r="Z101">
        <v>404</v>
      </c>
      <c r="AA101" t="s">
        <v>243</v>
      </c>
      <c r="AB101" t="s">
        <v>63</v>
      </c>
      <c r="AC101" t="s">
        <v>24</v>
      </c>
      <c r="AG101">
        <v>322</v>
      </c>
      <c r="AI101">
        <v>39</v>
      </c>
      <c r="AJ101">
        <v>28</v>
      </c>
    </row>
    <row r="102" spans="26:36" x14ac:dyDescent="0.25">
      <c r="Z102">
        <v>405</v>
      </c>
      <c r="AA102" t="s">
        <v>1751</v>
      </c>
      <c r="AB102" t="s">
        <v>63</v>
      </c>
      <c r="AC102" t="s">
        <v>24</v>
      </c>
      <c r="AG102">
        <v>437</v>
      </c>
      <c r="AI102">
        <v>39</v>
      </c>
      <c r="AJ102">
        <v>29</v>
      </c>
    </row>
    <row r="103" spans="26:36" x14ac:dyDescent="0.25">
      <c r="Z103">
        <v>406</v>
      </c>
      <c r="AA103" t="s">
        <v>448</v>
      </c>
      <c r="AB103" t="s">
        <v>12</v>
      </c>
      <c r="AC103" t="s">
        <v>23</v>
      </c>
      <c r="AG103">
        <v>516</v>
      </c>
      <c r="AI103">
        <v>39</v>
      </c>
      <c r="AJ103">
        <v>31</v>
      </c>
    </row>
    <row r="104" spans="26:36" x14ac:dyDescent="0.25">
      <c r="Z104">
        <v>407</v>
      </c>
      <c r="AA104" t="s">
        <v>2211</v>
      </c>
      <c r="AB104" t="s">
        <v>63</v>
      </c>
      <c r="AC104" t="s">
        <v>23</v>
      </c>
      <c r="AG104">
        <v>304</v>
      </c>
      <c r="AI104">
        <v>39</v>
      </c>
      <c r="AJ104">
        <v>33</v>
      </c>
    </row>
    <row r="105" spans="26:36" x14ac:dyDescent="0.25">
      <c r="Z105">
        <v>408</v>
      </c>
      <c r="AA105" t="s">
        <v>2247</v>
      </c>
      <c r="AB105" t="s">
        <v>63</v>
      </c>
      <c r="AC105" t="s">
        <v>24</v>
      </c>
      <c r="AG105">
        <v>426</v>
      </c>
      <c r="AI105">
        <v>39</v>
      </c>
      <c r="AJ105">
        <v>34</v>
      </c>
    </row>
    <row r="106" spans="26:36" x14ac:dyDescent="0.25">
      <c r="Z106">
        <v>409</v>
      </c>
      <c r="AA106" t="s">
        <v>1182</v>
      </c>
      <c r="AB106" t="s">
        <v>63</v>
      </c>
      <c r="AC106" t="s">
        <v>23</v>
      </c>
      <c r="AG106">
        <v>406</v>
      </c>
      <c r="AI106">
        <v>39</v>
      </c>
      <c r="AJ106">
        <v>42</v>
      </c>
    </row>
    <row r="107" spans="26:36" x14ac:dyDescent="0.25">
      <c r="Z107">
        <v>410</v>
      </c>
      <c r="AA107" t="s">
        <v>1956</v>
      </c>
      <c r="AB107" t="s">
        <v>154</v>
      </c>
      <c r="AC107" t="s">
        <v>23</v>
      </c>
      <c r="AG107">
        <v>389</v>
      </c>
      <c r="AI107">
        <v>39</v>
      </c>
      <c r="AJ107">
        <v>45</v>
      </c>
    </row>
    <row r="108" spans="26:36" x14ac:dyDescent="0.25">
      <c r="Z108">
        <v>411</v>
      </c>
      <c r="AA108" t="s">
        <v>218</v>
      </c>
      <c r="AB108" t="s">
        <v>38</v>
      </c>
      <c r="AC108" t="s">
        <v>24</v>
      </c>
      <c r="AG108">
        <v>458</v>
      </c>
      <c r="AI108">
        <v>39</v>
      </c>
      <c r="AJ108">
        <v>52</v>
      </c>
    </row>
    <row r="109" spans="26:36" x14ac:dyDescent="0.25">
      <c r="Z109">
        <v>412</v>
      </c>
      <c r="AA109" t="s">
        <v>2138</v>
      </c>
      <c r="AB109" t="s">
        <v>63</v>
      </c>
      <c r="AC109" t="s">
        <v>24</v>
      </c>
      <c r="AG109">
        <v>357</v>
      </c>
      <c r="AI109">
        <v>40</v>
      </c>
      <c r="AJ109">
        <v>0</v>
      </c>
    </row>
    <row r="110" spans="26:36" x14ac:dyDescent="0.25">
      <c r="Z110">
        <v>413</v>
      </c>
      <c r="AA110" t="s">
        <v>2147</v>
      </c>
      <c r="AB110" t="s">
        <v>63</v>
      </c>
      <c r="AC110" t="s">
        <v>23</v>
      </c>
      <c r="AG110">
        <v>395</v>
      </c>
      <c r="AI110">
        <v>40</v>
      </c>
      <c r="AJ110">
        <v>4</v>
      </c>
    </row>
    <row r="111" spans="26:36" x14ac:dyDescent="0.25">
      <c r="Z111">
        <v>414</v>
      </c>
      <c r="AA111" t="s">
        <v>1753</v>
      </c>
      <c r="AB111" t="s">
        <v>63</v>
      </c>
      <c r="AC111" t="s">
        <v>23</v>
      </c>
      <c r="AG111">
        <v>427</v>
      </c>
      <c r="AI111">
        <v>40</v>
      </c>
      <c r="AJ111">
        <v>6</v>
      </c>
    </row>
    <row r="112" spans="26:36" x14ac:dyDescent="0.25">
      <c r="Z112">
        <v>415</v>
      </c>
      <c r="AA112" t="s">
        <v>1468</v>
      </c>
      <c r="AB112" t="s">
        <v>155</v>
      </c>
      <c r="AC112" t="s">
        <v>24</v>
      </c>
      <c r="AG112">
        <v>402</v>
      </c>
      <c r="AI112">
        <v>40</v>
      </c>
      <c r="AJ112">
        <v>8</v>
      </c>
    </row>
    <row r="113" spans="26:36" x14ac:dyDescent="0.25">
      <c r="Z113">
        <v>416</v>
      </c>
      <c r="AA113" t="s">
        <v>2199</v>
      </c>
      <c r="AB113" t="s">
        <v>63</v>
      </c>
      <c r="AC113" t="s">
        <v>24</v>
      </c>
      <c r="AG113">
        <v>564</v>
      </c>
      <c r="AI113">
        <v>40</v>
      </c>
      <c r="AJ113">
        <v>10</v>
      </c>
    </row>
    <row r="114" spans="26:36" x14ac:dyDescent="0.25">
      <c r="Z114">
        <v>417</v>
      </c>
      <c r="AA114" t="s">
        <v>2209</v>
      </c>
      <c r="AB114" t="s">
        <v>12</v>
      </c>
      <c r="AC114" t="s">
        <v>24</v>
      </c>
      <c r="AG114">
        <v>341</v>
      </c>
      <c r="AI114">
        <v>40</v>
      </c>
      <c r="AJ114">
        <v>20</v>
      </c>
    </row>
    <row r="115" spans="26:36" x14ac:dyDescent="0.25">
      <c r="Z115">
        <v>418</v>
      </c>
      <c r="AA115" t="s">
        <v>365</v>
      </c>
      <c r="AB115" t="s">
        <v>154</v>
      </c>
      <c r="AC115" t="s">
        <v>23</v>
      </c>
      <c r="AG115">
        <v>443</v>
      </c>
      <c r="AI115">
        <v>40</v>
      </c>
      <c r="AJ115">
        <v>22</v>
      </c>
    </row>
    <row r="116" spans="26:36" x14ac:dyDescent="0.25">
      <c r="Z116">
        <v>419</v>
      </c>
      <c r="AA116" t="s">
        <v>244</v>
      </c>
      <c r="AB116" t="s">
        <v>63</v>
      </c>
      <c r="AC116" t="s">
        <v>24</v>
      </c>
      <c r="AG116">
        <v>338</v>
      </c>
      <c r="AI116">
        <v>40</v>
      </c>
      <c r="AJ116">
        <v>27</v>
      </c>
    </row>
    <row r="117" spans="26:36" x14ac:dyDescent="0.25">
      <c r="Z117">
        <v>420</v>
      </c>
      <c r="AA117" t="s">
        <v>1512</v>
      </c>
      <c r="AB117" t="s">
        <v>63</v>
      </c>
      <c r="AC117" t="s">
        <v>23</v>
      </c>
      <c r="AG117">
        <v>539</v>
      </c>
      <c r="AI117">
        <v>40</v>
      </c>
      <c r="AJ117">
        <v>36</v>
      </c>
    </row>
    <row r="118" spans="26:36" x14ac:dyDescent="0.25">
      <c r="Z118">
        <v>422</v>
      </c>
      <c r="AA118" t="s">
        <v>2197</v>
      </c>
      <c r="AB118" t="s">
        <v>1805</v>
      </c>
      <c r="AC118" t="s">
        <v>24</v>
      </c>
      <c r="AG118">
        <v>551</v>
      </c>
      <c r="AI118">
        <v>40</v>
      </c>
      <c r="AJ118">
        <v>38</v>
      </c>
    </row>
    <row r="119" spans="26:36" x14ac:dyDescent="0.25">
      <c r="Z119">
        <v>423</v>
      </c>
      <c r="AA119" t="s">
        <v>2234</v>
      </c>
      <c r="AB119" t="s">
        <v>1805</v>
      </c>
      <c r="AC119" t="s">
        <v>23</v>
      </c>
      <c r="AG119">
        <v>504</v>
      </c>
      <c r="AI119">
        <v>40</v>
      </c>
      <c r="AJ119">
        <v>40</v>
      </c>
    </row>
    <row r="120" spans="26:36" x14ac:dyDescent="0.25">
      <c r="Z120">
        <v>424</v>
      </c>
      <c r="AA120" t="s">
        <v>2216</v>
      </c>
      <c r="AB120" t="s">
        <v>1805</v>
      </c>
      <c r="AC120" t="s">
        <v>23</v>
      </c>
      <c r="AG120">
        <v>424</v>
      </c>
      <c r="AI120">
        <v>40</v>
      </c>
      <c r="AJ120">
        <v>41</v>
      </c>
    </row>
    <row r="121" spans="26:36" x14ac:dyDescent="0.25">
      <c r="Z121">
        <v>425</v>
      </c>
      <c r="AA121" t="s">
        <v>2193</v>
      </c>
      <c r="AB121" t="s">
        <v>1805</v>
      </c>
      <c r="AC121" t="s">
        <v>24</v>
      </c>
      <c r="AG121">
        <v>562</v>
      </c>
      <c r="AI121">
        <v>40</v>
      </c>
      <c r="AJ121">
        <v>44</v>
      </c>
    </row>
    <row r="122" spans="26:36" x14ac:dyDescent="0.25">
      <c r="Z122">
        <v>426</v>
      </c>
      <c r="AA122" t="s">
        <v>375</v>
      </c>
      <c r="AB122" t="s">
        <v>108</v>
      </c>
      <c r="AC122" t="s">
        <v>23</v>
      </c>
      <c r="AG122">
        <v>382</v>
      </c>
      <c r="AI122">
        <v>40</v>
      </c>
      <c r="AJ122">
        <v>53</v>
      </c>
    </row>
    <row r="123" spans="26:36" x14ac:dyDescent="0.25">
      <c r="Z123">
        <v>427</v>
      </c>
      <c r="AA123" t="s">
        <v>1779</v>
      </c>
      <c r="AB123" t="s">
        <v>1805</v>
      </c>
      <c r="AC123" t="s">
        <v>24</v>
      </c>
      <c r="AG123">
        <v>566</v>
      </c>
      <c r="AI123">
        <v>40</v>
      </c>
      <c r="AJ123">
        <v>54</v>
      </c>
    </row>
    <row r="124" spans="26:36" x14ac:dyDescent="0.25">
      <c r="Z124">
        <v>428</v>
      </c>
      <c r="AA124" t="s">
        <v>2207</v>
      </c>
      <c r="AB124" t="s">
        <v>1805</v>
      </c>
      <c r="AC124" t="s">
        <v>24</v>
      </c>
      <c r="AG124">
        <v>544</v>
      </c>
      <c r="AI124">
        <v>41</v>
      </c>
      <c r="AJ124">
        <v>11</v>
      </c>
    </row>
    <row r="125" spans="26:36" x14ac:dyDescent="0.25">
      <c r="Z125">
        <v>430</v>
      </c>
      <c r="AA125" t="s">
        <v>1799</v>
      </c>
      <c r="AB125" t="s">
        <v>1805</v>
      </c>
      <c r="AC125" t="s">
        <v>24</v>
      </c>
      <c r="AG125">
        <v>415</v>
      </c>
      <c r="AI125">
        <v>41</v>
      </c>
      <c r="AJ125">
        <v>17</v>
      </c>
    </row>
    <row r="126" spans="26:36" x14ac:dyDescent="0.25">
      <c r="Z126">
        <v>431</v>
      </c>
      <c r="AA126" t="s">
        <v>2222</v>
      </c>
      <c r="AB126" t="s">
        <v>1805</v>
      </c>
      <c r="AC126" t="s">
        <v>23</v>
      </c>
      <c r="AG126">
        <v>365</v>
      </c>
      <c r="AI126">
        <v>41</v>
      </c>
      <c r="AJ126">
        <v>21</v>
      </c>
    </row>
    <row r="127" spans="26:36" x14ac:dyDescent="0.25">
      <c r="Z127">
        <v>432</v>
      </c>
      <c r="AA127" t="s">
        <v>1792</v>
      </c>
      <c r="AB127" t="s">
        <v>1805</v>
      </c>
      <c r="AC127" t="s">
        <v>24</v>
      </c>
      <c r="AG127">
        <v>527</v>
      </c>
      <c r="AI127">
        <v>41</v>
      </c>
      <c r="AJ127">
        <v>22</v>
      </c>
    </row>
    <row r="128" spans="26:36" x14ac:dyDescent="0.25">
      <c r="Z128">
        <v>433</v>
      </c>
      <c r="AA128" t="s">
        <v>2023</v>
      </c>
      <c r="AB128" t="s">
        <v>1805</v>
      </c>
      <c r="AC128" t="s">
        <v>23</v>
      </c>
      <c r="AG128">
        <v>465</v>
      </c>
      <c r="AI128">
        <v>41</v>
      </c>
      <c r="AJ128">
        <v>23</v>
      </c>
    </row>
    <row r="129" spans="26:36" x14ac:dyDescent="0.25">
      <c r="Z129">
        <v>434</v>
      </c>
      <c r="AA129" t="s">
        <v>1822</v>
      </c>
      <c r="AB129" t="s">
        <v>1805</v>
      </c>
      <c r="AC129" t="s">
        <v>24</v>
      </c>
      <c r="AG129">
        <v>578</v>
      </c>
      <c r="AI129">
        <v>41</v>
      </c>
      <c r="AJ129">
        <v>25</v>
      </c>
    </row>
    <row r="130" spans="26:36" x14ac:dyDescent="0.25">
      <c r="Z130">
        <v>435</v>
      </c>
      <c r="AA130" t="s">
        <v>2224</v>
      </c>
      <c r="AB130" t="s">
        <v>1805</v>
      </c>
      <c r="AC130" t="s">
        <v>23</v>
      </c>
      <c r="AG130">
        <v>485</v>
      </c>
      <c r="AI130">
        <v>41</v>
      </c>
      <c r="AJ130">
        <v>26</v>
      </c>
    </row>
    <row r="131" spans="26:36" x14ac:dyDescent="0.25">
      <c r="Z131">
        <v>436</v>
      </c>
      <c r="AA131" t="s">
        <v>2200</v>
      </c>
      <c r="AB131" t="s">
        <v>1805</v>
      </c>
      <c r="AC131" t="s">
        <v>24</v>
      </c>
      <c r="AG131">
        <v>569</v>
      </c>
      <c r="AI131">
        <v>41</v>
      </c>
      <c r="AJ131">
        <v>35</v>
      </c>
    </row>
    <row r="132" spans="26:36" x14ac:dyDescent="0.25">
      <c r="Z132">
        <v>437</v>
      </c>
      <c r="AA132" t="s">
        <v>1797</v>
      </c>
      <c r="AB132" t="s">
        <v>1805</v>
      </c>
      <c r="AC132" t="s">
        <v>24</v>
      </c>
      <c r="AG132">
        <v>440</v>
      </c>
      <c r="AI132">
        <v>41</v>
      </c>
      <c r="AJ132">
        <v>36</v>
      </c>
    </row>
    <row r="133" spans="26:36" x14ac:dyDescent="0.25">
      <c r="Z133">
        <v>438</v>
      </c>
      <c r="AA133" t="s">
        <v>2028</v>
      </c>
      <c r="AB133" t="s">
        <v>1805</v>
      </c>
      <c r="AC133" t="s">
        <v>24</v>
      </c>
      <c r="AG133">
        <v>598</v>
      </c>
      <c r="AI133">
        <v>41</v>
      </c>
      <c r="AJ133">
        <v>38</v>
      </c>
    </row>
    <row r="134" spans="26:36" x14ac:dyDescent="0.25">
      <c r="Z134">
        <v>439</v>
      </c>
      <c r="AA134" t="s">
        <v>2236</v>
      </c>
      <c r="AB134" t="s">
        <v>1805</v>
      </c>
      <c r="AC134" t="s">
        <v>23</v>
      </c>
      <c r="AG134">
        <v>472</v>
      </c>
      <c r="AI134">
        <v>41</v>
      </c>
      <c r="AJ134">
        <v>45</v>
      </c>
    </row>
    <row r="135" spans="26:36" x14ac:dyDescent="0.25">
      <c r="Z135">
        <v>440</v>
      </c>
      <c r="AA135" t="s">
        <v>2217</v>
      </c>
      <c r="AB135" t="s">
        <v>1805</v>
      </c>
      <c r="AC135" t="s">
        <v>24</v>
      </c>
      <c r="AG135">
        <v>457</v>
      </c>
      <c r="AI135">
        <v>41</v>
      </c>
      <c r="AJ135">
        <v>50</v>
      </c>
    </row>
    <row r="136" spans="26:36" x14ac:dyDescent="0.25">
      <c r="Z136">
        <v>443</v>
      </c>
      <c r="AA136" t="s">
        <v>2214</v>
      </c>
      <c r="AB136" t="s">
        <v>1805</v>
      </c>
      <c r="AC136" t="s">
        <v>24</v>
      </c>
      <c r="AG136">
        <v>405</v>
      </c>
      <c r="AI136">
        <v>41</v>
      </c>
      <c r="AJ136">
        <v>53</v>
      </c>
    </row>
    <row r="137" spans="26:36" x14ac:dyDescent="0.25">
      <c r="Z137">
        <v>444</v>
      </c>
      <c r="AA137" t="s">
        <v>1762</v>
      </c>
      <c r="AB137" t="s">
        <v>108</v>
      </c>
      <c r="AC137" t="s">
        <v>24</v>
      </c>
      <c r="AG137">
        <v>334</v>
      </c>
      <c r="AI137">
        <v>41</v>
      </c>
      <c r="AJ137">
        <v>56</v>
      </c>
    </row>
    <row r="138" spans="26:36" x14ac:dyDescent="0.25">
      <c r="Z138">
        <v>445</v>
      </c>
      <c r="AA138" t="s">
        <v>1785</v>
      </c>
      <c r="AB138" t="s">
        <v>12</v>
      </c>
      <c r="AC138" t="s">
        <v>24</v>
      </c>
      <c r="AG138">
        <v>372</v>
      </c>
      <c r="AI138">
        <v>41</v>
      </c>
      <c r="AJ138">
        <v>58</v>
      </c>
    </row>
    <row r="139" spans="26:36" x14ac:dyDescent="0.25">
      <c r="Z139">
        <v>446</v>
      </c>
      <c r="AA139" t="s">
        <v>277</v>
      </c>
      <c r="AB139" t="s">
        <v>63</v>
      </c>
      <c r="AC139" t="s">
        <v>24</v>
      </c>
      <c r="AG139">
        <v>306</v>
      </c>
      <c r="AI139">
        <v>42</v>
      </c>
      <c r="AJ139">
        <v>4</v>
      </c>
    </row>
    <row r="140" spans="26:36" x14ac:dyDescent="0.25">
      <c r="Z140">
        <v>447</v>
      </c>
      <c r="AA140" t="s">
        <v>2221</v>
      </c>
      <c r="AB140" t="s">
        <v>1805</v>
      </c>
      <c r="AC140" t="s">
        <v>24</v>
      </c>
      <c r="AG140">
        <v>546</v>
      </c>
      <c r="AI140">
        <v>42</v>
      </c>
      <c r="AJ140">
        <v>5</v>
      </c>
    </row>
    <row r="141" spans="26:36" x14ac:dyDescent="0.25">
      <c r="Z141">
        <v>448</v>
      </c>
      <c r="AA141" t="s">
        <v>1322</v>
      </c>
      <c r="AB141" t="s">
        <v>63</v>
      </c>
      <c r="AC141" t="s">
        <v>24</v>
      </c>
      <c r="AG141">
        <v>447</v>
      </c>
      <c r="AI141">
        <v>42</v>
      </c>
      <c r="AJ141">
        <v>7</v>
      </c>
    </row>
    <row r="142" spans="26:36" x14ac:dyDescent="0.25">
      <c r="Z142">
        <v>449</v>
      </c>
      <c r="AA142" t="s">
        <v>1482</v>
      </c>
      <c r="AB142" t="s">
        <v>63</v>
      </c>
      <c r="AC142" t="s">
        <v>24</v>
      </c>
      <c r="AG142">
        <v>567</v>
      </c>
      <c r="AI142">
        <v>42</v>
      </c>
      <c r="AJ142">
        <v>8</v>
      </c>
    </row>
    <row r="143" spans="26:36" x14ac:dyDescent="0.25">
      <c r="Z143">
        <v>450</v>
      </c>
      <c r="AA143" t="s">
        <v>1347</v>
      </c>
      <c r="AB143" t="s">
        <v>38</v>
      </c>
      <c r="AC143" t="s">
        <v>23</v>
      </c>
      <c r="AG143">
        <v>499</v>
      </c>
      <c r="AI143">
        <v>42</v>
      </c>
      <c r="AJ143">
        <v>13</v>
      </c>
    </row>
    <row r="144" spans="26:36" x14ac:dyDescent="0.25">
      <c r="Z144">
        <v>451</v>
      </c>
      <c r="AA144" t="s">
        <v>1513</v>
      </c>
      <c r="AB144" t="s">
        <v>108</v>
      </c>
      <c r="AC144" t="s">
        <v>23</v>
      </c>
      <c r="AG144">
        <v>403</v>
      </c>
      <c r="AI144">
        <v>42</v>
      </c>
      <c r="AJ144">
        <v>15</v>
      </c>
    </row>
    <row r="145" spans="26:36" x14ac:dyDescent="0.25">
      <c r="Z145">
        <v>452</v>
      </c>
      <c r="AA145" t="s">
        <v>2240</v>
      </c>
      <c r="AB145" t="s">
        <v>63</v>
      </c>
      <c r="AC145" t="s">
        <v>23</v>
      </c>
      <c r="AG145">
        <v>449</v>
      </c>
      <c r="AI145">
        <v>42</v>
      </c>
      <c r="AJ145">
        <v>26</v>
      </c>
    </row>
    <row r="146" spans="26:36" x14ac:dyDescent="0.25">
      <c r="Z146">
        <v>453</v>
      </c>
      <c r="AA146" t="s">
        <v>1373</v>
      </c>
      <c r="AB146" t="s">
        <v>12</v>
      </c>
      <c r="AC146" t="s">
        <v>24</v>
      </c>
      <c r="AG146">
        <v>308</v>
      </c>
      <c r="AI146">
        <v>42</v>
      </c>
      <c r="AJ146">
        <v>27</v>
      </c>
    </row>
    <row r="147" spans="26:36" x14ac:dyDescent="0.25">
      <c r="Z147">
        <v>454</v>
      </c>
      <c r="AA147" t="s">
        <v>1808</v>
      </c>
      <c r="AB147" t="s">
        <v>108</v>
      </c>
      <c r="AC147" t="s">
        <v>24</v>
      </c>
      <c r="AG147">
        <v>561</v>
      </c>
      <c r="AI147">
        <v>42</v>
      </c>
      <c r="AJ147">
        <v>30</v>
      </c>
    </row>
    <row r="148" spans="26:36" x14ac:dyDescent="0.25">
      <c r="Z148">
        <v>455</v>
      </c>
      <c r="AA148" t="s">
        <v>1742</v>
      </c>
      <c r="AB148" t="s">
        <v>38</v>
      </c>
      <c r="AC148" t="s">
        <v>23</v>
      </c>
      <c r="AG148">
        <v>513</v>
      </c>
      <c r="AI148">
        <v>42</v>
      </c>
      <c r="AJ148">
        <v>42</v>
      </c>
    </row>
    <row r="149" spans="26:36" x14ac:dyDescent="0.25">
      <c r="Z149">
        <v>456</v>
      </c>
      <c r="AA149" t="s">
        <v>2196</v>
      </c>
      <c r="AB149" t="s">
        <v>108</v>
      </c>
      <c r="AC149" t="s">
        <v>24</v>
      </c>
      <c r="AG149">
        <v>413</v>
      </c>
      <c r="AI149">
        <v>42</v>
      </c>
      <c r="AJ149">
        <v>47</v>
      </c>
    </row>
    <row r="150" spans="26:36" x14ac:dyDescent="0.25">
      <c r="Z150">
        <v>457</v>
      </c>
      <c r="AA150" t="s">
        <v>2218</v>
      </c>
      <c r="AB150" t="s">
        <v>1805</v>
      </c>
      <c r="AC150" t="s">
        <v>23</v>
      </c>
      <c r="AG150">
        <v>366</v>
      </c>
      <c r="AI150">
        <v>42</v>
      </c>
      <c r="AJ150">
        <v>54</v>
      </c>
    </row>
    <row r="151" spans="26:36" x14ac:dyDescent="0.25">
      <c r="Z151">
        <v>458</v>
      </c>
      <c r="AA151" t="s">
        <v>2254</v>
      </c>
      <c r="AB151" t="s">
        <v>1805</v>
      </c>
      <c r="AC151" t="s">
        <v>24</v>
      </c>
      <c r="AG151">
        <v>431</v>
      </c>
      <c r="AI151">
        <v>42</v>
      </c>
      <c r="AJ151">
        <v>56</v>
      </c>
    </row>
    <row r="152" spans="26:36" x14ac:dyDescent="0.25">
      <c r="Z152">
        <v>459</v>
      </c>
      <c r="AA152" t="s">
        <v>197</v>
      </c>
      <c r="AB152" t="s">
        <v>12</v>
      </c>
      <c r="AC152" t="s">
        <v>24</v>
      </c>
      <c r="AG152">
        <v>522</v>
      </c>
      <c r="AI152">
        <v>43</v>
      </c>
      <c r="AJ152">
        <v>0</v>
      </c>
    </row>
    <row r="153" spans="26:36" x14ac:dyDescent="0.25">
      <c r="Z153">
        <v>460</v>
      </c>
      <c r="AA153" t="s">
        <v>1713</v>
      </c>
      <c r="AB153" t="s">
        <v>108</v>
      </c>
      <c r="AC153" t="s">
        <v>23</v>
      </c>
      <c r="AG153">
        <v>432</v>
      </c>
      <c r="AI153">
        <v>43</v>
      </c>
      <c r="AJ153">
        <v>0</v>
      </c>
    </row>
    <row r="154" spans="26:36" x14ac:dyDescent="0.25">
      <c r="Z154">
        <v>461</v>
      </c>
      <c r="AA154" t="s">
        <v>275</v>
      </c>
      <c r="AB154" t="s">
        <v>63</v>
      </c>
      <c r="AC154" t="s">
        <v>24</v>
      </c>
      <c r="AG154">
        <v>435</v>
      </c>
      <c r="AI154">
        <v>43</v>
      </c>
      <c r="AJ154">
        <v>4</v>
      </c>
    </row>
    <row r="155" spans="26:36" x14ac:dyDescent="0.25">
      <c r="Z155">
        <v>462</v>
      </c>
      <c r="AA155" t="s">
        <v>253</v>
      </c>
      <c r="AB155" t="s">
        <v>63</v>
      </c>
      <c r="AC155" t="s">
        <v>23</v>
      </c>
      <c r="AG155">
        <v>500</v>
      </c>
      <c r="AI155">
        <v>43</v>
      </c>
      <c r="AJ155">
        <v>9</v>
      </c>
    </row>
    <row r="156" spans="26:36" x14ac:dyDescent="0.25">
      <c r="Z156">
        <v>463</v>
      </c>
      <c r="AA156" t="s">
        <v>1992</v>
      </c>
      <c r="AB156" t="s">
        <v>12</v>
      </c>
      <c r="AC156" t="s">
        <v>23</v>
      </c>
      <c r="AG156">
        <v>362</v>
      </c>
      <c r="AI156">
        <v>43</v>
      </c>
      <c r="AJ156">
        <v>15</v>
      </c>
    </row>
    <row r="157" spans="26:36" x14ac:dyDescent="0.25">
      <c r="Z157">
        <v>464</v>
      </c>
      <c r="AA157" t="s">
        <v>1662</v>
      </c>
      <c r="AB157" t="s">
        <v>14</v>
      </c>
      <c r="AC157" t="s">
        <v>24</v>
      </c>
      <c r="AG157">
        <v>535</v>
      </c>
      <c r="AI157">
        <v>43</v>
      </c>
      <c r="AJ157">
        <v>17</v>
      </c>
    </row>
    <row r="158" spans="26:36" x14ac:dyDescent="0.25">
      <c r="Z158">
        <v>465</v>
      </c>
      <c r="AA158" t="s">
        <v>432</v>
      </c>
      <c r="AB158" t="s">
        <v>12</v>
      </c>
      <c r="AC158" t="s">
        <v>24</v>
      </c>
      <c r="AG158">
        <v>547</v>
      </c>
      <c r="AI158">
        <v>43</v>
      </c>
      <c r="AJ158">
        <v>20</v>
      </c>
    </row>
    <row r="159" spans="26:36" x14ac:dyDescent="0.25">
      <c r="Z159">
        <v>466</v>
      </c>
      <c r="AA159" t="s">
        <v>2256</v>
      </c>
      <c r="AB159" t="s">
        <v>1805</v>
      </c>
      <c r="AC159" t="s">
        <v>23</v>
      </c>
      <c r="AG159">
        <v>379</v>
      </c>
      <c r="AI159">
        <v>43</v>
      </c>
      <c r="AJ159">
        <v>22</v>
      </c>
    </row>
    <row r="160" spans="26:36" x14ac:dyDescent="0.25">
      <c r="Z160">
        <v>467</v>
      </c>
      <c r="AA160" t="s">
        <v>176</v>
      </c>
      <c r="AB160" t="s">
        <v>12</v>
      </c>
      <c r="AC160" t="s">
        <v>24</v>
      </c>
      <c r="AG160">
        <v>363</v>
      </c>
      <c r="AI160">
        <v>43</v>
      </c>
      <c r="AJ160">
        <v>23</v>
      </c>
    </row>
    <row r="161" spans="26:36" x14ac:dyDescent="0.25">
      <c r="Z161">
        <v>468</v>
      </c>
      <c r="AA161" t="s">
        <v>2210</v>
      </c>
      <c r="AB161" t="s">
        <v>505</v>
      </c>
      <c r="AC161" t="s">
        <v>24</v>
      </c>
      <c r="AG161">
        <v>381</v>
      </c>
      <c r="AI161">
        <v>43</v>
      </c>
      <c r="AJ161">
        <v>28</v>
      </c>
    </row>
    <row r="162" spans="26:36" x14ac:dyDescent="0.25">
      <c r="Z162">
        <v>469</v>
      </c>
      <c r="AA162" t="s">
        <v>1450</v>
      </c>
      <c r="AB162" t="s">
        <v>12</v>
      </c>
      <c r="AC162" t="s">
        <v>23</v>
      </c>
      <c r="AG162">
        <v>397</v>
      </c>
      <c r="AI162">
        <v>43</v>
      </c>
      <c r="AJ162">
        <v>36</v>
      </c>
    </row>
    <row r="163" spans="26:36" x14ac:dyDescent="0.25">
      <c r="Z163">
        <v>470</v>
      </c>
      <c r="AA163" t="s">
        <v>2194</v>
      </c>
      <c r="AB163" t="s">
        <v>63</v>
      </c>
      <c r="AC163" t="s">
        <v>24</v>
      </c>
      <c r="AG163">
        <v>355</v>
      </c>
      <c r="AI163">
        <v>43</v>
      </c>
      <c r="AJ163">
        <v>45</v>
      </c>
    </row>
    <row r="164" spans="26:36" x14ac:dyDescent="0.25">
      <c r="Z164">
        <v>471</v>
      </c>
      <c r="AA164" t="s">
        <v>1393</v>
      </c>
      <c r="AB164" t="s">
        <v>12</v>
      </c>
      <c r="AC164" t="s">
        <v>24</v>
      </c>
      <c r="AG164">
        <v>373</v>
      </c>
      <c r="AI164">
        <v>43</v>
      </c>
      <c r="AJ164">
        <v>49</v>
      </c>
    </row>
    <row r="165" spans="26:36" x14ac:dyDescent="0.25">
      <c r="Z165">
        <v>472</v>
      </c>
      <c r="AA165" t="s">
        <v>1865</v>
      </c>
      <c r="AB165" t="s">
        <v>12</v>
      </c>
      <c r="AC165" t="s">
        <v>23</v>
      </c>
      <c r="AG165">
        <v>460</v>
      </c>
      <c r="AI165">
        <v>44</v>
      </c>
      <c r="AJ165">
        <v>16</v>
      </c>
    </row>
    <row r="166" spans="26:36" x14ac:dyDescent="0.25">
      <c r="Z166">
        <v>473</v>
      </c>
      <c r="AA166" t="s">
        <v>781</v>
      </c>
      <c r="AB166" t="s">
        <v>12</v>
      </c>
      <c r="AC166" t="s">
        <v>24</v>
      </c>
      <c r="AG166">
        <v>557</v>
      </c>
      <c r="AI166">
        <v>44</v>
      </c>
      <c r="AJ166">
        <v>28</v>
      </c>
    </row>
    <row r="167" spans="26:36" x14ac:dyDescent="0.25">
      <c r="Z167">
        <v>474</v>
      </c>
      <c r="AA167" t="s">
        <v>2232</v>
      </c>
      <c r="AB167" t="s">
        <v>12</v>
      </c>
      <c r="AC167" t="s">
        <v>23</v>
      </c>
      <c r="AG167">
        <v>309</v>
      </c>
      <c r="AI167">
        <v>44</v>
      </c>
      <c r="AJ167">
        <v>30</v>
      </c>
    </row>
    <row r="168" spans="26:36" x14ac:dyDescent="0.25">
      <c r="Z168">
        <v>475</v>
      </c>
      <c r="AA168" t="s">
        <v>1352</v>
      </c>
      <c r="AB168" t="s">
        <v>12</v>
      </c>
      <c r="AC168" t="s">
        <v>24</v>
      </c>
      <c r="AG168">
        <v>305</v>
      </c>
      <c r="AI168">
        <v>44</v>
      </c>
      <c r="AJ168">
        <v>34</v>
      </c>
    </row>
    <row r="169" spans="26:36" x14ac:dyDescent="0.25">
      <c r="Z169">
        <v>476</v>
      </c>
      <c r="AA169" t="s">
        <v>2208</v>
      </c>
      <c r="AB169" t="s">
        <v>12</v>
      </c>
      <c r="AC169" t="s">
        <v>24</v>
      </c>
      <c r="AG169">
        <v>552</v>
      </c>
      <c r="AI169">
        <v>44</v>
      </c>
      <c r="AJ169">
        <v>46</v>
      </c>
    </row>
    <row r="170" spans="26:36" x14ac:dyDescent="0.25">
      <c r="Z170">
        <v>477</v>
      </c>
      <c r="AA170" t="s">
        <v>511</v>
      </c>
      <c r="AB170" t="s">
        <v>12</v>
      </c>
      <c r="AC170" t="s">
        <v>23</v>
      </c>
      <c r="AG170">
        <v>560</v>
      </c>
      <c r="AI170">
        <v>44</v>
      </c>
      <c r="AJ170">
        <v>53</v>
      </c>
    </row>
    <row r="171" spans="26:36" x14ac:dyDescent="0.25">
      <c r="Z171">
        <v>478</v>
      </c>
      <c r="AA171" t="s">
        <v>300</v>
      </c>
      <c r="AB171" t="s">
        <v>43</v>
      </c>
      <c r="AC171" t="s">
        <v>24</v>
      </c>
      <c r="AG171">
        <v>461</v>
      </c>
      <c r="AI171">
        <v>44</v>
      </c>
      <c r="AJ171">
        <v>54</v>
      </c>
    </row>
    <row r="172" spans="26:36" x14ac:dyDescent="0.25">
      <c r="Z172">
        <v>479</v>
      </c>
      <c r="AA172" t="s">
        <v>2239</v>
      </c>
      <c r="AB172" t="s">
        <v>63</v>
      </c>
      <c r="AC172" t="s">
        <v>23</v>
      </c>
      <c r="AG172">
        <v>401</v>
      </c>
      <c r="AI172">
        <v>44</v>
      </c>
      <c r="AJ172">
        <v>57</v>
      </c>
    </row>
    <row r="173" spans="26:36" x14ac:dyDescent="0.25">
      <c r="Z173">
        <v>480</v>
      </c>
      <c r="AA173" t="s">
        <v>830</v>
      </c>
      <c r="AB173" t="s">
        <v>43</v>
      </c>
      <c r="AC173" t="s">
        <v>24</v>
      </c>
      <c r="AG173">
        <v>430</v>
      </c>
      <c r="AI173">
        <v>44</v>
      </c>
      <c r="AJ173">
        <v>58</v>
      </c>
    </row>
    <row r="174" spans="26:36" x14ac:dyDescent="0.25">
      <c r="Z174">
        <v>481</v>
      </c>
      <c r="AA174" t="s">
        <v>453</v>
      </c>
      <c r="AB174" t="s">
        <v>108</v>
      </c>
      <c r="AC174" t="s">
        <v>24</v>
      </c>
      <c r="AG174">
        <v>518</v>
      </c>
      <c r="AI174">
        <v>45</v>
      </c>
      <c r="AJ174">
        <v>8</v>
      </c>
    </row>
    <row r="175" spans="26:36" x14ac:dyDescent="0.25">
      <c r="Z175">
        <v>482</v>
      </c>
      <c r="AA175" t="s">
        <v>1761</v>
      </c>
      <c r="AB175" t="s">
        <v>43</v>
      </c>
      <c r="AC175" t="s">
        <v>23</v>
      </c>
      <c r="AG175">
        <v>481</v>
      </c>
      <c r="AI175">
        <v>45</v>
      </c>
      <c r="AJ175">
        <v>14</v>
      </c>
    </row>
    <row r="176" spans="26:36" x14ac:dyDescent="0.25">
      <c r="Z176">
        <v>483</v>
      </c>
      <c r="AA176" t="s">
        <v>893</v>
      </c>
      <c r="AB176" t="s">
        <v>12</v>
      </c>
      <c r="AC176" t="s">
        <v>24</v>
      </c>
      <c r="AG176">
        <v>310</v>
      </c>
      <c r="AI176">
        <v>45</v>
      </c>
      <c r="AJ176">
        <v>15</v>
      </c>
    </row>
    <row r="177" spans="26:36" x14ac:dyDescent="0.25">
      <c r="Z177">
        <v>484</v>
      </c>
      <c r="AA177" t="s">
        <v>1403</v>
      </c>
      <c r="AB177" t="s">
        <v>63</v>
      </c>
      <c r="AC177" t="s">
        <v>24</v>
      </c>
      <c r="AG177">
        <v>409</v>
      </c>
      <c r="AI177">
        <v>45</v>
      </c>
      <c r="AJ177">
        <v>16</v>
      </c>
    </row>
    <row r="178" spans="26:36" x14ac:dyDescent="0.25">
      <c r="Z178">
        <v>485</v>
      </c>
      <c r="AA178" t="s">
        <v>190</v>
      </c>
      <c r="AB178" t="s">
        <v>43</v>
      </c>
      <c r="AC178" t="s">
        <v>24</v>
      </c>
      <c r="AG178">
        <v>324</v>
      </c>
      <c r="AI178">
        <v>45</v>
      </c>
      <c r="AJ178">
        <v>16</v>
      </c>
    </row>
    <row r="179" spans="26:36" x14ac:dyDescent="0.25">
      <c r="Z179">
        <v>487</v>
      </c>
      <c r="AA179" t="s">
        <v>182</v>
      </c>
      <c r="AB179" t="s">
        <v>12</v>
      </c>
      <c r="AC179" t="s">
        <v>24</v>
      </c>
      <c r="AG179">
        <v>386</v>
      </c>
      <c r="AI179">
        <v>45</v>
      </c>
      <c r="AJ179">
        <v>18</v>
      </c>
    </row>
    <row r="180" spans="26:36" x14ac:dyDescent="0.25">
      <c r="Z180">
        <v>488</v>
      </c>
      <c r="AA180" t="s">
        <v>2235</v>
      </c>
      <c r="AB180" t="s">
        <v>155</v>
      </c>
      <c r="AC180" t="s">
        <v>24</v>
      </c>
      <c r="AG180">
        <v>361</v>
      </c>
      <c r="AI180">
        <v>45</v>
      </c>
      <c r="AJ180">
        <v>20</v>
      </c>
    </row>
    <row r="181" spans="26:36" x14ac:dyDescent="0.25">
      <c r="Z181">
        <v>489</v>
      </c>
      <c r="AA181" t="s">
        <v>1510</v>
      </c>
      <c r="AB181" t="s">
        <v>12</v>
      </c>
      <c r="AC181" t="s">
        <v>23</v>
      </c>
      <c r="AG181">
        <v>333</v>
      </c>
      <c r="AI181">
        <v>45</v>
      </c>
      <c r="AJ181">
        <v>28</v>
      </c>
    </row>
    <row r="182" spans="26:36" x14ac:dyDescent="0.25">
      <c r="Z182">
        <v>490</v>
      </c>
      <c r="AA182" t="s">
        <v>1484</v>
      </c>
      <c r="AB182" t="s">
        <v>38</v>
      </c>
      <c r="AC182" t="s">
        <v>24</v>
      </c>
      <c r="AG182">
        <v>392</v>
      </c>
      <c r="AI182">
        <v>45</v>
      </c>
      <c r="AJ182">
        <v>37</v>
      </c>
    </row>
    <row r="183" spans="26:36" x14ac:dyDescent="0.25">
      <c r="Z183">
        <v>491</v>
      </c>
      <c r="AA183" t="s">
        <v>1388</v>
      </c>
      <c r="AB183" t="s">
        <v>12</v>
      </c>
      <c r="AC183" t="s">
        <v>23</v>
      </c>
      <c r="AG183">
        <v>474</v>
      </c>
      <c r="AI183">
        <v>45</v>
      </c>
      <c r="AJ183">
        <v>41</v>
      </c>
    </row>
    <row r="184" spans="26:36" x14ac:dyDescent="0.25">
      <c r="Z184">
        <v>492</v>
      </c>
      <c r="AA184" t="s">
        <v>452</v>
      </c>
      <c r="AB184" t="s">
        <v>2253</v>
      </c>
      <c r="AC184" t="s">
        <v>23</v>
      </c>
      <c r="AG184">
        <v>526</v>
      </c>
      <c r="AI184">
        <v>45</v>
      </c>
      <c r="AJ184">
        <v>51</v>
      </c>
    </row>
    <row r="185" spans="26:36" x14ac:dyDescent="0.25">
      <c r="Z185">
        <v>494</v>
      </c>
      <c r="AA185" t="s">
        <v>857</v>
      </c>
      <c r="AB185" t="s">
        <v>43</v>
      </c>
      <c r="AC185" t="s">
        <v>24</v>
      </c>
      <c r="AG185">
        <v>511</v>
      </c>
      <c r="AI185">
        <v>46</v>
      </c>
      <c r="AJ185">
        <v>1</v>
      </c>
    </row>
    <row r="186" spans="26:36" x14ac:dyDescent="0.25">
      <c r="Z186">
        <v>497</v>
      </c>
      <c r="AA186" t="s">
        <v>214</v>
      </c>
      <c r="AB186" t="s">
        <v>38</v>
      </c>
      <c r="AC186" t="s">
        <v>24</v>
      </c>
      <c r="AG186">
        <v>492</v>
      </c>
      <c r="AI186">
        <v>46</v>
      </c>
      <c r="AJ186">
        <v>5</v>
      </c>
    </row>
    <row r="187" spans="26:36" x14ac:dyDescent="0.25">
      <c r="Z187">
        <v>499</v>
      </c>
      <c r="AA187" t="s">
        <v>1250</v>
      </c>
      <c r="AB187" t="s">
        <v>12</v>
      </c>
      <c r="AC187" t="s">
        <v>24</v>
      </c>
      <c r="AG187">
        <v>487</v>
      </c>
      <c r="AI187">
        <v>46</v>
      </c>
      <c r="AJ187">
        <v>7</v>
      </c>
    </row>
    <row r="188" spans="26:36" x14ac:dyDescent="0.25">
      <c r="Z188">
        <v>500</v>
      </c>
      <c r="AA188" t="s">
        <v>1326</v>
      </c>
      <c r="AB188" t="s">
        <v>12</v>
      </c>
      <c r="AC188" t="s">
        <v>23</v>
      </c>
      <c r="AG188">
        <v>477</v>
      </c>
      <c r="AI188">
        <v>46</v>
      </c>
      <c r="AJ188">
        <v>14</v>
      </c>
    </row>
    <row r="189" spans="26:36" x14ac:dyDescent="0.25">
      <c r="Z189">
        <v>503</v>
      </c>
      <c r="AA189" t="s">
        <v>1772</v>
      </c>
      <c r="AB189" t="s">
        <v>108</v>
      </c>
      <c r="AC189" t="s">
        <v>23</v>
      </c>
      <c r="AG189">
        <v>348</v>
      </c>
      <c r="AI189">
        <v>46</v>
      </c>
      <c r="AJ189">
        <v>21</v>
      </c>
    </row>
    <row r="190" spans="26:36" x14ac:dyDescent="0.25">
      <c r="Z190">
        <v>504</v>
      </c>
      <c r="AA190" t="s">
        <v>1771</v>
      </c>
      <c r="AB190" t="s">
        <v>108</v>
      </c>
      <c r="AC190" t="s">
        <v>24</v>
      </c>
      <c r="AG190">
        <v>480</v>
      </c>
      <c r="AI190">
        <v>46</v>
      </c>
      <c r="AJ190">
        <v>25</v>
      </c>
    </row>
    <row r="191" spans="26:36" x14ac:dyDescent="0.25">
      <c r="Z191">
        <v>505</v>
      </c>
      <c r="AA191" t="s">
        <v>408</v>
      </c>
      <c r="AB191" t="s">
        <v>63</v>
      </c>
      <c r="AC191" t="s">
        <v>24</v>
      </c>
      <c r="AG191">
        <v>339</v>
      </c>
      <c r="AI191">
        <v>46</v>
      </c>
      <c r="AJ191">
        <v>33</v>
      </c>
    </row>
    <row r="192" spans="26:36" x14ac:dyDescent="0.25">
      <c r="Z192">
        <v>506</v>
      </c>
      <c r="AA192" t="s">
        <v>2237</v>
      </c>
      <c r="AB192" t="s">
        <v>12</v>
      </c>
      <c r="AC192" t="s">
        <v>23</v>
      </c>
      <c r="AG192">
        <v>524</v>
      </c>
      <c r="AI192">
        <v>46</v>
      </c>
      <c r="AJ192">
        <v>38</v>
      </c>
    </row>
    <row r="193" spans="26:36" x14ac:dyDescent="0.25">
      <c r="Z193">
        <v>507</v>
      </c>
      <c r="AA193" t="s">
        <v>2257</v>
      </c>
      <c r="AB193" t="s">
        <v>12</v>
      </c>
      <c r="AC193" t="s">
        <v>23</v>
      </c>
      <c r="AG193">
        <v>588</v>
      </c>
      <c r="AI193">
        <v>46</v>
      </c>
      <c r="AJ193">
        <v>47</v>
      </c>
    </row>
    <row r="194" spans="26:36" x14ac:dyDescent="0.25">
      <c r="Z194">
        <v>509</v>
      </c>
      <c r="AA194" t="s">
        <v>2250</v>
      </c>
      <c r="AB194" t="s">
        <v>43</v>
      </c>
      <c r="AC194" t="s">
        <v>24</v>
      </c>
      <c r="AG194">
        <v>471</v>
      </c>
      <c r="AI194">
        <v>47</v>
      </c>
      <c r="AJ194">
        <v>1</v>
      </c>
    </row>
    <row r="195" spans="26:36" x14ac:dyDescent="0.25">
      <c r="Z195">
        <v>510</v>
      </c>
      <c r="AA195" t="s">
        <v>2192</v>
      </c>
      <c r="AB195" t="s">
        <v>63</v>
      </c>
      <c r="AC195" t="s">
        <v>24</v>
      </c>
      <c r="AG195">
        <v>404</v>
      </c>
      <c r="AI195">
        <v>47</v>
      </c>
      <c r="AJ195">
        <v>2</v>
      </c>
    </row>
    <row r="196" spans="26:36" x14ac:dyDescent="0.25">
      <c r="Z196">
        <v>511</v>
      </c>
      <c r="AA196" t="s">
        <v>2233</v>
      </c>
      <c r="AB196" t="s">
        <v>38</v>
      </c>
      <c r="AC196" t="s">
        <v>24</v>
      </c>
      <c r="AG196">
        <v>411</v>
      </c>
      <c r="AI196">
        <v>47</v>
      </c>
      <c r="AJ196">
        <v>6</v>
      </c>
    </row>
    <row r="197" spans="26:36" x14ac:dyDescent="0.25">
      <c r="Z197">
        <v>512</v>
      </c>
      <c r="AA197" t="s">
        <v>1366</v>
      </c>
      <c r="AB197" t="s">
        <v>38</v>
      </c>
      <c r="AC197" t="s">
        <v>23</v>
      </c>
      <c r="AG197">
        <v>494</v>
      </c>
      <c r="AI197">
        <v>47</v>
      </c>
      <c r="AJ197">
        <v>24</v>
      </c>
    </row>
    <row r="198" spans="26:36" x14ac:dyDescent="0.25">
      <c r="Z198">
        <v>513</v>
      </c>
      <c r="AA198" t="s">
        <v>259</v>
      </c>
      <c r="AB198" t="s">
        <v>12</v>
      </c>
      <c r="AC198" t="s">
        <v>24</v>
      </c>
      <c r="AG198">
        <v>541</v>
      </c>
      <c r="AI198">
        <v>47</v>
      </c>
      <c r="AJ198">
        <v>30</v>
      </c>
    </row>
    <row r="199" spans="26:36" x14ac:dyDescent="0.25">
      <c r="Z199">
        <v>514</v>
      </c>
      <c r="AA199" t="s">
        <v>1874</v>
      </c>
      <c r="AB199" t="s">
        <v>108</v>
      </c>
      <c r="AC199" t="s">
        <v>24</v>
      </c>
      <c r="AG199">
        <v>369</v>
      </c>
      <c r="AI199">
        <v>47</v>
      </c>
      <c r="AJ199">
        <v>32</v>
      </c>
    </row>
    <row r="200" spans="26:36" x14ac:dyDescent="0.25">
      <c r="Z200">
        <v>515</v>
      </c>
      <c r="AA200" t="s">
        <v>1465</v>
      </c>
      <c r="AB200" t="s">
        <v>12</v>
      </c>
      <c r="AC200" t="s">
        <v>24</v>
      </c>
      <c r="AG200">
        <v>384</v>
      </c>
      <c r="AI200">
        <v>47</v>
      </c>
      <c r="AJ200">
        <v>52</v>
      </c>
    </row>
    <row r="201" spans="26:36" x14ac:dyDescent="0.25">
      <c r="Z201">
        <v>516</v>
      </c>
      <c r="AA201" t="s">
        <v>1783</v>
      </c>
      <c r="AB201" t="s">
        <v>108</v>
      </c>
      <c r="AC201" t="s">
        <v>24</v>
      </c>
      <c r="AG201">
        <v>490</v>
      </c>
      <c r="AI201">
        <v>47</v>
      </c>
      <c r="AJ201">
        <v>54</v>
      </c>
    </row>
    <row r="202" spans="26:36" x14ac:dyDescent="0.25">
      <c r="Z202">
        <v>517</v>
      </c>
      <c r="AA202" t="s">
        <v>1782</v>
      </c>
      <c r="AB202" t="s">
        <v>108</v>
      </c>
      <c r="AC202" t="s">
        <v>23</v>
      </c>
      <c r="AG202">
        <v>327</v>
      </c>
      <c r="AI202">
        <v>47</v>
      </c>
      <c r="AJ202">
        <v>55</v>
      </c>
    </row>
    <row r="203" spans="26:36" x14ac:dyDescent="0.25">
      <c r="Z203">
        <v>518</v>
      </c>
      <c r="AA203" t="s">
        <v>2230</v>
      </c>
      <c r="AB203" t="s">
        <v>12</v>
      </c>
      <c r="AC203" t="s">
        <v>23</v>
      </c>
      <c r="AG203">
        <v>463</v>
      </c>
      <c r="AI203">
        <v>47</v>
      </c>
      <c r="AJ203">
        <v>56</v>
      </c>
    </row>
    <row r="204" spans="26:36" x14ac:dyDescent="0.25">
      <c r="Z204">
        <v>519</v>
      </c>
      <c r="AA204" t="s">
        <v>1825</v>
      </c>
      <c r="AB204" t="s">
        <v>505</v>
      </c>
      <c r="AC204" t="s">
        <v>24</v>
      </c>
      <c r="AG204">
        <v>312</v>
      </c>
      <c r="AI204">
        <v>48</v>
      </c>
      <c r="AJ204">
        <v>4</v>
      </c>
    </row>
    <row r="205" spans="26:36" x14ac:dyDescent="0.25">
      <c r="Z205">
        <v>520</v>
      </c>
      <c r="AA205" t="s">
        <v>2246</v>
      </c>
      <c r="AB205" t="s">
        <v>38</v>
      </c>
      <c r="AC205" t="s">
        <v>24</v>
      </c>
      <c r="AG205">
        <v>375</v>
      </c>
      <c r="AI205">
        <v>48</v>
      </c>
      <c r="AJ205">
        <v>8</v>
      </c>
    </row>
    <row r="206" spans="26:36" x14ac:dyDescent="0.25">
      <c r="Z206">
        <v>521</v>
      </c>
      <c r="AA206" t="s">
        <v>1654</v>
      </c>
      <c r="AB206" t="s">
        <v>12</v>
      </c>
      <c r="AC206" t="s">
        <v>24</v>
      </c>
      <c r="AG206">
        <v>313</v>
      </c>
      <c r="AI206">
        <v>48</v>
      </c>
      <c r="AJ206">
        <v>10</v>
      </c>
    </row>
    <row r="207" spans="26:36" x14ac:dyDescent="0.25">
      <c r="Z207">
        <v>522</v>
      </c>
      <c r="AA207" t="s">
        <v>2223</v>
      </c>
      <c r="AB207" t="s">
        <v>38</v>
      </c>
      <c r="AC207" t="s">
        <v>23</v>
      </c>
      <c r="AG207">
        <v>347</v>
      </c>
      <c r="AI207">
        <v>48</v>
      </c>
      <c r="AJ207">
        <v>12</v>
      </c>
    </row>
    <row r="208" spans="26:36" x14ac:dyDescent="0.25">
      <c r="Z208">
        <v>523</v>
      </c>
      <c r="AA208" t="s">
        <v>2202</v>
      </c>
      <c r="AB208" t="s">
        <v>38</v>
      </c>
      <c r="AC208" t="s">
        <v>24</v>
      </c>
      <c r="AG208">
        <v>529</v>
      </c>
      <c r="AI208">
        <v>48</v>
      </c>
      <c r="AJ208">
        <v>14</v>
      </c>
    </row>
    <row r="209" spans="26:36" x14ac:dyDescent="0.25">
      <c r="Z209">
        <v>524</v>
      </c>
      <c r="AA209" t="s">
        <v>232</v>
      </c>
      <c r="AB209" t="s">
        <v>38</v>
      </c>
      <c r="AC209" t="s">
        <v>24</v>
      </c>
      <c r="AG209">
        <v>423</v>
      </c>
      <c r="AI209">
        <v>48</v>
      </c>
      <c r="AJ209">
        <v>15</v>
      </c>
    </row>
    <row r="210" spans="26:36" x14ac:dyDescent="0.25">
      <c r="Z210">
        <v>525</v>
      </c>
      <c r="AA210" t="s">
        <v>1368</v>
      </c>
      <c r="AB210" t="s">
        <v>63</v>
      </c>
      <c r="AC210" t="s">
        <v>23</v>
      </c>
      <c r="AG210">
        <v>594</v>
      </c>
      <c r="AI210">
        <v>48</v>
      </c>
      <c r="AJ210">
        <v>17</v>
      </c>
    </row>
    <row r="211" spans="26:36" x14ac:dyDescent="0.25">
      <c r="Z211">
        <v>526</v>
      </c>
      <c r="AA211" t="s">
        <v>427</v>
      </c>
      <c r="AB211" t="s">
        <v>63</v>
      </c>
      <c r="AC211" t="s">
        <v>24</v>
      </c>
      <c r="AG211">
        <v>488</v>
      </c>
      <c r="AI211">
        <v>48</v>
      </c>
      <c r="AJ211">
        <v>28</v>
      </c>
    </row>
    <row r="212" spans="26:36" x14ac:dyDescent="0.25">
      <c r="Z212">
        <v>527</v>
      </c>
      <c r="AA212" t="s">
        <v>1470</v>
      </c>
      <c r="AB212" t="s">
        <v>12</v>
      </c>
      <c r="AC212" t="s">
        <v>24</v>
      </c>
      <c r="AG212">
        <v>489</v>
      </c>
      <c r="AI212">
        <v>48</v>
      </c>
      <c r="AJ212">
        <v>42</v>
      </c>
    </row>
    <row r="213" spans="26:36" x14ac:dyDescent="0.25">
      <c r="Z213">
        <v>529</v>
      </c>
      <c r="AA213" t="s">
        <v>437</v>
      </c>
      <c r="AB213" t="s">
        <v>12</v>
      </c>
      <c r="AC213" t="s">
        <v>24</v>
      </c>
      <c r="AG213">
        <v>484</v>
      </c>
      <c r="AI213">
        <v>48</v>
      </c>
      <c r="AJ213">
        <v>49</v>
      </c>
    </row>
    <row r="214" spans="26:36" x14ac:dyDescent="0.25">
      <c r="Z214">
        <v>531</v>
      </c>
      <c r="AA214" t="s">
        <v>2203</v>
      </c>
      <c r="AB214" t="s">
        <v>505</v>
      </c>
      <c r="AC214" t="s">
        <v>24</v>
      </c>
      <c r="AG214">
        <v>583</v>
      </c>
      <c r="AI214">
        <v>48</v>
      </c>
      <c r="AJ214">
        <v>49</v>
      </c>
    </row>
    <row r="215" spans="26:36" x14ac:dyDescent="0.25">
      <c r="Z215">
        <v>532</v>
      </c>
      <c r="AA215" t="s">
        <v>1033</v>
      </c>
      <c r="AB215" t="s">
        <v>12</v>
      </c>
      <c r="AC215" t="s">
        <v>24</v>
      </c>
      <c r="AG215">
        <v>433</v>
      </c>
      <c r="AI215">
        <v>48</v>
      </c>
      <c r="AJ215">
        <v>50</v>
      </c>
    </row>
    <row r="216" spans="26:36" x14ac:dyDescent="0.25">
      <c r="Z216">
        <v>534</v>
      </c>
      <c r="AA216" t="s">
        <v>1895</v>
      </c>
      <c r="AB216" t="s">
        <v>63</v>
      </c>
      <c r="AC216" t="s">
        <v>24</v>
      </c>
      <c r="AG216">
        <v>439</v>
      </c>
      <c r="AI216">
        <v>49</v>
      </c>
      <c r="AJ216">
        <v>0</v>
      </c>
    </row>
    <row r="217" spans="26:36" x14ac:dyDescent="0.25">
      <c r="Z217">
        <v>535</v>
      </c>
      <c r="AA217" t="s">
        <v>379</v>
      </c>
      <c r="AB217" t="s">
        <v>12</v>
      </c>
      <c r="AC217" t="s">
        <v>23</v>
      </c>
      <c r="AG217">
        <v>318</v>
      </c>
      <c r="AI217">
        <v>49</v>
      </c>
      <c r="AJ217">
        <v>2</v>
      </c>
    </row>
    <row r="218" spans="26:36" x14ac:dyDescent="0.25">
      <c r="Z218">
        <v>536</v>
      </c>
      <c r="AA218" t="s">
        <v>2148</v>
      </c>
      <c r="AB218" t="s">
        <v>14</v>
      </c>
      <c r="AC218" t="s">
        <v>24</v>
      </c>
      <c r="AG218">
        <v>394</v>
      </c>
      <c r="AI218">
        <v>49</v>
      </c>
      <c r="AJ218">
        <v>8</v>
      </c>
    </row>
    <row r="219" spans="26:36" x14ac:dyDescent="0.25">
      <c r="Z219">
        <v>537</v>
      </c>
      <c r="AA219" t="s">
        <v>1864</v>
      </c>
      <c r="AB219" t="s">
        <v>63</v>
      </c>
      <c r="AC219" t="s">
        <v>23</v>
      </c>
      <c r="AG219">
        <v>503</v>
      </c>
      <c r="AI219">
        <v>49</v>
      </c>
      <c r="AJ219">
        <v>9</v>
      </c>
    </row>
    <row r="220" spans="26:36" x14ac:dyDescent="0.25">
      <c r="Z220">
        <v>539</v>
      </c>
      <c r="AA220" t="s">
        <v>226</v>
      </c>
      <c r="AB220" t="s">
        <v>38</v>
      </c>
      <c r="AC220" t="s">
        <v>24</v>
      </c>
      <c r="AG220">
        <v>330</v>
      </c>
      <c r="AI220">
        <v>49</v>
      </c>
      <c r="AJ220">
        <v>9</v>
      </c>
    </row>
    <row r="221" spans="26:36" x14ac:dyDescent="0.25">
      <c r="Z221">
        <v>540</v>
      </c>
      <c r="AA221" t="s">
        <v>492</v>
      </c>
      <c r="AB221" t="s">
        <v>63</v>
      </c>
      <c r="AC221" t="s">
        <v>23</v>
      </c>
      <c r="AG221">
        <v>593</v>
      </c>
      <c r="AI221">
        <v>49</v>
      </c>
      <c r="AJ221">
        <v>20</v>
      </c>
    </row>
    <row r="222" spans="26:36" x14ac:dyDescent="0.25">
      <c r="Z222">
        <v>541</v>
      </c>
      <c r="AA222" t="s">
        <v>1390</v>
      </c>
      <c r="AB222" t="s">
        <v>38</v>
      </c>
      <c r="AC222" t="s">
        <v>24</v>
      </c>
      <c r="AG222">
        <v>549</v>
      </c>
      <c r="AI222">
        <v>49</v>
      </c>
      <c r="AJ222">
        <v>26</v>
      </c>
    </row>
    <row r="223" spans="26:36" x14ac:dyDescent="0.25">
      <c r="Z223">
        <v>542</v>
      </c>
      <c r="AA223" t="s">
        <v>2248</v>
      </c>
      <c r="AB223" t="s">
        <v>154</v>
      </c>
      <c r="AC223" t="s">
        <v>23</v>
      </c>
      <c r="AG223">
        <v>506</v>
      </c>
      <c r="AI223">
        <v>49</v>
      </c>
      <c r="AJ223">
        <v>38</v>
      </c>
    </row>
    <row r="224" spans="26:36" x14ac:dyDescent="0.25">
      <c r="Z224">
        <v>543</v>
      </c>
      <c r="AA224" t="s">
        <v>1415</v>
      </c>
      <c r="AB224" t="s">
        <v>12</v>
      </c>
      <c r="AC224" t="s">
        <v>23</v>
      </c>
      <c r="AG224">
        <v>367</v>
      </c>
      <c r="AI224">
        <v>49</v>
      </c>
      <c r="AJ224">
        <v>50</v>
      </c>
    </row>
    <row r="225" spans="26:36" x14ac:dyDescent="0.25">
      <c r="Z225">
        <v>544</v>
      </c>
      <c r="AA225" t="s">
        <v>1005</v>
      </c>
      <c r="AB225" t="s">
        <v>14</v>
      </c>
      <c r="AC225" t="s">
        <v>23</v>
      </c>
      <c r="AG225">
        <v>497</v>
      </c>
      <c r="AI225">
        <v>49</v>
      </c>
      <c r="AJ225">
        <v>56</v>
      </c>
    </row>
    <row r="226" spans="26:36" x14ac:dyDescent="0.25">
      <c r="Z226">
        <v>545</v>
      </c>
      <c r="AA226" t="s">
        <v>2242</v>
      </c>
      <c r="AB226" t="s">
        <v>38</v>
      </c>
      <c r="AC226" t="s">
        <v>23</v>
      </c>
      <c r="AG226">
        <v>414</v>
      </c>
      <c r="AI226">
        <v>50</v>
      </c>
      <c r="AJ226">
        <v>5</v>
      </c>
    </row>
    <row r="227" spans="26:36" x14ac:dyDescent="0.25">
      <c r="Z227">
        <v>546</v>
      </c>
      <c r="AA227" t="s">
        <v>2220</v>
      </c>
      <c r="AB227" t="s">
        <v>12</v>
      </c>
      <c r="AC227" t="s">
        <v>24</v>
      </c>
      <c r="AG227">
        <v>346</v>
      </c>
      <c r="AI227">
        <v>50</v>
      </c>
      <c r="AJ227">
        <v>5</v>
      </c>
    </row>
    <row r="228" spans="26:36" x14ac:dyDescent="0.25">
      <c r="Z228">
        <v>547</v>
      </c>
      <c r="AA228" t="s">
        <v>2226</v>
      </c>
      <c r="AB228" t="s">
        <v>155</v>
      </c>
      <c r="AC228" t="s">
        <v>24</v>
      </c>
      <c r="AG228">
        <v>383</v>
      </c>
      <c r="AI228">
        <v>50</v>
      </c>
      <c r="AJ228">
        <v>14</v>
      </c>
    </row>
    <row r="229" spans="26:36" x14ac:dyDescent="0.25">
      <c r="Z229">
        <v>548</v>
      </c>
      <c r="AA229" t="s">
        <v>363</v>
      </c>
      <c r="AB229" t="s">
        <v>12</v>
      </c>
      <c r="AC229" t="s">
        <v>24</v>
      </c>
      <c r="AG229">
        <v>462</v>
      </c>
      <c r="AI229">
        <v>50</v>
      </c>
      <c r="AJ229">
        <v>22</v>
      </c>
    </row>
    <row r="230" spans="26:36" x14ac:dyDescent="0.25">
      <c r="Z230">
        <v>549</v>
      </c>
      <c r="AA230" t="s">
        <v>280</v>
      </c>
      <c r="AB230" t="s">
        <v>155</v>
      </c>
      <c r="AC230" t="s">
        <v>23</v>
      </c>
      <c r="AG230">
        <v>479</v>
      </c>
      <c r="AI230">
        <v>50</v>
      </c>
      <c r="AJ230">
        <v>32</v>
      </c>
    </row>
    <row r="231" spans="26:36" x14ac:dyDescent="0.25">
      <c r="Z231">
        <v>550</v>
      </c>
      <c r="AA231" t="s">
        <v>1070</v>
      </c>
      <c r="AB231" t="s">
        <v>12</v>
      </c>
      <c r="AC231" t="s">
        <v>24</v>
      </c>
      <c r="AG231">
        <v>455</v>
      </c>
      <c r="AI231">
        <v>50</v>
      </c>
      <c r="AJ231">
        <v>34</v>
      </c>
    </row>
    <row r="232" spans="26:36" x14ac:dyDescent="0.25">
      <c r="Z232">
        <v>551</v>
      </c>
      <c r="AA232" t="s">
        <v>944</v>
      </c>
      <c r="AB232" t="s">
        <v>505</v>
      </c>
      <c r="AC232" t="s">
        <v>23</v>
      </c>
      <c r="AG232">
        <v>452</v>
      </c>
      <c r="AI232">
        <v>50</v>
      </c>
      <c r="AJ232">
        <v>45</v>
      </c>
    </row>
    <row r="233" spans="26:36" x14ac:dyDescent="0.25">
      <c r="Z233">
        <v>552</v>
      </c>
      <c r="AA233" t="s">
        <v>1002</v>
      </c>
      <c r="AB233" t="s">
        <v>14</v>
      </c>
      <c r="AC233" t="s">
        <v>24</v>
      </c>
      <c r="AG233">
        <v>451</v>
      </c>
      <c r="AI233">
        <v>50</v>
      </c>
      <c r="AJ233">
        <v>51</v>
      </c>
    </row>
    <row r="234" spans="26:36" x14ac:dyDescent="0.25">
      <c r="Z234">
        <v>553</v>
      </c>
      <c r="AA234" t="s">
        <v>2015</v>
      </c>
      <c r="AB234" t="s">
        <v>154</v>
      </c>
      <c r="AC234" t="s">
        <v>23</v>
      </c>
      <c r="AG234">
        <v>448</v>
      </c>
      <c r="AI234">
        <v>50</v>
      </c>
      <c r="AJ234">
        <v>53</v>
      </c>
    </row>
    <row r="235" spans="26:36" x14ac:dyDescent="0.25">
      <c r="Z235">
        <v>554</v>
      </c>
      <c r="AA235" t="s">
        <v>1756</v>
      </c>
      <c r="AB235" t="s">
        <v>155</v>
      </c>
      <c r="AC235" t="s">
        <v>24</v>
      </c>
      <c r="AG235">
        <v>466</v>
      </c>
      <c r="AI235">
        <v>51</v>
      </c>
      <c r="AJ235">
        <v>4</v>
      </c>
    </row>
    <row r="236" spans="26:36" x14ac:dyDescent="0.25">
      <c r="Z236">
        <v>555</v>
      </c>
      <c r="AA236" t="s">
        <v>2201</v>
      </c>
      <c r="AB236" t="s">
        <v>12</v>
      </c>
      <c r="AC236" t="s">
        <v>24</v>
      </c>
      <c r="AG236">
        <v>525</v>
      </c>
      <c r="AI236">
        <v>51</v>
      </c>
      <c r="AJ236">
        <v>7</v>
      </c>
    </row>
    <row r="237" spans="26:36" x14ac:dyDescent="0.25">
      <c r="Z237">
        <v>557</v>
      </c>
      <c r="AA237" t="s">
        <v>749</v>
      </c>
      <c r="AB237" t="s">
        <v>14</v>
      </c>
      <c r="AC237" t="s">
        <v>23</v>
      </c>
      <c r="AG237">
        <v>579</v>
      </c>
      <c r="AI237">
        <v>51</v>
      </c>
      <c r="AJ237">
        <v>8</v>
      </c>
    </row>
    <row r="238" spans="26:36" x14ac:dyDescent="0.25">
      <c r="Z238">
        <v>558</v>
      </c>
      <c r="AA238" t="s">
        <v>2245</v>
      </c>
      <c r="AB238" t="s">
        <v>1805</v>
      </c>
      <c r="AC238" t="s">
        <v>23</v>
      </c>
      <c r="AG238">
        <v>336</v>
      </c>
      <c r="AI238">
        <v>51</v>
      </c>
      <c r="AJ238">
        <v>14</v>
      </c>
    </row>
    <row r="239" spans="26:36" x14ac:dyDescent="0.25">
      <c r="Z239">
        <v>559</v>
      </c>
      <c r="AA239" t="s">
        <v>1660</v>
      </c>
      <c r="AB239" t="s">
        <v>43</v>
      </c>
      <c r="AC239" t="s">
        <v>24</v>
      </c>
      <c r="AG239">
        <v>396</v>
      </c>
      <c r="AI239">
        <v>51</v>
      </c>
      <c r="AJ239">
        <v>56</v>
      </c>
    </row>
    <row r="240" spans="26:36" x14ac:dyDescent="0.25">
      <c r="Z240">
        <v>560</v>
      </c>
      <c r="AA240" t="s">
        <v>1763</v>
      </c>
      <c r="AB240" t="s">
        <v>63</v>
      </c>
      <c r="AC240" t="s">
        <v>24</v>
      </c>
      <c r="AG240">
        <v>328</v>
      </c>
      <c r="AI240">
        <v>51</v>
      </c>
      <c r="AJ240">
        <v>59</v>
      </c>
    </row>
    <row r="241" spans="26:36" x14ac:dyDescent="0.25">
      <c r="Z241">
        <v>561</v>
      </c>
      <c r="AA241" t="s">
        <v>281</v>
      </c>
      <c r="AB241" t="s">
        <v>155</v>
      </c>
      <c r="AC241" t="s">
        <v>23</v>
      </c>
      <c r="AG241">
        <v>545</v>
      </c>
      <c r="AI241">
        <v>52</v>
      </c>
      <c r="AJ241">
        <v>1</v>
      </c>
    </row>
    <row r="242" spans="26:36" x14ac:dyDescent="0.25">
      <c r="Z242">
        <v>562</v>
      </c>
      <c r="AA242" t="s">
        <v>1571</v>
      </c>
      <c r="AB242" t="s">
        <v>108</v>
      </c>
      <c r="AC242" t="s">
        <v>24</v>
      </c>
      <c r="AG242">
        <v>380</v>
      </c>
      <c r="AI242">
        <v>52</v>
      </c>
      <c r="AJ242">
        <v>4</v>
      </c>
    </row>
    <row r="243" spans="26:36" x14ac:dyDescent="0.25">
      <c r="Z243">
        <v>563</v>
      </c>
      <c r="AA243" t="s">
        <v>2244</v>
      </c>
      <c r="AB243" t="s">
        <v>38</v>
      </c>
      <c r="AC243" t="s">
        <v>23</v>
      </c>
      <c r="AG243">
        <v>512</v>
      </c>
      <c r="AI243">
        <v>52</v>
      </c>
      <c r="AJ243">
        <v>17</v>
      </c>
    </row>
    <row r="244" spans="26:36" x14ac:dyDescent="0.25">
      <c r="Z244">
        <v>564</v>
      </c>
      <c r="AA244" t="s">
        <v>238</v>
      </c>
      <c r="AB244" t="s">
        <v>43</v>
      </c>
      <c r="AC244" t="s">
        <v>24</v>
      </c>
      <c r="AG244">
        <v>321</v>
      </c>
      <c r="AI244">
        <v>52</v>
      </c>
      <c r="AJ244">
        <v>18</v>
      </c>
    </row>
    <row r="245" spans="26:36" x14ac:dyDescent="0.25">
      <c r="Z245">
        <v>566</v>
      </c>
      <c r="AA245" t="s">
        <v>255</v>
      </c>
      <c r="AB245" t="s">
        <v>12</v>
      </c>
      <c r="AC245" t="s">
        <v>24</v>
      </c>
      <c r="AG245">
        <v>364</v>
      </c>
      <c r="AI245">
        <v>52</v>
      </c>
      <c r="AJ245">
        <v>31</v>
      </c>
    </row>
    <row r="246" spans="26:36" x14ac:dyDescent="0.25">
      <c r="Z246">
        <v>567</v>
      </c>
      <c r="AA246" t="s">
        <v>1359</v>
      </c>
      <c r="AB246" t="s">
        <v>12</v>
      </c>
      <c r="AC246" t="s">
        <v>23</v>
      </c>
      <c r="AG246">
        <v>563</v>
      </c>
      <c r="AI246">
        <v>52</v>
      </c>
      <c r="AJ246">
        <v>34</v>
      </c>
    </row>
    <row r="247" spans="26:36" x14ac:dyDescent="0.25">
      <c r="Z247">
        <v>568</v>
      </c>
      <c r="AA247" t="s">
        <v>1928</v>
      </c>
      <c r="AB247" t="s">
        <v>154</v>
      </c>
      <c r="AC247" t="s">
        <v>23</v>
      </c>
      <c r="AG247">
        <v>482</v>
      </c>
      <c r="AI247">
        <v>54</v>
      </c>
      <c r="AJ247">
        <v>28</v>
      </c>
    </row>
    <row r="248" spans="26:36" x14ac:dyDescent="0.25">
      <c r="Z248">
        <v>569</v>
      </c>
      <c r="AA248" t="s">
        <v>907</v>
      </c>
      <c r="AB248" t="s">
        <v>12</v>
      </c>
      <c r="AC248" t="s">
        <v>24</v>
      </c>
      <c r="AG248">
        <v>558</v>
      </c>
      <c r="AI248">
        <v>54</v>
      </c>
      <c r="AJ248">
        <v>31</v>
      </c>
    </row>
    <row r="249" spans="26:36" x14ac:dyDescent="0.25">
      <c r="Z249">
        <v>570</v>
      </c>
      <c r="AA249" t="s">
        <v>260</v>
      </c>
      <c r="AB249" t="s">
        <v>12</v>
      </c>
      <c r="AC249" t="s">
        <v>23</v>
      </c>
      <c r="AG249">
        <v>520</v>
      </c>
      <c r="AI249">
        <v>54</v>
      </c>
      <c r="AJ249">
        <v>56</v>
      </c>
    </row>
    <row r="250" spans="26:36" x14ac:dyDescent="0.25">
      <c r="Z250">
        <v>571</v>
      </c>
      <c r="AA250" t="s">
        <v>895</v>
      </c>
      <c r="AB250" t="s">
        <v>12</v>
      </c>
      <c r="AC250" t="s">
        <v>24</v>
      </c>
      <c r="AG250">
        <v>507</v>
      </c>
      <c r="AI250">
        <v>55</v>
      </c>
      <c r="AJ250">
        <v>13</v>
      </c>
    </row>
    <row r="251" spans="26:36" x14ac:dyDescent="0.25">
      <c r="Z251">
        <v>572</v>
      </c>
      <c r="AA251" t="s">
        <v>841</v>
      </c>
      <c r="AB251" t="s">
        <v>38</v>
      </c>
      <c r="AC251" t="s">
        <v>24</v>
      </c>
      <c r="AG251">
        <v>420</v>
      </c>
      <c r="AI251">
        <v>55</v>
      </c>
      <c r="AJ251">
        <v>53</v>
      </c>
    </row>
    <row r="252" spans="26:36" x14ac:dyDescent="0.25">
      <c r="Z252">
        <v>573</v>
      </c>
      <c r="AA252" t="s">
        <v>204</v>
      </c>
      <c r="AB252" t="s">
        <v>38</v>
      </c>
      <c r="AC252" t="s">
        <v>24</v>
      </c>
      <c r="AG252">
        <v>408</v>
      </c>
      <c r="AI252">
        <v>55</v>
      </c>
      <c r="AJ252">
        <v>54</v>
      </c>
    </row>
    <row r="253" spans="26:36" x14ac:dyDescent="0.25">
      <c r="Z253">
        <v>576</v>
      </c>
      <c r="AA253" t="s">
        <v>2249</v>
      </c>
      <c r="AB253" t="s">
        <v>12</v>
      </c>
      <c r="AC253" t="s">
        <v>23</v>
      </c>
      <c r="AG253">
        <v>542</v>
      </c>
      <c r="AI253">
        <v>56</v>
      </c>
      <c r="AJ253">
        <v>1</v>
      </c>
    </row>
    <row r="254" spans="26:36" x14ac:dyDescent="0.25">
      <c r="Z254">
        <v>578</v>
      </c>
      <c r="AA254" t="s">
        <v>897</v>
      </c>
      <c r="AB254" t="s">
        <v>12</v>
      </c>
      <c r="AC254" t="s">
        <v>23</v>
      </c>
      <c r="AG254">
        <v>450</v>
      </c>
      <c r="AI254">
        <v>56</v>
      </c>
      <c r="AJ254">
        <v>3</v>
      </c>
    </row>
    <row r="255" spans="26:36" x14ac:dyDescent="0.25">
      <c r="Z255">
        <v>579</v>
      </c>
      <c r="AA255" t="s">
        <v>1408</v>
      </c>
      <c r="AB255" t="s">
        <v>63</v>
      </c>
      <c r="AC255" t="s">
        <v>24</v>
      </c>
      <c r="AG255">
        <v>356</v>
      </c>
      <c r="AI255">
        <v>56</v>
      </c>
      <c r="AJ255">
        <v>23</v>
      </c>
    </row>
    <row r="256" spans="26:36" x14ac:dyDescent="0.25">
      <c r="Z256">
        <v>580</v>
      </c>
      <c r="AA256" t="s">
        <v>1789</v>
      </c>
      <c r="AB256" t="s">
        <v>43</v>
      </c>
      <c r="AC256" t="s">
        <v>24</v>
      </c>
      <c r="AG256">
        <v>398</v>
      </c>
      <c r="AI256">
        <v>56</v>
      </c>
      <c r="AJ256">
        <v>40</v>
      </c>
    </row>
    <row r="257" spans="26:36" x14ac:dyDescent="0.25">
      <c r="Z257">
        <v>581</v>
      </c>
      <c r="AA257" t="s">
        <v>335</v>
      </c>
      <c r="AB257" t="s">
        <v>12</v>
      </c>
      <c r="AC257" t="s">
        <v>24</v>
      </c>
      <c r="AG257">
        <v>1</v>
      </c>
      <c r="AI257">
        <v>57</v>
      </c>
      <c r="AJ257">
        <v>2</v>
      </c>
    </row>
    <row r="258" spans="26:36" x14ac:dyDescent="0.25">
      <c r="Z258">
        <v>582</v>
      </c>
      <c r="AA258" t="s">
        <v>2195</v>
      </c>
      <c r="AB258" t="s">
        <v>12</v>
      </c>
      <c r="AC258" t="s">
        <v>24</v>
      </c>
      <c r="AG258">
        <v>325</v>
      </c>
      <c r="AI258">
        <v>57</v>
      </c>
      <c r="AJ258">
        <v>26</v>
      </c>
    </row>
    <row r="259" spans="26:36" x14ac:dyDescent="0.25">
      <c r="Z259">
        <v>583</v>
      </c>
      <c r="AA259" t="s">
        <v>2027</v>
      </c>
      <c r="AB259" t="s">
        <v>1805</v>
      </c>
      <c r="AC259" t="s">
        <v>23</v>
      </c>
      <c r="AG259">
        <v>391</v>
      </c>
      <c r="AI259">
        <v>57</v>
      </c>
      <c r="AJ259">
        <v>30</v>
      </c>
    </row>
    <row r="260" spans="26:36" x14ac:dyDescent="0.25">
      <c r="Z260">
        <v>584</v>
      </c>
      <c r="AA260" t="s">
        <v>1903</v>
      </c>
      <c r="AB260" t="s">
        <v>154</v>
      </c>
      <c r="AC260" t="s">
        <v>24</v>
      </c>
      <c r="AG260">
        <v>491</v>
      </c>
      <c r="AI260">
        <v>57</v>
      </c>
      <c r="AJ260">
        <v>31</v>
      </c>
    </row>
    <row r="261" spans="26:36" x14ac:dyDescent="0.25">
      <c r="Z261">
        <v>586</v>
      </c>
      <c r="AA261" t="s">
        <v>2198</v>
      </c>
      <c r="AB261" t="s">
        <v>38</v>
      </c>
      <c r="AC261" t="s">
        <v>24</v>
      </c>
      <c r="AG261">
        <v>390</v>
      </c>
      <c r="AH261">
        <v>1</v>
      </c>
      <c r="AI261">
        <v>0</v>
      </c>
      <c r="AJ261">
        <v>22</v>
      </c>
    </row>
    <row r="262" spans="26:36" x14ac:dyDescent="0.25">
      <c r="Z262">
        <v>587</v>
      </c>
      <c r="AA262" t="s">
        <v>1357</v>
      </c>
      <c r="AB262" t="s">
        <v>12</v>
      </c>
      <c r="AC262" t="s">
        <v>24</v>
      </c>
      <c r="AG262">
        <v>559</v>
      </c>
      <c r="AH262">
        <v>1</v>
      </c>
      <c r="AI262">
        <v>0</v>
      </c>
      <c r="AJ262">
        <v>23</v>
      </c>
    </row>
    <row r="263" spans="26:36" x14ac:dyDescent="0.25">
      <c r="Z263">
        <v>588</v>
      </c>
      <c r="AA263" t="s">
        <v>1159</v>
      </c>
      <c r="AB263" t="s">
        <v>952</v>
      </c>
      <c r="AC263" t="s">
        <v>23</v>
      </c>
      <c r="AG263">
        <v>517</v>
      </c>
      <c r="AH263">
        <v>1</v>
      </c>
      <c r="AI263">
        <v>1</v>
      </c>
      <c r="AJ263">
        <v>43</v>
      </c>
    </row>
    <row r="264" spans="26:36" x14ac:dyDescent="0.25">
      <c r="Z264">
        <v>589</v>
      </c>
      <c r="AA264" t="s">
        <v>1911</v>
      </c>
      <c r="AB264" t="s">
        <v>14</v>
      </c>
      <c r="AC264" t="s">
        <v>24</v>
      </c>
      <c r="AG264">
        <v>576</v>
      </c>
      <c r="AH264">
        <v>1</v>
      </c>
      <c r="AI264">
        <v>2</v>
      </c>
      <c r="AJ264">
        <v>55</v>
      </c>
    </row>
    <row r="265" spans="26:36" x14ac:dyDescent="0.25">
      <c r="Z265">
        <v>590</v>
      </c>
      <c r="AA265" t="s">
        <v>2205</v>
      </c>
      <c r="AB265" t="s">
        <v>38</v>
      </c>
      <c r="AC265" t="s">
        <v>24</v>
      </c>
      <c r="AG265">
        <v>543</v>
      </c>
      <c r="AH265">
        <v>1</v>
      </c>
      <c r="AI265">
        <v>2</v>
      </c>
      <c r="AJ265">
        <v>59</v>
      </c>
    </row>
    <row r="266" spans="26:36" x14ac:dyDescent="0.25">
      <c r="Z266">
        <v>591</v>
      </c>
      <c r="AA266" t="s">
        <v>1386</v>
      </c>
      <c r="AB266" t="s">
        <v>12</v>
      </c>
      <c r="AC266" t="s">
        <v>24</v>
      </c>
      <c r="AG266">
        <v>343</v>
      </c>
      <c r="AH266">
        <v>1</v>
      </c>
      <c r="AI266">
        <v>3</v>
      </c>
      <c r="AJ266">
        <v>2</v>
      </c>
    </row>
    <row r="267" spans="26:36" x14ac:dyDescent="0.25">
      <c r="Z267">
        <v>592</v>
      </c>
      <c r="AA267" t="s">
        <v>1522</v>
      </c>
      <c r="AB267" t="s">
        <v>14</v>
      </c>
      <c r="AC267" t="s">
        <v>24</v>
      </c>
      <c r="AG267">
        <v>537</v>
      </c>
      <c r="AH267">
        <v>1</v>
      </c>
      <c r="AI267">
        <v>3</v>
      </c>
      <c r="AJ267">
        <v>8</v>
      </c>
    </row>
    <row r="268" spans="26:36" x14ac:dyDescent="0.25">
      <c r="Z268">
        <v>593</v>
      </c>
      <c r="AA268" t="s">
        <v>1781</v>
      </c>
      <c r="AB268" t="s">
        <v>12</v>
      </c>
      <c r="AC268" t="s">
        <v>23</v>
      </c>
      <c r="AG268">
        <v>540</v>
      </c>
      <c r="AH268">
        <v>1</v>
      </c>
      <c r="AI268">
        <v>3</v>
      </c>
      <c r="AJ268">
        <v>10</v>
      </c>
    </row>
    <row r="269" spans="26:36" x14ac:dyDescent="0.25">
      <c r="Z269">
        <v>594</v>
      </c>
      <c r="AA269" t="s">
        <v>517</v>
      </c>
      <c r="AB269" t="s">
        <v>155</v>
      </c>
      <c r="AC269" t="s">
        <v>23</v>
      </c>
      <c r="AG269">
        <v>553</v>
      </c>
      <c r="AH269">
        <v>1</v>
      </c>
      <c r="AI269">
        <v>5</v>
      </c>
      <c r="AJ269">
        <v>3</v>
      </c>
    </row>
    <row r="270" spans="26:36" x14ac:dyDescent="0.25">
      <c r="Z270">
        <v>595</v>
      </c>
      <c r="AA270" t="s">
        <v>2252</v>
      </c>
      <c r="AB270" t="s">
        <v>12</v>
      </c>
      <c r="AC270" t="s">
        <v>23</v>
      </c>
      <c r="AG270">
        <v>509</v>
      </c>
      <c r="AH270">
        <v>1</v>
      </c>
      <c r="AI270">
        <v>6</v>
      </c>
      <c r="AJ270">
        <v>10</v>
      </c>
    </row>
    <row r="271" spans="26:36" x14ac:dyDescent="0.25">
      <c r="Z271">
        <v>596</v>
      </c>
      <c r="AA271" t="s">
        <v>2137</v>
      </c>
      <c r="AB271" t="s">
        <v>505</v>
      </c>
      <c r="AC271" t="s">
        <v>24</v>
      </c>
      <c r="AG271">
        <v>400</v>
      </c>
      <c r="AH271">
        <v>1</v>
      </c>
      <c r="AI271">
        <v>6</v>
      </c>
      <c r="AJ271">
        <v>59</v>
      </c>
    </row>
    <row r="272" spans="26:36" x14ac:dyDescent="0.25">
      <c r="Z272">
        <v>597</v>
      </c>
      <c r="AA272" t="s">
        <v>414</v>
      </c>
      <c r="AB272" t="s">
        <v>952</v>
      </c>
      <c r="AC272" t="s">
        <v>24</v>
      </c>
      <c r="AG272">
        <v>595</v>
      </c>
      <c r="AH272">
        <v>1</v>
      </c>
      <c r="AI272">
        <v>15</v>
      </c>
      <c r="AJ272">
        <v>15</v>
      </c>
    </row>
    <row r="273" spans="26:36" x14ac:dyDescent="0.25">
      <c r="Z273">
        <v>598</v>
      </c>
      <c r="AA273" t="s">
        <v>1589</v>
      </c>
      <c r="AB273" t="s">
        <v>12</v>
      </c>
      <c r="AC273" t="s">
        <v>23</v>
      </c>
      <c r="AG273">
        <v>342</v>
      </c>
      <c r="AH273">
        <v>1</v>
      </c>
      <c r="AI273">
        <v>17</v>
      </c>
      <c r="AJ273">
        <v>30</v>
      </c>
    </row>
    <row r="274" spans="26:36" x14ac:dyDescent="0.25">
      <c r="Z274">
        <v>600</v>
      </c>
      <c r="AA274" t="s">
        <v>1337</v>
      </c>
      <c r="AB274" t="s">
        <v>12</v>
      </c>
      <c r="AC274" t="s">
        <v>24</v>
      </c>
      <c r="AG274">
        <v>393</v>
      </c>
      <c r="AH274">
        <v>1</v>
      </c>
      <c r="AI274">
        <v>17</v>
      </c>
      <c r="AJ274">
        <v>39</v>
      </c>
    </row>
  </sheetData>
  <sheetProtection password="CC0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 tint="0.79998168889431442"/>
  </sheetPr>
  <dimension ref="A1:AUJ301"/>
  <sheetViews>
    <sheetView workbookViewId="0">
      <selection sqref="A1:XFD1048576"/>
    </sheetView>
  </sheetViews>
  <sheetFormatPr defaultRowHeight="15.75" x14ac:dyDescent="0.25"/>
  <cols>
    <col min="1" max="1" width="10.75" customWidth="1"/>
    <col min="2" max="2" width="10" customWidth="1"/>
    <col min="3" max="3" width="6.75" bestFit="1" customWidth="1"/>
    <col min="4" max="4" width="10.875" bestFit="1" customWidth="1"/>
    <col min="5" max="5" width="20.25" customWidth="1"/>
    <col min="6" max="6" width="19.5" customWidth="1"/>
    <col min="7" max="7" width="12.25" customWidth="1"/>
    <col min="8" max="8" width="9.75" customWidth="1"/>
    <col min="9" max="9" width="7" customWidth="1"/>
    <col min="10" max="10" width="9.25" customWidth="1"/>
    <col min="11" max="12" width="7.25" bestFit="1" customWidth="1"/>
    <col min="13" max="13" width="28.5" customWidth="1"/>
    <col min="14" max="14" width="15.75" customWidth="1"/>
    <col min="15" max="15" width="22.25" customWidth="1"/>
    <col min="16" max="16" width="24" customWidth="1"/>
    <col min="17" max="17" width="7.75" bestFit="1" customWidth="1"/>
    <col min="18" max="18" width="14.625" bestFit="1" customWidth="1"/>
    <col min="19" max="19" width="8.625" bestFit="1" customWidth="1"/>
    <col min="20" max="20" width="9.625" bestFit="1" customWidth="1"/>
    <col min="21" max="21" width="12.75" customWidth="1"/>
    <col min="22" max="22" width="16.75" bestFit="1" customWidth="1"/>
    <col min="23" max="23" width="22.375" customWidth="1"/>
    <col min="24" max="24" width="17.75" bestFit="1" customWidth="1"/>
    <col min="25" max="25" width="18.25" bestFit="1" customWidth="1"/>
    <col min="26" max="26" width="16.25" bestFit="1" customWidth="1"/>
    <col min="27" max="27" width="16" customWidth="1"/>
    <col min="28" max="28" width="8.75" bestFit="1" customWidth="1"/>
    <col min="29" max="29" width="9.25" bestFit="1" customWidth="1"/>
    <col min="30" max="30" width="12.625" bestFit="1" customWidth="1"/>
    <col min="31" max="31" width="18.875" bestFit="1" customWidth="1"/>
    <col min="32" max="32" width="20.5" bestFit="1" customWidth="1"/>
    <col min="33" max="34" width="14.125" bestFit="1" customWidth="1"/>
    <col min="35" max="35" width="13.625" bestFit="1" customWidth="1"/>
    <col min="36" max="36" width="10.25" bestFit="1" customWidth="1"/>
    <col min="37" max="38" width="7.25" bestFit="1" customWidth="1"/>
    <col min="39" max="39" width="30.625" bestFit="1" customWidth="1"/>
    <col min="40" max="40" width="13.25" bestFit="1" customWidth="1"/>
    <col min="41" max="41" width="7.75" bestFit="1" customWidth="1"/>
    <col min="42" max="42" width="14.625" bestFit="1" customWidth="1"/>
    <col min="43" max="43" width="8.625" bestFit="1" customWidth="1"/>
    <col min="44" max="44" width="7.875" bestFit="1" customWidth="1"/>
    <col min="45" max="45" width="16.75" bestFit="1" customWidth="1"/>
    <col min="46" max="46" width="17.75" bestFit="1" customWidth="1"/>
    <col min="47" max="47" width="18.25" bestFit="1" customWidth="1"/>
    <col min="48" max="48" width="16.25" bestFit="1" customWidth="1"/>
    <col min="49" max="49" width="11.125" bestFit="1" customWidth="1"/>
    <col min="50" max="50" width="11.25" bestFit="1" customWidth="1"/>
    <col min="51" max="51" width="8.75" bestFit="1" customWidth="1"/>
    <col min="52" max="52" width="9.25" bestFit="1" customWidth="1"/>
    <col min="53" max="53" width="8.75" bestFit="1" customWidth="1"/>
    <col min="54" max="54" width="9.625" bestFit="1" customWidth="1"/>
    <col min="55" max="55" width="6.75" bestFit="1" customWidth="1"/>
    <col min="56" max="56" width="10.875" bestFit="1" customWidth="1"/>
    <col min="57" max="57" width="18.875" bestFit="1" customWidth="1"/>
    <col min="58" max="58" width="20.5" bestFit="1" customWidth="1"/>
    <col min="59" max="60" width="14.125" bestFit="1" customWidth="1"/>
    <col min="61" max="61" width="13.625" bestFit="1" customWidth="1"/>
    <col min="62" max="62" width="10.25" bestFit="1" customWidth="1"/>
    <col min="63" max="64" width="7.25" bestFit="1" customWidth="1"/>
    <col min="65" max="65" width="30.625" bestFit="1" customWidth="1"/>
    <col min="66" max="66" width="13.25" bestFit="1" customWidth="1"/>
    <col min="67" max="67" width="7.75" bestFit="1" customWidth="1"/>
    <col min="68" max="68" width="14.625" bestFit="1" customWidth="1"/>
    <col min="69" max="69" width="8.625" bestFit="1" customWidth="1"/>
    <col min="70" max="70" width="7.875" bestFit="1" customWidth="1"/>
    <col min="71" max="71" width="16.75" bestFit="1" customWidth="1"/>
    <col min="72" max="72" width="17.75" bestFit="1" customWidth="1"/>
    <col min="73" max="73" width="18.25" bestFit="1" customWidth="1"/>
    <col min="74" max="74" width="16.25" bestFit="1" customWidth="1"/>
    <col min="75" max="75" width="11.125" bestFit="1" customWidth="1"/>
    <col min="76" max="76" width="11.25" bestFit="1" customWidth="1"/>
    <col min="77" max="77" width="8.75" bestFit="1" customWidth="1"/>
    <col min="78" max="78" width="9.25" bestFit="1" customWidth="1"/>
    <col min="79" max="79" width="8.75" bestFit="1" customWidth="1"/>
    <col min="80" max="80" width="9.625" bestFit="1" customWidth="1"/>
    <col min="81" max="81" width="6.75" bestFit="1" customWidth="1"/>
    <col min="82" max="82" width="10.875" bestFit="1" customWidth="1"/>
    <col min="83" max="83" width="18.875" bestFit="1" customWidth="1"/>
    <col min="84" max="84" width="20.5" bestFit="1" customWidth="1"/>
    <col min="85" max="86" width="14.125" bestFit="1" customWidth="1"/>
    <col min="87" max="87" width="13.625" bestFit="1" customWidth="1"/>
    <col min="88" max="88" width="10.25" bestFit="1" customWidth="1"/>
    <col min="89" max="90" width="7.25" bestFit="1" customWidth="1"/>
    <col min="91" max="91" width="30.625" bestFit="1" customWidth="1"/>
    <col min="92" max="92" width="13.25" bestFit="1" customWidth="1"/>
    <col min="93" max="93" width="7.75" bestFit="1" customWidth="1"/>
    <col min="94" max="94" width="14.625" bestFit="1" customWidth="1"/>
    <col min="95" max="95" width="8.625" bestFit="1" customWidth="1"/>
    <col min="96" max="96" width="7.875" bestFit="1" customWidth="1"/>
    <col min="97" max="97" width="16.75" bestFit="1" customWidth="1"/>
    <col min="98" max="98" width="17.75" bestFit="1" customWidth="1"/>
    <col min="99" max="99" width="18.25" bestFit="1" customWidth="1"/>
    <col min="100" max="100" width="16.25" bestFit="1" customWidth="1"/>
    <col min="101" max="101" width="11.125" bestFit="1" customWidth="1"/>
    <col min="102" max="102" width="11.25" bestFit="1" customWidth="1"/>
    <col min="103" max="103" width="8.75" bestFit="1" customWidth="1"/>
    <col min="104" max="104" width="9.25" bestFit="1" customWidth="1"/>
    <col min="105" max="105" width="8.75" bestFit="1" customWidth="1"/>
    <col min="106" max="106" width="9.625" bestFit="1" customWidth="1"/>
    <col min="107" max="107" width="6.75" bestFit="1" customWidth="1"/>
    <col min="108" max="108" width="10.875" bestFit="1" customWidth="1"/>
    <col min="109" max="109" width="18.875" bestFit="1" customWidth="1"/>
    <col min="110" max="110" width="20.5" bestFit="1" customWidth="1"/>
    <col min="111" max="112" width="14.125" bestFit="1" customWidth="1"/>
    <col min="113" max="113" width="13.625" bestFit="1" customWidth="1"/>
    <col min="114" max="114" width="10.25" bestFit="1" customWidth="1"/>
    <col min="115" max="116" width="7.25" bestFit="1" customWidth="1"/>
    <col min="117" max="117" width="30.625" bestFit="1" customWidth="1"/>
    <col min="118" max="118" width="13.25" bestFit="1" customWidth="1"/>
    <col min="119" max="119" width="7.75" bestFit="1" customWidth="1"/>
    <col min="120" max="120" width="14.625" bestFit="1" customWidth="1"/>
    <col min="121" max="121" width="8.625" bestFit="1" customWidth="1"/>
    <col min="122" max="122" width="7.875" bestFit="1" customWidth="1"/>
    <col min="123" max="123" width="16.75" bestFit="1" customWidth="1"/>
    <col min="124" max="124" width="17.75" bestFit="1" customWidth="1"/>
    <col min="125" max="125" width="18.25" bestFit="1" customWidth="1"/>
    <col min="126" max="126" width="16.25" bestFit="1" customWidth="1"/>
    <col min="127" max="127" width="11.125" bestFit="1" customWidth="1"/>
    <col min="128" max="128" width="11.25" bestFit="1" customWidth="1"/>
    <col min="129" max="129" width="8.75" bestFit="1" customWidth="1"/>
    <col min="130" max="130" width="9.25" bestFit="1" customWidth="1"/>
    <col min="131" max="131" width="8.75" bestFit="1" customWidth="1"/>
    <col min="132" max="132" width="9.625" bestFit="1" customWidth="1"/>
    <col min="133" max="133" width="6.75" bestFit="1" customWidth="1"/>
    <col min="134" max="134" width="10.875" bestFit="1" customWidth="1"/>
    <col min="135" max="135" width="18.875" bestFit="1" customWidth="1"/>
    <col min="136" max="136" width="20.5" bestFit="1" customWidth="1"/>
    <col min="137" max="138" width="14.125" bestFit="1" customWidth="1"/>
    <col min="139" max="139" width="13.625" bestFit="1" customWidth="1"/>
    <col min="140" max="140" width="10.25" bestFit="1" customWidth="1"/>
    <col min="141" max="142" width="7.25" bestFit="1" customWidth="1"/>
    <col min="143" max="143" width="30.625" bestFit="1" customWidth="1"/>
    <col min="144" max="144" width="13.25" bestFit="1" customWidth="1"/>
    <col min="145" max="145" width="7.75" bestFit="1" customWidth="1"/>
    <col min="146" max="146" width="14.625" bestFit="1" customWidth="1"/>
    <col min="147" max="147" width="8.625" bestFit="1" customWidth="1"/>
    <col min="148" max="148" width="7.875" bestFit="1" customWidth="1"/>
    <col min="149" max="149" width="16.75" bestFit="1" customWidth="1"/>
    <col min="150" max="150" width="17.75" bestFit="1" customWidth="1"/>
    <col min="151" max="151" width="18.25" bestFit="1" customWidth="1"/>
    <col min="152" max="152" width="16.25" bestFit="1" customWidth="1"/>
    <col min="153" max="153" width="11.125" bestFit="1" customWidth="1"/>
    <col min="154" max="154" width="11.25" bestFit="1" customWidth="1"/>
    <col min="155" max="155" width="8.75" bestFit="1" customWidth="1"/>
    <col min="156" max="156" width="9.25" bestFit="1" customWidth="1"/>
    <col min="157" max="157" width="8.75" bestFit="1" customWidth="1"/>
    <col min="158" max="158" width="9.625" bestFit="1" customWidth="1"/>
    <col min="159" max="159" width="6.75" bestFit="1" customWidth="1"/>
    <col min="160" max="160" width="10.875" bestFit="1" customWidth="1"/>
    <col min="161" max="161" width="18.875" bestFit="1" customWidth="1"/>
    <col min="162" max="162" width="20.5" bestFit="1" customWidth="1"/>
    <col min="163" max="164" width="14.125" bestFit="1" customWidth="1"/>
    <col min="165" max="165" width="13.625" bestFit="1" customWidth="1"/>
    <col min="166" max="166" width="10.25" bestFit="1" customWidth="1"/>
    <col min="167" max="168" width="7.25" bestFit="1" customWidth="1"/>
    <col min="169" max="169" width="30.625" bestFit="1" customWidth="1"/>
    <col min="170" max="170" width="13.25" bestFit="1" customWidth="1"/>
    <col min="171" max="171" width="7.75" bestFit="1" customWidth="1"/>
    <col min="172" max="172" width="14.625" bestFit="1" customWidth="1"/>
    <col min="173" max="173" width="8.625" bestFit="1" customWidth="1"/>
    <col min="174" max="174" width="7.875" bestFit="1" customWidth="1"/>
    <col min="175" max="175" width="16.75" bestFit="1" customWidth="1"/>
    <col min="176" max="176" width="17.75" bestFit="1" customWidth="1"/>
    <col min="177" max="177" width="18.25" bestFit="1" customWidth="1"/>
    <col min="178" max="178" width="16.25" bestFit="1" customWidth="1"/>
    <col min="179" max="179" width="11.125" bestFit="1" customWidth="1"/>
    <col min="180" max="180" width="11.25" bestFit="1" customWidth="1"/>
    <col min="181" max="181" width="8.75" bestFit="1" customWidth="1"/>
    <col min="182" max="182" width="9.25" bestFit="1" customWidth="1"/>
    <col min="183" max="183" width="8.75" bestFit="1" customWidth="1"/>
    <col min="184" max="184" width="9.625" bestFit="1" customWidth="1"/>
    <col min="185" max="185" width="6.75" bestFit="1" customWidth="1"/>
    <col min="186" max="186" width="10.875" bestFit="1" customWidth="1"/>
    <col min="187" max="187" width="18.875" bestFit="1" customWidth="1"/>
    <col min="188" max="188" width="20.5" bestFit="1" customWidth="1"/>
    <col min="189" max="190" width="14.125" bestFit="1" customWidth="1"/>
    <col min="191" max="191" width="13.625" bestFit="1" customWidth="1"/>
    <col min="192" max="192" width="10.25" bestFit="1" customWidth="1"/>
    <col min="193" max="194" width="7.25" bestFit="1" customWidth="1"/>
    <col min="195" max="195" width="30.625" bestFit="1" customWidth="1"/>
    <col min="196" max="196" width="13.25" bestFit="1" customWidth="1"/>
    <col min="197" max="197" width="7.75" bestFit="1" customWidth="1"/>
    <col min="198" max="198" width="14.625" bestFit="1" customWidth="1"/>
    <col min="199" max="199" width="8.625" bestFit="1" customWidth="1"/>
    <col min="200" max="200" width="7.875" bestFit="1" customWidth="1"/>
    <col min="201" max="201" width="16.75" bestFit="1" customWidth="1"/>
    <col min="202" max="202" width="17.75" bestFit="1" customWidth="1"/>
    <col min="203" max="203" width="18.25" bestFit="1" customWidth="1"/>
    <col min="204" max="204" width="16.25" bestFit="1" customWidth="1"/>
    <col min="205" max="205" width="11.125" bestFit="1" customWidth="1"/>
    <col min="206" max="206" width="11.25" bestFit="1" customWidth="1"/>
    <col min="207" max="207" width="8.75" bestFit="1" customWidth="1"/>
    <col min="208" max="208" width="9.25" bestFit="1" customWidth="1"/>
    <col min="209" max="209" width="8.75" bestFit="1" customWidth="1"/>
    <col min="210" max="210" width="9.625" bestFit="1" customWidth="1"/>
    <col min="211" max="211" width="6.75" bestFit="1" customWidth="1"/>
    <col min="212" max="212" width="10.875" bestFit="1" customWidth="1"/>
    <col min="213" max="213" width="18.875" bestFit="1" customWidth="1"/>
    <col min="214" max="214" width="20.5" bestFit="1" customWidth="1"/>
    <col min="215" max="216" width="14.125" bestFit="1" customWidth="1"/>
    <col min="217" max="217" width="13.625" bestFit="1" customWidth="1"/>
    <col min="218" max="218" width="10.25" bestFit="1" customWidth="1"/>
    <col min="219" max="220" width="7.25" bestFit="1" customWidth="1"/>
    <col min="221" max="221" width="30.625" bestFit="1" customWidth="1"/>
    <col min="222" max="222" width="13.25" bestFit="1" customWidth="1"/>
    <col min="223" max="223" width="7.75" bestFit="1" customWidth="1"/>
    <col min="224" max="224" width="14.625" bestFit="1" customWidth="1"/>
    <col min="225" max="225" width="8.625" bestFit="1" customWidth="1"/>
    <col min="226" max="226" width="7.875" bestFit="1" customWidth="1"/>
    <col min="227" max="227" width="16.75" bestFit="1" customWidth="1"/>
    <col min="228" max="228" width="17.75" bestFit="1" customWidth="1"/>
    <col min="229" max="229" width="18.25" bestFit="1" customWidth="1"/>
    <col min="230" max="230" width="16.25" bestFit="1" customWidth="1"/>
    <col min="231" max="231" width="11.125" bestFit="1" customWidth="1"/>
    <col min="232" max="232" width="11.25" bestFit="1" customWidth="1"/>
    <col min="233" max="233" width="8.75" bestFit="1" customWidth="1"/>
    <col min="234" max="234" width="9.25" bestFit="1" customWidth="1"/>
    <col min="235" max="235" width="8.75" bestFit="1" customWidth="1"/>
    <col min="236" max="236" width="9.625" bestFit="1" customWidth="1"/>
    <col min="237" max="237" width="6.75" bestFit="1" customWidth="1"/>
    <col min="238" max="238" width="10.875" bestFit="1" customWidth="1"/>
    <col min="239" max="239" width="18.875" bestFit="1" customWidth="1"/>
    <col min="240" max="240" width="20.5" bestFit="1" customWidth="1"/>
    <col min="241" max="242" width="14.125" bestFit="1" customWidth="1"/>
    <col min="243" max="243" width="13.625" bestFit="1" customWidth="1"/>
    <col min="244" max="244" width="10.25" bestFit="1" customWidth="1"/>
    <col min="245" max="246" width="7.25" bestFit="1" customWidth="1"/>
    <col min="247" max="247" width="30.625" bestFit="1" customWidth="1"/>
    <col min="248" max="248" width="13.25" bestFit="1" customWidth="1"/>
    <col min="249" max="249" width="7.75" bestFit="1" customWidth="1"/>
    <col min="250" max="250" width="14.625" bestFit="1" customWidth="1"/>
    <col min="251" max="251" width="8.625" bestFit="1" customWidth="1"/>
    <col min="252" max="252" width="7.875" bestFit="1" customWidth="1"/>
    <col min="253" max="253" width="16.75" bestFit="1" customWidth="1"/>
    <col min="254" max="254" width="17.75" bestFit="1" customWidth="1"/>
    <col min="255" max="255" width="18.25" bestFit="1" customWidth="1"/>
    <col min="256" max="256" width="16.25" bestFit="1" customWidth="1"/>
    <col min="257" max="257" width="11.125" bestFit="1" customWidth="1"/>
    <col min="258" max="258" width="11.25" bestFit="1" customWidth="1"/>
    <col min="259" max="259" width="8.75" bestFit="1" customWidth="1"/>
    <col min="260" max="260" width="9.25" bestFit="1" customWidth="1"/>
    <col min="261" max="261" width="8.75" bestFit="1" customWidth="1"/>
    <col min="262" max="262" width="9.625" bestFit="1" customWidth="1"/>
    <col min="263" max="263" width="6.75" bestFit="1" customWidth="1"/>
    <col min="264" max="264" width="10.875" bestFit="1" customWidth="1"/>
    <col min="265" max="265" width="18.875" bestFit="1" customWidth="1"/>
    <col min="266" max="266" width="20.5" bestFit="1" customWidth="1"/>
    <col min="267" max="268" width="14.125" bestFit="1" customWidth="1"/>
    <col min="269" max="269" width="13.625" bestFit="1" customWidth="1"/>
    <col min="270" max="270" width="10.25" bestFit="1" customWidth="1"/>
    <col min="271" max="272" width="7.25" bestFit="1" customWidth="1"/>
    <col min="273" max="273" width="30.625" bestFit="1" customWidth="1"/>
    <col min="274" max="274" width="13.25" bestFit="1" customWidth="1"/>
    <col min="275" max="275" width="7.75" bestFit="1" customWidth="1"/>
    <col min="276" max="276" width="14.625" bestFit="1" customWidth="1"/>
    <col min="277" max="277" width="8.625" bestFit="1" customWidth="1"/>
    <col min="278" max="278" width="7.875" bestFit="1" customWidth="1"/>
    <col min="279" max="279" width="16.75" bestFit="1" customWidth="1"/>
    <col min="280" max="280" width="17.75" bestFit="1" customWidth="1"/>
    <col min="281" max="281" width="18.25" bestFit="1" customWidth="1"/>
    <col min="282" max="282" width="16.25" bestFit="1" customWidth="1"/>
    <col min="283" max="283" width="11.125" bestFit="1" customWidth="1"/>
    <col min="284" max="284" width="11.25" bestFit="1" customWidth="1"/>
    <col min="285" max="285" width="8.75" bestFit="1" customWidth="1"/>
    <col min="286" max="286" width="9.25" bestFit="1" customWidth="1"/>
    <col min="287" max="287" width="8.75" bestFit="1" customWidth="1"/>
    <col min="288" max="288" width="9.625" bestFit="1" customWidth="1"/>
    <col min="289" max="289" width="6.75" bestFit="1" customWidth="1"/>
    <col min="290" max="290" width="10.875" bestFit="1" customWidth="1"/>
    <col min="291" max="291" width="18.875" bestFit="1" customWidth="1"/>
    <col min="292" max="292" width="20.5" bestFit="1" customWidth="1"/>
    <col min="293" max="294" width="14.125" bestFit="1" customWidth="1"/>
    <col min="295" max="295" width="13.625" bestFit="1" customWidth="1"/>
    <col min="296" max="296" width="10.25" bestFit="1" customWidth="1"/>
    <col min="297" max="298" width="7.25" bestFit="1" customWidth="1"/>
    <col min="299" max="299" width="30.625" bestFit="1" customWidth="1"/>
    <col min="300" max="300" width="13.25" bestFit="1" customWidth="1"/>
    <col min="301" max="301" width="7.75" bestFit="1" customWidth="1"/>
    <col min="302" max="302" width="14.625" bestFit="1" customWidth="1"/>
    <col min="303" max="303" width="8.625" bestFit="1" customWidth="1"/>
    <col min="304" max="304" width="7.875" bestFit="1" customWidth="1"/>
    <col min="305" max="305" width="16.75" bestFit="1" customWidth="1"/>
    <col min="306" max="306" width="17.75" bestFit="1" customWidth="1"/>
    <col min="307" max="307" width="18.25" bestFit="1" customWidth="1"/>
    <col min="308" max="308" width="16.25" bestFit="1" customWidth="1"/>
    <col min="309" max="309" width="11.125" bestFit="1" customWidth="1"/>
    <col min="310" max="310" width="11.25" bestFit="1" customWidth="1"/>
    <col min="311" max="311" width="8.75" bestFit="1" customWidth="1"/>
    <col min="312" max="312" width="9.25" bestFit="1" customWidth="1"/>
    <col min="313" max="313" width="8.75" bestFit="1" customWidth="1"/>
    <col min="314" max="314" width="9.625" bestFit="1" customWidth="1"/>
    <col min="315" max="315" width="6.75" bestFit="1" customWidth="1"/>
    <col min="316" max="316" width="10.875" bestFit="1" customWidth="1"/>
    <col min="317" max="317" width="18.875" bestFit="1" customWidth="1"/>
    <col min="318" max="318" width="20.5" bestFit="1" customWidth="1"/>
    <col min="319" max="320" width="14.125" bestFit="1" customWidth="1"/>
    <col min="321" max="321" width="13.625" bestFit="1" customWidth="1"/>
    <col min="322" max="322" width="10.25" bestFit="1" customWidth="1"/>
    <col min="323" max="324" width="7.25" bestFit="1" customWidth="1"/>
    <col min="325" max="325" width="30.625" bestFit="1" customWidth="1"/>
    <col min="326" max="326" width="13.25" bestFit="1" customWidth="1"/>
    <col min="327" max="327" width="7.75" bestFit="1" customWidth="1"/>
    <col min="328" max="328" width="14.625" bestFit="1" customWidth="1"/>
    <col min="329" max="329" width="8.625" bestFit="1" customWidth="1"/>
    <col min="330" max="330" width="7.875" bestFit="1" customWidth="1"/>
    <col min="331" max="331" width="16.75" bestFit="1" customWidth="1"/>
    <col min="332" max="332" width="17.75" bestFit="1" customWidth="1"/>
    <col min="333" max="333" width="18.25" bestFit="1" customWidth="1"/>
    <col min="334" max="334" width="16.25" bestFit="1" customWidth="1"/>
    <col min="335" max="335" width="11.125" bestFit="1" customWidth="1"/>
    <col min="336" max="336" width="11.25" bestFit="1" customWidth="1"/>
    <col min="337" max="337" width="8.75" bestFit="1" customWidth="1"/>
    <col min="338" max="338" width="9.25" bestFit="1" customWidth="1"/>
    <col min="339" max="339" width="8.75" bestFit="1" customWidth="1"/>
    <col min="340" max="340" width="9.625" bestFit="1" customWidth="1"/>
    <col min="341" max="341" width="6.75" bestFit="1" customWidth="1"/>
    <col min="342" max="342" width="10.875" bestFit="1" customWidth="1"/>
    <col min="343" max="343" width="18.875" bestFit="1" customWidth="1"/>
    <col min="344" max="344" width="20.5" bestFit="1" customWidth="1"/>
    <col min="345" max="346" width="14.125" bestFit="1" customWidth="1"/>
    <col min="347" max="347" width="13.625" bestFit="1" customWidth="1"/>
    <col min="348" max="348" width="10.25" bestFit="1" customWidth="1"/>
    <col min="349" max="350" width="7.25" bestFit="1" customWidth="1"/>
    <col min="351" max="351" width="30.625" bestFit="1" customWidth="1"/>
    <col min="352" max="352" width="13.25" bestFit="1" customWidth="1"/>
    <col min="353" max="353" width="7.75" bestFit="1" customWidth="1"/>
    <col min="354" max="354" width="14.625" bestFit="1" customWidth="1"/>
    <col min="355" max="355" width="8.625" bestFit="1" customWidth="1"/>
    <col min="356" max="356" width="7.875" bestFit="1" customWidth="1"/>
    <col min="357" max="357" width="16.75" bestFit="1" customWidth="1"/>
    <col min="358" max="358" width="17.75" bestFit="1" customWidth="1"/>
    <col min="359" max="359" width="18.25" bestFit="1" customWidth="1"/>
    <col min="360" max="360" width="16.25" bestFit="1" customWidth="1"/>
    <col min="361" max="361" width="11.125" bestFit="1" customWidth="1"/>
    <col min="362" max="362" width="11.25" bestFit="1" customWidth="1"/>
    <col min="363" max="363" width="8.75" bestFit="1" customWidth="1"/>
    <col min="364" max="364" width="9.25" bestFit="1" customWidth="1"/>
    <col min="365" max="365" width="8.75" bestFit="1" customWidth="1"/>
    <col min="366" max="366" width="9.625" bestFit="1" customWidth="1"/>
    <col min="367" max="367" width="6.75" bestFit="1" customWidth="1"/>
    <col min="368" max="368" width="10.875" bestFit="1" customWidth="1"/>
    <col min="369" max="369" width="18.875" bestFit="1" customWidth="1"/>
    <col min="370" max="370" width="20.5" bestFit="1" customWidth="1"/>
    <col min="371" max="372" width="14.125" bestFit="1" customWidth="1"/>
    <col min="373" max="373" width="13.625" bestFit="1" customWidth="1"/>
    <col min="374" max="374" width="10.25" bestFit="1" customWidth="1"/>
    <col min="375" max="376" width="7.25" bestFit="1" customWidth="1"/>
    <col min="377" max="377" width="30.625" bestFit="1" customWidth="1"/>
    <col min="378" max="378" width="13.25" bestFit="1" customWidth="1"/>
    <col min="379" max="379" width="7.75" bestFit="1" customWidth="1"/>
    <col min="380" max="380" width="14.625" bestFit="1" customWidth="1"/>
    <col min="381" max="381" width="8.625" bestFit="1" customWidth="1"/>
    <col min="382" max="382" width="7.875" bestFit="1" customWidth="1"/>
    <col min="383" max="383" width="16.75" bestFit="1" customWidth="1"/>
    <col min="384" max="384" width="17.75" bestFit="1" customWidth="1"/>
    <col min="385" max="385" width="18.25" bestFit="1" customWidth="1"/>
    <col min="386" max="386" width="16.25" bestFit="1" customWidth="1"/>
    <col min="387" max="387" width="11.125" bestFit="1" customWidth="1"/>
    <col min="388" max="388" width="11.25" bestFit="1" customWidth="1"/>
    <col min="389" max="389" width="8.75" bestFit="1" customWidth="1"/>
    <col min="390" max="390" width="9.25" bestFit="1" customWidth="1"/>
    <col min="391" max="391" width="8.75" bestFit="1" customWidth="1"/>
    <col min="392" max="392" width="9.625" bestFit="1" customWidth="1"/>
    <col min="393" max="393" width="6.75" bestFit="1" customWidth="1"/>
    <col min="394" max="394" width="10.875" bestFit="1" customWidth="1"/>
    <col min="395" max="395" width="18.875" bestFit="1" customWidth="1"/>
    <col min="396" max="396" width="20.5" bestFit="1" customWidth="1"/>
    <col min="397" max="398" width="14.125" bestFit="1" customWidth="1"/>
    <col min="399" max="399" width="13.625" bestFit="1" customWidth="1"/>
    <col min="400" max="400" width="10.25" bestFit="1" customWidth="1"/>
    <col min="401" max="402" width="7.25" bestFit="1" customWidth="1"/>
    <col min="403" max="403" width="30.625" bestFit="1" customWidth="1"/>
    <col min="404" max="404" width="13.25" bestFit="1" customWidth="1"/>
    <col min="405" max="405" width="7.75" bestFit="1" customWidth="1"/>
    <col min="406" max="406" width="14.625" bestFit="1" customWidth="1"/>
    <col min="407" max="407" width="8.625" bestFit="1" customWidth="1"/>
    <col min="408" max="408" width="7.875" bestFit="1" customWidth="1"/>
    <col min="409" max="409" width="16.75" bestFit="1" customWidth="1"/>
    <col min="410" max="410" width="17.75" bestFit="1" customWidth="1"/>
    <col min="411" max="411" width="18.25" bestFit="1" customWidth="1"/>
    <col min="412" max="412" width="16.25" bestFit="1" customWidth="1"/>
    <col min="413" max="413" width="11.125" bestFit="1" customWidth="1"/>
    <col min="414" max="414" width="11.25" bestFit="1" customWidth="1"/>
    <col min="415" max="415" width="8.75" bestFit="1" customWidth="1"/>
    <col min="416" max="416" width="9.25" bestFit="1" customWidth="1"/>
    <col min="417" max="417" width="8.75" bestFit="1" customWidth="1"/>
    <col min="418" max="418" width="9.625" bestFit="1" customWidth="1"/>
    <col min="419" max="419" width="6.75" bestFit="1" customWidth="1"/>
    <col min="420" max="420" width="10.875" bestFit="1" customWidth="1"/>
    <col min="421" max="421" width="18.875" bestFit="1" customWidth="1"/>
    <col min="422" max="422" width="20.5" bestFit="1" customWidth="1"/>
    <col min="423" max="424" width="14.125" bestFit="1" customWidth="1"/>
    <col min="425" max="425" width="13.625" bestFit="1" customWidth="1"/>
    <col min="426" max="426" width="10.25" bestFit="1" customWidth="1"/>
    <col min="427" max="428" width="7.25" bestFit="1" customWidth="1"/>
    <col min="429" max="429" width="30.625" bestFit="1" customWidth="1"/>
    <col min="430" max="430" width="13.25" bestFit="1" customWidth="1"/>
    <col min="431" max="431" width="7.75" bestFit="1" customWidth="1"/>
    <col min="432" max="432" width="14.625" bestFit="1" customWidth="1"/>
    <col min="433" max="433" width="8.625" bestFit="1" customWidth="1"/>
    <col min="434" max="434" width="7.875" bestFit="1" customWidth="1"/>
    <col min="435" max="435" width="16.75" bestFit="1" customWidth="1"/>
    <col min="436" max="436" width="17.75" bestFit="1" customWidth="1"/>
    <col min="437" max="437" width="18.25" bestFit="1" customWidth="1"/>
    <col min="438" max="438" width="16.25" bestFit="1" customWidth="1"/>
    <col min="439" max="439" width="11.125" bestFit="1" customWidth="1"/>
    <col min="440" max="440" width="11.25" bestFit="1" customWidth="1"/>
    <col min="441" max="441" width="8.75" bestFit="1" customWidth="1"/>
    <col min="442" max="442" width="9.25" bestFit="1" customWidth="1"/>
    <col min="443" max="443" width="8.75" bestFit="1" customWidth="1"/>
    <col min="444" max="444" width="9.625" bestFit="1" customWidth="1"/>
    <col min="445" max="445" width="6.75" bestFit="1" customWidth="1"/>
    <col min="446" max="446" width="10.875" bestFit="1" customWidth="1"/>
    <col min="447" max="447" width="18.875" bestFit="1" customWidth="1"/>
    <col min="448" max="448" width="20.5" bestFit="1" customWidth="1"/>
    <col min="449" max="450" width="14.125" bestFit="1" customWidth="1"/>
    <col min="451" max="451" width="13.625" bestFit="1" customWidth="1"/>
    <col min="452" max="452" width="10.25" bestFit="1" customWidth="1"/>
    <col min="453" max="454" width="7.25" bestFit="1" customWidth="1"/>
    <col min="455" max="455" width="30.625" bestFit="1" customWidth="1"/>
    <col min="456" max="456" width="13.25" bestFit="1" customWidth="1"/>
    <col min="457" max="457" width="7.75" bestFit="1" customWidth="1"/>
    <col min="458" max="458" width="14.625" bestFit="1" customWidth="1"/>
    <col min="459" max="459" width="8.625" bestFit="1" customWidth="1"/>
    <col min="460" max="460" width="7.875" bestFit="1" customWidth="1"/>
    <col min="461" max="461" width="16.75" bestFit="1" customWidth="1"/>
    <col min="462" max="462" width="17.75" bestFit="1" customWidth="1"/>
    <col min="463" max="463" width="18.25" bestFit="1" customWidth="1"/>
    <col min="464" max="464" width="16.25" bestFit="1" customWidth="1"/>
    <col min="465" max="465" width="11.125" bestFit="1" customWidth="1"/>
    <col min="466" max="466" width="11.25" bestFit="1" customWidth="1"/>
    <col min="467" max="467" width="8.75" bestFit="1" customWidth="1"/>
    <col min="468" max="468" width="9.25" bestFit="1" customWidth="1"/>
    <col min="469" max="469" width="8.75" bestFit="1" customWidth="1"/>
    <col min="470" max="470" width="9.625" bestFit="1" customWidth="1"/>
    <col min="471" max="471" width="6.75" bestFit="1" customWidth="1"/>
    <col min="472" max="472" width="10.875" bestFit="1" customWidth="1"/>
    <col min="473" max="473" width="18.875" bestFit="1" customWidth="1"/>
    <col min="474" max="474" width="20.5" bestFit="1" customWidth="1"/>
    <col min="475" max="476" width="14.125" bestFit="1" customWidth="1"/>
    <col min="477" max="477" width="13.625" bestFit="1" customWidth="1"/>
    <col min="478" max="478" width="10.25" bestFit="1" customWidth="1"/>
    <col min="479" max="480" width="7.25" bestFit="1" customWidth="1"/>
    <col min="481" max="481" width="30.625" bestFit="1" customWidth="1"/>
    <col min="482" max="482" width="13.25" bestFit="1" customWidth="1"/>
    <col min="483" max="483" width="7.75" bestFit="1" customWidth="1"/>
    <col min="484" max="484" width="14.625" bestFit="1" customWidth="1"/>
    <col min="485" max="485" width="8.625" bestFit="1" customWidth="1"/>
    <col min="486" max="486" width="7.875" bestFit="1" customWidth="1"/>
    <col min="487" max="487" width="16.75" bestFit="1" customWidth="1"/>
    <col min="488" max="488" width="17.75" bestFit="1" customWidth="1"/>
    <col min="489" max="489" width="18.25" bestFit="1" customWidth="1"/>
    <col min="490" max="490" width="16.25" bestFit="1" customWidth="1"/>
    <col min="491" max="491" width="11.125" bestFit="1" customWidth="1"/>
    <col min="492" max="492" width="11.25" bestFit="1" customWidth="1"/>
    <col min="493" max="493" width="8.75" bestFit="1" customWidth="1"/>
    <col min="494" max="494" width="9.25" bestFit="1" customWidth="1"/>
    <col min="495" max="495" width="8.75" bestFit="1" customWidth="1"/>
    <col min="496" max="496" width="9.625" bestFit="1" customWidth="1"/>
    <col min="497" max="497" width="6.75" bestFit="1" customWidth="1"/>
    <col min="498" max="498" width="10.875" bestFit="1" customWidth="1"/>
    <col min="499" max="499" width="18.875" bestFit="1" customWidth="1"/>
    <col min="500" max="500" width="20.5" bestFit="1" customWidth="1"/>
    <col min="501" max="502" width="14.125" bestFit="1" customWidth="1"/>
    <col min="503" max="503" width="13.625" bestFit="1" customWidth="1"/>
    <col min="504" max="504" width="10.25" bestFit="1" customWidth="1"/>
    <col min="505" max="506" width="7.25" bestFit="1" customWidth="1"/>
    <col min="507" max="507" width="30.625" bestFit="1" customWidth="1"/>
    <col min="508" max="508" width="13.25" bestFit="1" customWidth="1"/>
    <col min="509" max="509" width="7.75" bestFit="1" customWidth="1"/>
    <col min="510" max="510" width="14.625" bestFit="1" customWidth="1"/>
    <col min="511" max="511" width="8.625" bestFit="1" customWidth="1"/>
    <col min="512" max="512" width="7.875" bestFit="1" customWidth="1"/>
    <col min="513" max="513" width="16.75" bestFit="1" customWidth="1"/>
    <col min="514" max="514" width="17.75" bestFit="1" customWidth="1"/>
    <col min="515" max="515" width="18.25" bestFit="1" customWidth="1"/>
    <col min="516" max="516" width="16.25" bestFit="1" customWidth="1"/>
    <col min="517" max="517" width="11.125" bestFit="1" customWidth="1"/>
    <col min="518" max="518" width="11.25" bestFit="1" customWidth="1"/>
    <col min="519" max="519" width="8.75" bestFit="1" customWidth="1"/>
    <col min="520" max="520" width="9.25" bestFit="1" customWidth="1"/>
    <col min="521" max="521" width="8.75" bestFit="1" customWidth="1"/>
    <col min="522" max="522" width="9.625" bestFit="1" customWidth="1"/>
    <col min="523" max="523" width="6.75" bestFit="1" customWidth="1"/>
    <col min="524" max="524" width="10.875" bestFit="1" customWidth="1"/>
    <col min="525" max="525" width="18.875" bestFit="1" customWidth="1"/>
    <col min="526" max="526" width="20.5" bestFit="1" customWidth="1"/>
    <col min="527" max="528" width="14.125" bestFit="1" customWidth="1"/>
    <col min="529" max="529" width="13.625" bestFit="1" customWidth="1"/>
    <col min="530" max="530" width="10.25" bestFit="1" customWidth="1"/>
    <col min="531" max="532" width="7.25" bestFit="1" customWidth="1"/>
    <col min="533" max="533" width="30.625" bestFit="1" customWidth="1"/>
    <col min="534" max="534" width="13.25" bestFit="1" customWidth="1"/>
    <col min="535" max="535" width="7.75" bestFit="1" customWidth="1"/>
    <col min="536" max="536" width="14.625" bestFit="1" customWidth="1"/>
    <col min="537" max="537" width="8.625" bestFit="1" customWidth="1"/>
    <col min="538" max="538" width="7.875" bestFit="1" customWidth="1"/>
    <col min="539" max="539" width="16.75" bestFit="1" customWidth="1"/>
    <col min="540" max="540" width="17.75" bestFit="1" customWidth="1"/>
    <col min="541" max="541" width="18.25" bestFit="1" customWidth="1"/>
    <col min="542" max="542" width="16.25" bestFit="1" customWidth="1"/>
    <col min="543" max="543" width="11.125" bestFit="1" customWidth="1"/>
    <col min="544" max="544" width="11.25" bestFit="1" customWidth="1"/>
    <col min="545" max="545" width="8.75" bestFit="1" customWidth="1"/>
    <col min="546" max="546" width="9.25" bestFit="1" customWidth="1"/>
    <col min="547" max="547" width="8.75" bestFit="1" customWidth="1"/>
    <col min="548" max="548" width="9.625" bestFit="1" customWidth="1"/>
    <col min="549" max="549" width="6.75" bestFit="1" customWidth="1"/>
    <col min="550" max="550" width="10.875" bestFit="1" customWidth="1"/>
    <col min="551" max="551" width="18.875" bestFit="1" customWidth="1"/>
    <col min="552" max="552" width="20.5" bestFit="1" customWidth="1"/>
    <col min="553" max="554" width="14.125" bestFit="1" customWidth="1"/>
    <col min="555" max="555" width="13.625" bestFit="1" customWidth="1"/>
    <col min="556" max="556" width="10.25" bestFit="1" customWidth="1"/>
    <col min="557" max="558" width="7.25" bestFit="1" customWidth="1"/>
    <col min="559" max="559" width="30.625" bestFit="1" customWidth="1"/>
    <col min="560" max="560" width="13.25" bestFit="1" customWidth="1"/>
    <col min="561" max="561" width="7.75" bestFit="1" customWidth="1"/>
    <col min="562" max="562" width="14.625" bestFit="1" customWidth="1"/>
    <col min="563" max="563" width="8.625" bestFit="1" customWidth="1"/>
    <col min="564" max="564" width="7.875" bestFit="1" customWidth="1"/>
    <col min="565" max="565" width="16.75" bestFit="1" customWidth="1"/>
    <col min="566" max="566" width="17.75" bestFit="1" customWidth="1"/>
    <col min="567" max="567" width="18.25" bestFit="1" customWidth="1"/>
    <col min="568" max="568" width="16.25" bestFit="1" customWidth="1"/>
    <col min="569" max="569" width="11.125" bestFit="1" customWidth="1"/>
    <col min="570" max="570" width="11.25" bestFit="1" customWidth="1"/>
    <col min="571" max="571" width="8.75" bestFit="1" customWidth="1"/>
    <col min="572" max="572" width="9.25" bestFit="1" customWidth="1"/>
    <col min="573" max="573" width="8.75" bestFit="1" customWidth="1"/>
    <col min="574" max="574" width="9.625" bestFit="1" customWidth="1"/>
    <col min="575" max="575" width="6.75" bestFit="1" customWidth="1"/>
    <col min="576" max="576" width="10.875" bestFit="1" customWidth="1"/>
    <col min="577" max="577" width="18.875" bestFit="1" customWidth="1"/>
    <col min="578" max="578" width="20.5" bestFit="1" customWidth="1"/>
    <col min="579" max="580" width="14.125" bestFit="1" customWidth="1"/>
    <col min="581" max="581" width="13.625" bestFit="1" customWidth="1"/>
    <col min="582" max="582" width="10.25" bestFit="1" customWidth="1"/>
    <col min="583" max="584" width="7.25" bestFit="1" customWidth="1"/>
    <col min="585" max="585" width="30.625" bestFit="1" customWidth="1"/>
    <col min="586" max="586" width="13.25" bestFit="1" customWidth="1"/>
    <col min="587" max="587" width="7.75" bestFit="1" customWidth="1"/>
    <col min="588" max="588" width="14.625" bestFit="1" customWidth="1"/>
    <col min="589" max="589" width="8.625" bestFit="1" customWidth="1"/>
    <col min="590" max="590" width="7.875" bestFit="1" customWidth="1"/>
    <col min="591" max="591" width="16.75" bestFit="1" customWidth="1"/>
    <col min="592" max="592" width="17.75" bestFit="1" customWidth="1"/>
    <col min="593" max="593" width="18.25" bestFit="1" customWidth="1"/>
    <col min="594" max="594" width="16.25" bestFit="1" customWidth="1"/>
    <col min="595" max="595" width="11.125" bestFit="1" customWidth="1"/>
    <col min="596" max="596" width="11.25" bestFit="1" customWidth="1"/>
    <col min="597" max="597" width="8.75" bestFit="1" customWidth="1"/>
    <col min="598" max="598" width="9.25" bestFit="1" customWidth="1"/>
    <col min="599" max="599" width="8.75" bestFit="1" customWidth="1"/>
    <col min="600" max="600" width="9.625" bestFit="1" customWidth="1"/>
    <col min="601" max="601" width="6.75" bestFit="1" customWidth="1"/>
    <col min="602" max="602" width="10.875" bestFit="1" customWidth="1"/>
    <col min="603" max="603" width="18.875" bestFit="1" customWidth="1"/>
    <col min="604" max="604" width="20.5" bestFit="1" customWidth="1"/>
    <col min="605" max="606" width="14.125" bestFit="1" customWidth="1"/>
    <col min="607" max="607" width="13.625" bestFit="1" customWidth="1"/>
    <col min="608" max="608" width="10.25" bestFit="1" customWidth="1"/>
    <col min="609" max="610" width="7.25" bestFit="1" customWidth="1"/>
    <col min="611" max="611" width="30.625" bestFit="1" customWidth="1"/>
    <col min="612" max="612" width="13.25" bestFit="1" customWidth="1"/>
    <col min="613" max="613" width="7.75" bestFit="1" customWidth="1"/>
    <col min="614" max="614" width="14.625" bestFit="1" customWidth="1"/>
    <col min="615" max="615" width="8.625" bestFit="1" customWidth="1"/>
    <col min="616" max="616" width="7.875" bestFit="1" customWidth="1"/>
    <col min="617" max="617" width="16.75" bestFit="1" customWidth="1"/>
    <col min="618" max="618" width="17.75" bestFit="1" customWidth="1"/>
    <col min="619" max="619" width="18.25" bestFit="1" customWidth="1"/>
    <col min="620" max="620" width="16.25" bestFit="1" customWidth="1"/>
    <col min="621" max="621" width="11.125" bestFit="1" customWidth="1"/>
    <col min="622" max="622" width="11.25" bestFit="1" customWidth="1"/>
    <col min="623" max="623" width="8.75" bestFit="1" customWidth="1"/>
    <col min="624" max="624" width="9.25" bestFit="1" customWidth="1"/>
    <col min="625" max="625" width="8.75" bestFit="1" customWidth="1"/>
    <col min="626" max="626" width="9.625" bestFit="1" customWidth="1"/>
    <col min="627" max="627" width="6.75" bestFit="1" customWidth="1"/>
    <col min="628" max="628" width="10.875" bestFit="1" customWidth="1"/>
    <col min="629" max="629" width="18.875" bestFit="1" customWidth="1"/>
    <col min="630" max="630" width="20.5" bestFit="1" customWidth="1"/>
    <col min="631" max="632" width="14.125" bestFit="1" customWidth="1"/>
    <col min="633" max="633" width="13.625" bestFit="1" customWidth="1"/>
    <col min="634" max="634" width="10.25" bestFit="1" customWidth="1"/>
    <col min="635" max="636" width="7.25" bestFit="1" customWidth="1"/>
    <col min="637" max="637" width="30.625" bestFit="1" customWidth="1"/>
    <col min="638" max="638" width="13.25" bestFit="1" customWidth="1"/>
    <col min="639" max="639" width="7.75" bestFit="1" customWidth="1"/>
    <col min="640" max="640" width="14.625" bestFit="1" customWidth="1"/>
    <col min="641" max="641" width="8.625" bestFit="1" customWidth="1"/>
    <col min="642" max="642" width="7.875" bestFit="1" customWidth="1"/>
    <col min="643" max="643" width="16.75" bestFit="1" customWidth="1"/>
    <col min="644" max="644" width="17.75" bestFit="1" customWidth="1"/>
    <col min="645" max="645" width="18.25" bestFit="1" customWidth="1"/>
    <col min="646" max="646" width="16.25" bestFit="1" customWidth="1"/>
    <col min="647" max="647" width="11.125" bestFit="1" customWidth="1"/>
    <col min="648" max="648" width="11.25" bestFit="1" customWidth="1"/>
    <col min="649" max="649" width="8.75" bestFit="1" customWidth="1"/>
    <col min="650" max="650" width="9.25" bestFit="1" customWidth="1"/>
    <col min="651" max="651" width="8.75" bestFit="1" customWidth="1"/>
    <col min="652" max="652" width="9.625" bestFit="1" customWidth="1"/>
    <col min="653" max="653" width="6.75" bestFit="1" customWidth="1"/>
    <col min="654" max="654" width="10.875" bestFit="1" customWidth="1"/>
    <col min="655" max="655" width="18.875" bestFit="1" customWidth="1"/>
    <col min="656" max="656" width="20.5" bestFit="1" customWidth="1"/>
    <col min="657" max="658" width="14.125" bestFit="1" customWidth="1"/>
    <col min="659" max="659" width="13.625" bestFit="1" customWidth="1"/>
    <col min="660" max="660" width="10.25" bestFit="1" customWidth="1"/>
    <col min="661" max="662" width="7.25" bestFit="1" customWidth="1"/>
    <col min="663" max="663" width="30.625" bestFit="1" customWidth="1"/>
    <col min="664" max="664" width="13.25" bestFit="1" customWidth="1"/>
    <col min="665" max="665" width="7.75" bestFit="1" customWidth="1"/>
    <col min="666" max="666" width="14.625" bestFit="1" customWidth="1"/>
    <col min="667" max="667" width="8.625" bestFit="1" customWidth="1"/>
    <col min="668" max="668" width="7.875" bestFit="1" customWidth="1"/>
    <col min="669" max="669" width="16.75" bestFit="1" customWidth="1"/>
    <col min="670" max="670" width="17.75" bestFit="1" customWidth="1"/>
    <col min="671" max="671" width="18.25" bestFit="1" customWidth="1"/>
    <col min="672" max="672" width="16.25" bestFit="1" customWidth="1"/>
    <col min="673" max="673" width="11.125" bestFit="1" customWidth="1"/>
    <col min="674" max="674" width="11.25" bestFit="1" customWidth="1"/>
    <col min="675" max="675" width="8.75" bestFit="1" customWidth="1"/>
    <col min="676" max="676" width="9.25" bestFit="1" customWidth="1"/>
    <col min="677" max="677" width="8.75" bestFit="1" customWidth="1"/>
    <col min="678" max="678" width="9.625" bestFit="1" customWidth="1"/>
    <col min="679" max="679" width="6.75" bestFit="1" customWidth="1"/>
    <col min="680" max="680" width="10.875" bestFit="1" customWidth="1"/>
    <col min="681" max="681" width="18.875" bestFit="1" customWidth="1"/>
    <col min="682" max="682" width="20.5" bestFit="1" customWidth="1"/>
    <col min="683" max="684" width="14.125" bestFit="1" customWidth="1"/>
    <col min="685" max="685" width="13.625" bestFit="1" customWidth="1"/>
    <col min="686" max="686" width="10.25" bestFit="1" customWidth="1"/>
    <col min="687" max="688" width="7.25" bestFit="1" customWidth="1"/>
    <col min="689" max="689" width="30.625" bestFit="1" customWidth="1"/>
    <col min="690" max="690" width="13.25" bestFit="1" customWidth="1"/>
    <col min="691" max="691" width="7.75" bestFit="1" customWidth="1"/>
    <col min="692" max="692" width="14.625" bestFit="1" customWidth="1"/>
    <col min="693" max="693" width="8.625" bestFit="1" customWidth="1"/>
    <col min="694" max="694" width="7.875" bestFit="1" customWidth="1"/>
    <col min="695" max="695" width="16.75" bestFit="1" customWidth="1"/>
    <col min="696" max="696" width="17.75" bestFit="1" customWidth="1"/>
    <col min="697" max="697" width="18.25" bestFit="1" customWidth="1"/>
    <col min="698" max="698" width="16.25" bestFit="1" customWidth="1"/>
    <col min="699" max="699" width="11.125" bestFit="1" customWidth="1"/>
    <col min="700" max="700" width="11.25" bestFit="1" customWidth="1"/>
    <col min="701" max="701" width="8.75" bestFit="1" customWidth="1"/>
    <col min="702" max="702" width="9.25" bestFit="1" customWidth="1"/>
    <col min="703" max="703" width="8.75" bestFit="1" customWidth="1"/>
    <col min="704" max="704" width="9.625" bestFit="1" customWidth="1"/>
    <col min="705" max="705" width="6.75" bestFit="1" customWidth="1"/>
    <col min="706" max="706" width="10.875" bestFit="1" customWidth="1"/>
    <col min="707" max="707" width="18.875" bestFit="1" customWidth="1"/>
    <col min="708" max="708" width="20.5" bestFit="1" customWidth="1"/>
    <col min="709" max="710" width="14.125" bestFit="1" customWidth="1"/>
    <col min="711" max="711" width="13.625" bestFit="1" customWidth="1"/>
    <col min="712" max="712" width="10.25" bestFit="1" customWidth="1"/>
    <col min="713" max="714" width="7.25" bestFit="1" customWidth="1"/>
    <col min="715" max="715" width="30.625" bestFit="1" customWidth="1"/>
    <col min="716" max="716" width="13.25" bestFit="1" customWidth="1"/>
    <col min="717" max="717" width="7.75" bestFit="1" customWidth="1"/>
    <col min="718" max="718" width="14.625" bestFit="1" customWidth="1"/>
    <col min="719" max="719" width="8.625" bestFit="1" customWidth="1"/>
    <col min="720" max="720" width="7.875" bestFit="1" customWidth="1"/>
    <col min="721" max="721" width="16.75" bestFit="1" customWidth="1"/>
    <col min="722" max="722" width="17.75" bestFit="1" customWidth="1"/>
    <col min="723" max="723" width="18.25" bestFit="1" customWidth="1"/>
    <col min="724" max="724" width="16.25" bestFit="1" customWidth="1"/>
    <col min="725" max="725" width="11.125" bestFit="1" customWidth="1"/>
    <col min="726" max="726" width="11.25" bestFit="1" customWidth="1"/>
    <col min="727" max="727" width="8.75" bestFit="1" customWidth="1"/>
    <col min="728" max="728" width="9.25" bestFit="1" customWidth="1"/>
    <col min="729" max="729" width="8.75" bestFit="1" customWidth="1"/>
    <col min="730" max="730" width="9.625" bestFit="1" customWidth="1"/>
    <col min="731" max="731" width="6.75" bestFit="1" customWidth="1"/>
    <col min="732" max="732" width="10.875" bestFit="1" customWidth="1"/>
    <col min="733" max="733" width="18.875" bestFit="1" customWidth="1"/>
    <col min="734" max="734" width="20.5" bestFit="1" customWidth="1"/>
    <col min="735" max="736" width="14.125" bestFit="1" customWidth="1"/>
    <col min="737" max="737" width="13.625" bestFit="1" customWidth="1"/>
    <col min="738" max="738" width="10.25" bestFit="1" customWidth="1"/>
    <col min="739" max="740" width="7.25" bestFit="1" customWidth="1"/>
    <col min="741" max="741" width="30.625" bestFit="1" customWidth="1"/>
    <col min="742" max="742" width="13.25" bestFit="1" customWidth="1"/>
    <col min="743" max="743" width="7.75" bestFit="1" customWidth="1"/>
    <col min="744" max="744" width="14.625" bestFit="1" customWidth="1"/>
    <col min="745" max="745" width="8.625" bestFit="1" customWidth="1"/>
    <col min="746" max="746" width="7.875" bestFit="1" customWidth="1"/>
    <col min="747" max="747" width="16.75" bestFit="1" customWidth="1"/>
    <col min="748" max="748" width="17.75" bestFit="1" customWidth="1"/>
    <col min="749" max="749" width="18.25" bestFit="1" customWidth="1"/>
    <col min="750" max="750" width="16.25" bestFit="1" customWidth="1"/>
    <col min="751" max="751" width="11.125" bestFit="1" customWidth="1"/>
    <col min="752" max="752" width="11.25" bestFit="1" customWidth="1"/>
    <col min="753" max="753" width="8.75" bestFit="1" customWidth="1"/>
    <col min="754" max="754" width="9.25" bestFit="1" customWidth="1"/>
    <col min="755" max="755" width="8.75" bestFit="1" customWidth="1"/>
    <col min="756" max="756" width="9.625" bestFit="1" customWidth="1"/>
    <col min="757" max="757" width="6.75" bestFit="1" customWidth="1"/>
    <col min="758" max="758" width="10.875" bestFit="1" customWidth="1"/>
    <col min="759" max="759" width="18.875" bestFit="1" customWidth="1"/>
    <col min="760" max="760" width="20.5" bestFit="1" customWidth="1"/>
    <col min="761" max="762" width="14.125" bestFit="1" customWidth="1"/>
    <col min="763" max="763" width="13.625" bestFit="1" customWidth="1"/>
    <col min="764" max="764" width="10.25" bestFit="1" customWidth="1"/>
    <col min="765" max="766" width="7.25" bestFit="1" customWidth="1"/>
    <col min="767" max="767" width="30.625" bestFit="1" customWidth="1"/>
    <col min="768" max="768" width="13.25" bestFit="1" customWidth="1"/>
    <col min="769" max="769" width="7.75" bestFit="1" customWidth="1"/>
    <col min="770" max="770" width="14.625" bestFit="1" customWidth="1"/>
    <col min="771" max="771" width="8.625" bestFit="1" customWidth="1"/>
    <col min="772" max="772" width="7.875" bestFit="1" customWidth="1"/>
    <col min="773" max="773" width="16.75" bestFit="1" customWidth="1"/>
    <col min="774" max="774" width="17.75" bestFit="1" customWidth="1"/>
    <col min="775" max="775" width="18.25" bestFit="1" customWidth="1"/>
    <col min="776" max="776" width="16.25" bestFit="1" customWidth="1"/>
    <col min="777" max="777" width="11.125" bestFit="1" customWidth="1"/>
    <col min="778" max="778" width="11.25" bestFit="1" customWidth="1"/>
    <col min="779" max="779" width="8.75" bestFit="1" customWidth="1"/>
    <col min="780" max="780" width="9.25" bestFit="1" customWidth="1"/>
    <col min="781" max="781" width="8.75" bestFit="1" customWidth="1"/>
    <col min="782" max="782" width="9.625" bestFit="1" customWidth="1"/>
    <col min="783" max="783" width="6.75" bestFit="1" customWidth="1"/>
    <col min="784" max="784" width="10.875" bestFit="1" customWidth="1"/>
    <col min="785" max="785" width="18.875" bestFit="1" customWidth="1"/>
    <col min="786" max="786" width="20.5" bestFit="1" customWidth="1"/>
    <col min="787" max="788" width="14.125" bestFit="1" customWidth="1"/>
    <col min="789" max="789" width="13.625" bestFit="1" customWidth="1"/>
    <col min="790" max="790" width="10.25" bestFit="1" customWidth="1"/>
    <col min="791" max="792" width="7.25" bestFit="1" customWidth="1"/>
    <col min="793" max="793" width="30.625" bestFit="1" customWidth="1"/>
    <col min="794" max="794" width="13.25" bestFit="1" customWidth="1"/>
    <col min="795" max="795" width="7.75" bestFit="1" customWidth="1"/>
    <col min="796" max="796" width="14.625" bestFit="1" customWidth="1"/>
    <col min="797" max="797" width="8.625" bestFit="1" customWidth="1"/>
    <col min="798" max="798" width="7.875" bestFit="1" customWidth="1"/>
    <col min="799" max="799" width="16.75" bestFit="1" customWidth="1"/>
    <col min="800" max="800" width="17.75" bestFit="1" customWidth="1"/>
    <col min="801" max="801" width="18.25" bestFit="1" customWidth="1"/>
    <col min="802" max="802" width="16.25" bestFit="1" customWidth="1"/>
    <col min="803" max="803" width="11.125" bestFit="1" customWidth="1"/>
    <col min="804" max="804" width="11.25" bestFit="1" customWidth="1"/>
    <col min="805" max="805" width="8.75" bestFit="1" customWidth="1"/>
    <col min="806" max="806" width="9.25" bestFit="1" customWidth="1"/>
    <col min="832" max="832" width="19.875" customWidth="1"/>
  </cols>
  <sheetData>
    <row r="1" spans="1:1020 1029:1232" x14ac:dyDescent="0.25">
      <c r="A1" t="s">
        <v>1210</v>
      </c>
      <c r="B1" t="s">
        <v>1211</v>
      </c>
      <c r="C1" t="s">
        <v>1212</v>
      </c>
      <c r="D1" t="s">
        <v>1213</v>
      </c>
      <c r="E1" t="s">
        <v>153</v>
      </c>
      <c r="F1" t="s">
        <v>1214</v>
      </c>
      <c r="G1" t="s">
        <v>1215</v>
      </c>
      <c r="H1" t="s">
        <v>1216</v>
      </c>
      <c r="I1" t="s">
        <v>1217</v>
      </c>
      <c r="J1" t="s">
        <v>1218</v>
      </c>
      <c r="K1" t="s">
        <v>1219</v>
      </c>
      <c r="L1" t="s">
        <v>1220</v>
      </c>
      <c r="M1" t="s">
        <v>1221</v>
      </c>
      <c r="N1" t="s">
        <v>1222</v>
      </c>
      <c r="O1" t="s">
        <v>2728</v>
      </c>
      <c r="P1" t="s">
        <v>2729</v>
      </c>
      <c r="Q1" t="s">
        <v>1223</v>
      </c>
      <c r="R1" t="s">
        <v>1224</v>
      </c>
      <c r="S1" t="s">
        <v>1225</v>
      </c>
      <c r="T1" t="s">
        <v>1504</v>
      </c>
      <c r="U1" t="s">
        <v>1505</v>
      </c>
      <c r="V1" t="s">
        <v>1226</v>
      </c>
      <c r="W1" t="s">
        <v>2258</v>
      </c>
      <c r="X1" t="s">
        <v>2259</v>
      </c>
      <c r="Y1" t="s">
        <v>2260</v>
      </c>
      <c r="Z1" t="s">
        <v>1227</v>
      </c>
      <c r="AA1" t="s">
        <v>1228</v>
      </c>
      <c r="AB1" t="s">
        <v>1229</v>
      </c>
      <c r="AC1" t="s">
        <v>1230</v>
      </c>
      <c r="AD1" t="s">
        <v>2261</v>
      </c>
      <c r="AEZ1" s="126"/>
      <c r="AFC1" s="127"/>
      <c r="AFM1" s="128"/>
      <c r="AFV1" s="127"/>
      <c r="AFY1" s="126"/>
      <c r="AGB1" s="127"/>
      <c r="AGL1" s="128"/>
      <c r="AGU1" s="127"/>
      <c r="AGX1" s="126"/>
      <c r="AHA1" s="127"/>
      <c r="AHK1" s="128"/>
      <c r="AHT1" s="127"/>
      <c r="AHW1" s="126"/>
      <c r="AHZ1" s="127"/>
      <c r="AIJ1" s="128"/>
      <c r="AIS1" s="127"/>
      <c r="AIV1" s="126"/>
      <c r="AIY1" s="127"/>
      <c r="AJI1" s="128"/>
      <c r="AJR1" s="127"/>
      <c r="AJU1" s="126"/>
      <c r="AJX1" s="127"/>
      <c r="AKH1" s="128"/>
      <c r="AKQ1" s="127"/>
      <c r="AKT1" s="126"/>
      <c r="AKW1" s="127"/>
      <c r="ALG1" s="128"/>
      <c r="ALP1" s="127"/>
      <c r="ALS1" s="126"/>
      <c r="ALV1" s="127"/>
      <c r="AMF1" s="128"/>
      <c r="AMO1" s="127"/>
      <c r="AMR1" s="126"/>
      <c r="AMU1" s="127"/>
      <c r="ANE1" s="128"/>
      <c r="ANN1" s="127"/>
      <c r="ANQ1" s="126"/>
      <c r="ANT1" s="127"/>
      <c r="AOD1" s="128"/>
      <c r="AOM1" s="127"/>
      <c r="AOP1" s="126"/>
      <c r="AOS1" s="127"/>
      <c r="APC1" s="128"/>
      <c r="APL1" s="127"/>
      <c r="APO1" s="126"/>
      <c r="APR1" s="127"/>
      <c r="AQB1" s="128"/>
      <c r="AQK1" s="127"/>
      <c r="AQN1" s="126"/>
      <c r="AQQ1" s="127"/>
      <c r="ARA1" s="128"/>
      <c r="ARJ1" s="127"/>
      <c r="ARM1" s="126"/>
      <c r="ARP1" s="127"/>
      <c r="ARZ1" s="128"/>
      <c r="ASI1" s="127"/>
      <c r="ASL1" s="126"/>
      <c r="ASO1" s="127"/>
      <c r="ASY1" s="128"/>
      <c r="ATH1" s="127"/>
      <c r="ATK1" s="126"/>
      <c r="ATN1" s="127"/>
      <c r="ATX1" s="128"/>
      <c r="AUG1" s="127"/>
      <c r="AUJ1" s="126"/>
    </row>
    <row r="2" spans="1:1020 1029:1232" x14ac:dyDescent="0.25">
      <c r="A2" t="s">
        <v>2779</v>
      </c>
      <c r="B2" t="s">
        <v>2780</v>
      </c>
      <c r="C2" t="s">
        <v>1520</v>
      </c>
      <c r="D2" s="127">
        <v>23058</v>
      </c>
      <c r="E2" t="s">
        <v>14</v>
      </c>
      <c r="F2">
        <v>41</v>
      </c>
      <c r="G2" t="s">
        <v>2781</v>
      </c>
      <c r="H2" t="s">
        <v>1521</v>
      </c>
      <c r="J2" t="s">
        <v>2782</v>
      </c>
      <c r="L2" t="s">
        <v>1232</v>
      </c>
      <c r="M2" t="s">
        <v>2783</v>
      </c>
      <c r="N2" t="s">
        <v>2784</v>
      </c>
      <c r="O2" t="s">
        <v>2785</v>
      </c>
      <c r="P2" t="s">
        <v>2786</v>
      </c>
      <c r="Q2">
        <v>6</v>
      </c>
      <c r="R2">
        <v>0</v>
      </c>
      <c r="S2">
        <v>6</v>
      </c>
      <c r="T2" t="s">
        <v>1506</v>
      </c>
      <c r="U2" t="s">
        <v>2787</v>
      </c>
      <c r="V2" t="s">
        <v>1233</v>
      </c>
      <c r="W2" s="127" t="s">
        <v>159</v>
      </c>
      <c r="X2" s="135">
        <v>54</v>
      </c>
      <c r="Y2">
        <v>55</v>
      </c>
      <c r="Z2">
        <v>55</v>
      </c>
      <c r="AA2" s="135">
        <v>43334.90902777778</v>
      </c>
      <c r="AB2">
        <v>1747752</v>
      </c>
      <c r="AC2">
        <v>103947</v>
      </c>
      <c r="AD2" s="127"/>
      <c r="AW2" s="127"/>
      <c r="BD2" s="127"/>
      <c r="BW2" s="127"/>
      <c r="CD2" s="127"/>
      <c r="CW2" s="127"/>
      <c r="DD2" s="127"/>
      <c r="DW2" s="127"/>
      <c r="ED2" s="127"/>
      <c r="EW2" s="127"/>
      <c r="FD2" s="127"/>
      <c r="FW2" s="127"/>
      <c r="GD2" s="127"/>
      <c r="GW2" s="127"/>
      <c r="HD2" s="127"/>
      <c r="HW2" s="127"/>
      <c r="ID2" s="127"/>
      <c r="IW2" s="127"/>
      <c r="JD2" s="127"/>
      <c r="JW2" s="127"/>
      <c r="KD2" s="127"/>
      <c r="KW2" s="127"/>
      <c r="LD2" s="127"/>
      <c r="LW2" s="127"/>
      <c r="MD2" s="127"/>
      <c r="MW2" s="127"/>
      <c r="ND2" s="127"/>
      <c r="NW2" s="127"/>
      <c r="OD2" s="127"/>
      <c r="OW2" s="127"/>
      <c r="PD2" s="127"/>
      <c r="PW2" s="127"/>
      <c r="QD2" s="127"/>
      <c r="QW2" s="127"/>
      <c r="RD2" s="127"/>
      <c r="RW2" s="127"/>
      <c r="SD2" s="127"/>
      <c r="SW2" s="127"/>
      <c r="TD2" s="127"/>
      <c r="TW2" s="127"/>
      <c r="UD2" s="127"/>
      <c r="UW2" s="127"/>
      <c r="VD2" s="127"/>
      <c r="VW2" s="127"/>
      <c r="WD2" s="127"/>
      <c r="WW2" s="127"/>
      <c r="XD2" s="127"/>
      <c r="XW2" s="127"/>
      <c r="YD2" s="127"/>
      <c r="YW2" s="127"/>
      <c r="ZD2" s="127"/>
      <c r="ZW2" s="127"/>
      <c r="AAD2" s="127"/>
      <c r="AAW2" s="127"/>
      <c r="ABD2" s="127"/>
      <c r="ABW2" s="127"/>
      <c r="ACD2" s="127"/>
      <c r="ACW2" s="127"/>
      <c r="ADD2" s="127"/>
      <c r="ADW2" s="127"/>
    </row>
    <row r="3" spans="1:1020 1029:1232" x14ac:dyDescent="0.25">
      <c r="A3" t="s">
        <v>2788</v>
      </c>
      <c r="B3" t="s">
        <v>2789</v>
      </c>
      <c r="C3" t="s">
        <v>1231</v>
      </c>
      <c r="D3" s="127">
        <v>30984</v>
      </c>
      <c r="F3" t="s">
        <v>2790</v>
      </c>
      <c r="H3" t="s">
        <v>2791</v>
      </c>
      <c r="J3" t="s">
        <v>2792</v>
      </c>
      <c r="L3" t="s">
        <v>1232</v>
      </c>
      <c r="M3" t="s">
        <v>2793</v>
      </c>
      <c r="N3" t="s">
        <v>2794</v>
      </c>
      <c r="O3" t="s">
        <v>2795</v>
      </c>
      <c r="P3" t="s">
        <v>2796</v>
      </c>
      <c r="Q3">
        <v>8</v>
      </c>
      <c r="R3">
        <v>0</v>
      </c>
      <c r="S3">
        <v>8</v>
      </c>
      <c r="V3" t="s">
        <v>1233</v>
      </c>
      <c r="W3" s="127" t="s">
        <v>2778</v>
      </c>
      <c r="X3" s="135">
        <v>33</v>
      </c>
      <c r="Y3">
        <v>34</v>
      </c>
      <c r="Z3">
        <v>33</v>
      </c>
      <c r="AA3" s="135">
        <v>43334.914583333331</v>
      </c>
      <c r="AB3">
        <v>1747774</v>
      </c>
      <c r="AC3">
        <v>103947</v>
      </c>
      <c r="AD3" s="127"/>
      <c r="AW3" s="127"/>
      <c r="BD3" s="127"/>
      <c r="BW3" s="127"/>
      <c r="CD3" s="127"/>
      <c r="CW3" s="127"/>
      <c r="DD3" s="127"/>
      <c r="DW3" s="127"/>
      <c r="ED3" s="127"/>
      <c r="EW3" s="127"/>
      <c r="FD3" s="127"/>
      <c r="FW3" s="127"/>
      <c r="GD3" s="127"/>
      <c r="GW3" s="127"/>
      <c r="HD3" s="127"/>
      <c r="HW3" s="127"/>
      <c r="ID3" s="127"/>
      <c r="IW3" s="127"/>
      <c r="JD3" s="127"/>
      <c r="JW3" s="127"/>
      <c r="KD3" s="127"/>
      <c r="KW3" s="127"/>
      <c r="LD3" s="127"/>
      <c r="LW3" s="127"/>
      <c r="MD3" s="127"/>
      <c r="MW3" s="127"/>
      <c r="ND3" s="127"/>
      <c r="NW3" s="127"/>
      <c r="OD3" s="127"/>
      <c r="OW3" s="127"/>
      <c r="PD3" s="127"/>
      <c r="PW3" s="127"/>
      <c r="QD3" s="127"/>
      <c r="QW3" s="127"/>
      <c r="RD3" s="127"/>
      <c r="RW3" s="127"/>
      <c r="SD3" s="127"/>
      <c r="SW3" s="127"/>
      <c r="TD3" s="127"/>
      <c r="TW3" s="127"/>
      <c r="UD3" s="127"/>
      <c r="UW3" s="127"/>
      <c r="VD3" s="127"/>
      <c r="VW3" s="127"/>
      <c r="WD3" s="127"/>
      <c r="WW3" s="127"/>
      <c r="XD3" s="127"/>
      <c r="XW3" s="127"/>
      <c r="YD3" s="127"/>
      <c r="YW3" s="127"/>
      <c r="ZD3" s="127"/>
      <c r="ZW3" s="127"/>
      <c r="AAD3" s="127"/>
      <c r="AAW3" s="127"/>
      <c r="ABD3" s="127"/>
      <c r="ABW3" s="127"/>
      <c r="ACD3" s="127"/>
      <c r="ACW3" s="127"/>
      <c r="ADD3" s="127"/>
      <c r="ADW3" s="127"/>
    </row>
    <row r="4" spans="1:1020 1029:1232" x14ac:dyDescent="0.25">
      <c r="A4" t="s">
        <v>2797</v>
      </c>
      <c r="B4" t="s">
        <v>2798</v>
      </c>
      <c r="C4" t="s">
        <v>1231</v>
      </c>
      <c r="D4" s="127">
        <v>23880</v>
      </c>
      <c r="E4" t="s">
        <v>14</v>
      </c>
      <c r="F4" t="s">
        <v>2799</v>
      </c>
      <c r="H4" t="s">
        <v>2800</v>
      </c>
      <c r="I4" t="s">
        <v>2776</v>
      </c>
      <c r="J4" t="s">
        <v>2801</v>
      </c>
      <c r="L4" t="s">
        <v>1232</v>
      </c>
      <c r="M4" t="s">
        <v>2802</v>
      </c>
      <c r="N4" t="s">
        <v>2803</v>
      </c>
      <c r="O4" t="s">
        <v>2804</v>
      </c>
      <c r="P4" t="s">
        <v>2805</v>
      </c>
      <c r="Q4">
        <v>6</v>
      </c>
      <c r="R4">
        <v>0</v>
      </c>
      <c r="S4">
        <v>6</v>
      </c>
      <c r="T4" t="s">
        <v>1506</v>
      </c>
      <c r="U4" t="s">
        <v>2806</v>
      </c>
      <c r="V4" t="s">
        <v>1233</v>
      </c>
      <c r="W4" s="127" t="s">
        <v>2807</v>
      </c>
      <c r="X4" s="135">
        <v>52</v>
      </c>
      <c r="Y4">
        <v>53</v>
      </c>
      <c r="Z4">
        <v>53</v>
      </c>
      <c r="AA4" s="135">
        <v>43335.36041666667</v>
      </c>
      <c r="AB4">
        <v>1747918</v>
      </c>
      <c r="AC4">
        <v>103947</v>
      </c>
      <c r="AD4" s="127"/>
      <c r="AW4" s="127"/>
      <c r="BD4" s="127"/>
      <c r="BW4" s="127"/>
      <c r="CD4" s="127"/>
      <c r="CW4" s="127"/>
      <c r="DD4" s="127"/>
      <c r="DW4" s="127"/>
      <c r="ED4" s="127"/>
      <c r="EW4" s="127"/>
      <c r="FD4" s="127"/>
      <c r="FW4" s="127"/>
      <c r="GD4" s="127"/>
      <c r="GW4" s="127"/>
      <c r="HD4" s="127"/>
      <c r="HW4" s="127"/>
      <c r="ID4" s="127"/>
      <c r="IW4" s="127"/>
      <c r="JD4" s="127"/>
      <c r="JW4" s="127"/>
      <c r="KD4" s="127"/>
      <c r="KW4" s="127"/>
      <c r="LD4" s="127"/>
      <c r="LW4" s="127"/>
      <c r="MD4" s="127"/>
      <c r="MW4" s="127"/>
      <c r="ND4" s="127"/>
      <c r="NW4" s="127"/>
      <c r="OD4" s="127"/>
      <c r="OW4" s="127"/>
      <c r="PD4" s="127"/>
      <c r="PW4" s="127"/>
      <c r="QD4" s="127"/>
      <c r="QW4" s="127"/>
      <c r="RD4" s="127"/>
      <c r="RW4" s="127"/>
      <c r="SD4" s="127"/>
      <c r="SW4" s="127"/>
      <c r="TD4" s="127"/>
      <c r="TW4" s="127"/>
      <c r="UD4" s="127"/>
      <c r="UW4" s="127"/>
      <c r="VD4" s="127"/>
      <c r="VW4" s="127"/>
      <c r="WD4" s="127"/>
      <c r="WW4" s="127"/>
      <c r="XD4" s="127"/>
      <c r="XW4" s="127"/>
      <c r="YD4" s="127"/>
      <c r="YW4" s="127"/>
      <c r="ZD4" s="127"/>
      <c r="ZW4" s="127"/>
      <c r="AAD4" s="127"/>
      <c r="AAW4" s="127"/>
      <c r="ABD4" s="127"/>
      <c r="ABW4" s="127"/>
      <c r="ACD4" s="127"/>
      <c r="ACW4" s="127"/>
      <c r="ADD4" s="127"/>
      <c r="ADW4" s="127"/>
    </row>
    <row r="5" spans="1:1020 1029:1232" x14ac:dyDescent="0.25">
      <c r="A5" t="s">
        <v>2808</v>
      </c>
      <c r="B5" t="s">
        <v>2809</v>
      </c>
      <c r="C5" t="s">
        <v>1231</v>
      </c>
      <c r="D5" s="127">
        <v>25807</v>
      </c>
      <c r="E5" t="s">
        <v>63</v>
      </c>
      <c r="F5" t="s">
        <v>2810</v>
      </c>
      <c r="H5" t="s">
        <v>1521</v>
      </c>
      <c r="J5" t="s">
        <v>2811</v>
      </c>
      <c r="L5" t="s">
        <v>1232</v>
      </c>
      <c r="M5" t="s">
        <v>2812</v>
      </c>
      <c r="N5" t="s">
        <v>2813</v>
      </c>
      <c r="O5" t="s">
        <v>2814</v>
      </c>
      <c r="P5" t="s">
        <v>2813</v>
      </c>
      <c r="Q5">
        <v>6</v>
      </c>
      <c r="R5">
        <v>0</v>
      </c>
      <c r="S5">
        <v>6</v>
      </c>
      <c r="T5" t="s">
        <v>1506</v>
      </c>
      <c r="U5" t="s">
        <v>2815</v>
      </c>
      <c r="V5" t="s">
        <v>1233</v>
      </c>
      <c r="W5" s="127" t="s">
        <v>2816</v>
      </c>
      <c r="X5" s="135">
        <v>47</v>
      </c>
      <c r="Y5">
        <v>48</v>
      </c>
      <c r="Z5">
        <v>48</v>
      </c>
      <c r="AA5" s="135">
        <v>43335.394444444442</v>
      </c>
      <c r="AB5">
        <v>1747964</v>
      </c>
      <c r="AC5">
        <v>103947</v>
      </c>
      <c r="AD5" s="127"/>
      <c r="AW5" s="127"/>
      <c r="BD5" s="127"/>
      <c r="BW5" s="127"/>
      <c r="CD5" s="127"/>
      <c r="CW5" s="127"/>
      <c r="DD5" s="127"/>
      <c r="DW5" s="127"/>
      <c r="ED5" s="127"/>
      <c r="EW5" s="127"/>
      <c r="FD5" s="127"/>
      <c r="FW5" s="127"/>
      <c r="GD5" s="127"/>
      <c r="GW5" s="127"/>
      <c r="HD5" s="127"/>
      <c r="HW5" s="127"/>
      <c r="ID5" s="127"/>
      <c r="IW5" s="127"/>
      <c r="JD5" s="127"/>
      <c r="JW5" s="127"/>
      <c r="KD5" s="127"/>
      <c r="KW5" s="127"/>
      <c r="LD5" s="127"/>
      <c r="LW5" s="127"/>
      <c r="MD5" s="127"/>
      <c r="MW5" s="127"/>
      <c r="ND5" s="127"/>
      <c r="NW5" s="127"/>
      <c r="OD5" s="127"/>
      <c r="OW5" s="127"/>
      <c r="PD5" s="127"/>
      <c r="PW5" s="127"/>
      <c r="QD5" s="127"/>
      <c r="QW5" s="127"/>
      <c r="RD5" s="127"/>
      <c r="RW5" s="127"/>
      <c r="SD5" s="127"/>
      <c r="SW5" s="127"/>
      <c r="TD5" s="127"/>
      <c r="TW5" s="127"/>
      <c r="UD5" s="127"/>
      <c r="UW5" s="127"/>
      <c r="VD5" s="127"/>
      <c r="VW5" s="127"/>
      <c r="WD5" s="127"/>
      <c r="WW5" s="127"/>
      <c r="XD5" s="127"/>
      <c r="XW5" s="127"/>
      <c r="YD5" s="127"/>
      <c r="YW5" s="127"/>
      <c r="ZD5" s="127"/>
      <c r="ZW5" s="127"/>
      <c r="AAD5" s="127"/>
      <c r="AAW5" s="127"/>
      <c r="ABD5" s="127"/>
      <c r="ABW5" s="127"/>
      <c r="ACD5" s="127"/>
      <c r="ACW5" s="127"/>
      <c r="ADD5" s="127"/>
      <c r="ADW5" s="127"/>
    </row>
    <row r="6" spans="1:1020 1029:1232" x14ac:dyDescent="0.25">
      <c r="A6" t="s">
        <v>2817</v>
      </c>
      <c r="B6" t="s">
        <v>2818</v>
      </c>
      <c r="C6" t="s">
        <v>1231</v>
      </c>
      <c r="D6" s="127">
        <v>25677</v>
      </c>
      <c r="E6" t="s">
        <v>12</v>
      </c>
      <c r="F6" t="s">
        <v>2819</v>
      </c>
      <c r="G6" t="s">
        <v>2820</v>
      </c>
      <c r="H6" t="s">
        <v>2821</v>
      </c>
      <c r="I6" t="s">
        <v>2776</v>
      </c>
      <c r="J6" t="s">
        <v>2822</v>
      </c>
      <c r="L6" t="s">
        <v>1232</v>
      </c>
      <c r="M6" t="s">
        <v>2823</v>
      </c>
      <c r="N6" t="s">
        <v>2824</v>
      </c>
      <c r="O6" t="s">
        <v>2825</v>
      </c>
      <c r="P6" t="s">
        <v>2826</v>
      </c>
      <c r="Q6">
        <v>6</v>
      </c>
      <c r="R6">
        <v>0</v>
      </c>
      <c r="S6">
        <v>6</v>
      </c>
      <c r="T6" t="s">
        <v>1506</v>
      </c>
      <c r="U6" t="s">
        <v>2827</v>
      </c>
      <c r="V6" t="s">
        <v>1233</v>
      </c>
      <c r="W6" s="127" t="s">
        <v>2816</v>
      </c>
      <c r="X6" s="135">
        <v>47</v>
      </c>
      <c r="Y6">
        <v>48</v>
      </c>
      <c r="Z6">
        <v>48</v>
      </c>
      <c r="AA6" s="135">
        <v>43335.429861111108</v>
      </c>
      <c r="AB6">
        <v>1748001</v>
      </c>
      <c r="AC6">
        <v>103947</v>
      </c>
      <c r="AD6" s="127"/>
      <c r="AW6" s="127"/>
      <c r="BD6" s="127"/>
      <c r="BW6" s="127"/>
      <c r="CD6" s="127"/>
      <c r="CW6" s="127"/>
      <c r="DD6" s="127"/>
      <c r="DW6" s="127"/>
      <c r="ED6" s="127"/>
      <c r="EW6" s="127"/>
      <c r="FD6" s="127"/>
      <c r="FW6" s="127"/>
      <c r="GD6" s="127"/>
      <c r="GW6" s="127"/>
      <c r="HD6" s="127"/>
      <c r="HW6" s="127"/>
      <c r="ID6" s="127"/>
      <c r="IW6" s="127"/>
      <c r="JD6" s="127"/>
      <c r="JW6" s="127"/>
      <c r="KD6" s="127"/>
      <c r="KW6" s="127"/>
      <c r="LD6" s="127"/>
      <c r="LW6" s="127"/>
      <c r="MD6" s="127"/>
      <c r="MW6" s="127"/>
      <c r="ND6" s="127"/>
      <c r="NW6" s="127"/>
      <c r="OD6" s="127"/>
      <c r="OW6" s="127"/>
      <c r="PD6" s="127"/>
      <c r="PW6" s="127"/>
      <c r="QD6" s="127"/>
      <c r="QW6" s="127"/>
      <c r="RD6" s="127"/>
      <c r="RW6" s="127"/>
      <c r="SD6" s="127"/>
      <c r="SW6" s="127"/>
      <c r="TD6" s="127"/>
      <c r="TW6" s="127"/>
      <c r="UD6" s="127"/>
      <c r="UW6" s="127"/>
      <c r="VD6" s="127"/>
      <c r="VW6" s="127"/>
      <c r="WD6" s="127"/>
      <c r="WW6" s="127"/>
      <c r="XD6" s="127"/>
      <c r="XW6" s="127"/>
      <c r="YD6" s="127"/>
      <c r="YW6" s="127"/>
      <c r="ZD6" s="127"/>
      <c r="ZW6" s="127"/>
      <c r="AAD6" s="127"/>
      <c r="AAW6" s="127"/>
      <c r="ABD6" s="127"/>
      <c r="ABW6" s="127"/>
      <c r="ACD6" s="127"/>
      <c r="ACW6" s="127"/>
      <c r="ADD6" s="127"/>
      <c r="ADW6" s="127"/>
    </row>
    <row r="7" spans="1:1020 1029:1232" x14ac:dyDescent="0.25">
      <c r="A7" t="s">
        <v>2828</v>
      </c>
      <c r="B7" t="s">
        <v>2818</v>
      </c>
      <c r="C7" t="s">
        <v>1520</v>
      </c>
      <c r="D7" s="127">
        <v>27295</v>
      </c>
      <c r="E7" t="s">
        <v>12</v>
      </c>
      <c r="F7" t="s">
        <v>2819</v>
      </c>
      <c r="G7" t="s">
        <v>2820</v>
      </c>
      <c r="H7" t="s">
        <v>2821</v>
      </c>
      <c r="I7" t="s">
        <v>2776</v>
      </c>
      <c r="J7" t="s">
        <v>2822</v>
      </c>
      <c r="L7" t="s">
        <v>1232</v>
      </c>
      <c r="M7" t="s">
        <v>2829</v>
      </c>
      <c r="N7" t="s">
        <v>2826</v>
      </c>
      <c r="O7" t="s">
        <v>2830</v>
      </c>
      <c r="P7" t="s">
        <v>2824</v>
      </c>
      <c r="Q7">
        <v>6</v>
      </c>
      <c r="R7">
        <v>0</v>
      </c>
      <c r="S7">
        <v>6</v>
      </c>
      <c r="T7" t="s">
        <v>1506</v>
      </c>
      <c r="U7" t="s">
        <v>2831</v>
      </c>
      <c r="V7" t="s">
        <v>1233</v>
      </c>
      <c r="W7" s="127" t="s">
        <v>2777</v>
      </c>
      <c r="X7" s="135">
        <v>43</v>
      </c>
      <c r="Y7">
        <v>44</v>
      </c>
      <c r="Z7">
        <v>43</v>
      </c>
      <c r="AA7" s="135">
        <v>43335.436805555553</v>
      </c>
      <c r="AB7">
        <v>1748013</v>
      </c>
      <c r="AC7">
        <v>103947</v>
      </c>
      <c r="AD7" s="127"/>
      <c r="AW7" s="127"/>
      <c r="BD7" s="127"/>
      <c r="BW7" s="127"/>
      <c r="CD7" s="127"/>
      <c r="CW7" s="127"/>
      <c r="DD7" s="127"/>
      <c r="DW7" s="127"/>
      <c r="ED7" s="127"/>
      <c r="EW7" s="127"/>
      <c r="FD7" s="127"/>
      <c r="FW7" s="127"/>
      <c r="GD7" s="127"/>
      <c r="GW7" s="127"/>
      <c r="HD7" s="127"/>
      <c r="HW7" s="127"/>
      <c r="ID7" s="127"/>
      <c r="IW7" s="127"/>
      <c r="JD7" s="127"/>
      <c r="JW7" s="127"/>
      <c r="KD7" s="127"/>
      <c r="KW7" s="127"/>
      <c r="LD7" s="127"/>
      <c r="LW7" s="127"/>
      <c r="MD7" s="127"/>
      <c r="MW7" s="127"/>
      <c r="ND7" s="127"/>
      <c r="NW7" s="127"/>
      <c r="OD7" s="127"/>
      <c r="OW7" s="127"/>
      <c r="PD7" s="127"/>
      <c r="PW7" s="127"/>
      <c r="QD7" s="127"/>
      <c r="QW7" s="127"/>
      <c r="RD7" s="127"/>
      <c r="RW7" s="127"/>
      <c r="SD7" s="127"/>
      <c r="SW7" s="127"/>
      <c r="TD7" s="127"/>
      <c r="TW7" s="127"/>
      <c r="UD7" s="127"/>
      <c r="UW7" s="127"/>
      <c r="VD7" s="127"/>
      <c r="VW7" s="127"/>
      <c r="WD7" s="127"/>
      <c r="WW7" s="127"/>
      <c r="XD7" s="127"/>
      <c r="XW7" s="127"/>
      <c r="YD7" s="127"/>
      <c r="YW7" s="127"/>
      <c r="ZD7" s="127"/>
      <c r="ZW7" s="127"/>
      <c r="AAD7" s="127"/>
      <c r="AAW7" s="127"/>
      <c r="ABD7" s="127"/>
      <c r="ABW7" s="127"/>
      <c r="ACD7" s="127"/>
      <c r="ACW7" s="127"/>
      <c r="ADD7" s="127"/>
      <c r="ADW7" s="127"/>
    </row>
    <row r="8" spans="1:1020 1029:1232" x14ac:dyDescent="0.25">
      <c r="A8" t="s">
        <v>2832</v>
      </c>
      <c r="B8" t="s">
        <v>2833</v>
      </c>
      <c r="C8" t="s">
        <v>1520</v>
      </c>
      <c r="D8" s="127">
        <v>29936</v>
      </c>
      <c r="E8" t="s">
        <v>12</v>
      </c>
      <c r="F8" t="s">
        <v>2834</v>
      </c>
      <c r="H8" t="s">
        <v>2835</v>
      </c>
      <c r="I8" t="s">
        <v>1521</v>
      </c>
      <c r="J8" t="s">
        <v>2836</v>
      </c>
      <c r="L8" t="s">
        <v>1232</v>
      </c>
      <c r="M8" t="s">
        <v>2837</v>
      </c>
      <c r="N8" t="s">
        <v>2838</v>
      </c>
      <c r="O8" t="s">
        <v>2839</v>
      </c>
      <c r="P8" t="s">
        <v>2840</v>
      </c>
      <c r="Q8">
        <v>6</v>
      </c>
      <c r="R8">
        <v>0</v>
      </c>
      <c r="S8">
        <v>6</v>
      </c>
      <c r="T8" t="s">
        <v>1506</v>
      </c>
      <c r="U8" t="s">
        <v>2841</v>
      </c>
      <c r="V8" t="s">
        <v>1233</v>
      </c>
      <c r="W8" s="127" t="s">
        <v>2842</v>
      </c>
      <c r="X8" s="135">
        <v>36</v>
      </c>
      <c r="Y8">
        <v>37</v>
      </c>
      <c r="Z8">
        <v>36</v>
      </c>
      <c r="AA8" s="135">
        <v>43335.475694444445</v>
      </c>
      <c r="AB8">
        <v>1748037</v>
      </c>
      <c r="AC8">
        <v>103947</v>
      </c>
      <c r="AD8" s="127"/>
      <c r="AW8" s="127"/>
      <c r="BD8" s="127"/>
      <c r="BW8" s="127"/>
      <c r="CD8" s="127"/>
      <c r="CW8" s="127"/>
      <c r="DD8" s="127"/>
      <c r="DW8" s="127"/>
      <c r="ED8" s="127"/>
      <c r="EW8" s="127"/>
      <c r="FD8" s="127"/>
      <c r="FW8" s="127"/>
      <c r="GD8" s="127"/>
      <c r="GW8" s="127"/>
      <c r="HD8" s="127"/>
      <c r="HW8" s="127"/>
      <c r="ID8" s="127"/>
      <c r="IW8" s="127"/>
      <c r="JD8" s="127"/>
      <c r="JW8" s="127"/>
      <c r="KD8" s="127"/>
      <c r="KW8" s="127"/>
      <c r="LD8" s="127"/>
      <c r="LW8" s="127"/>
      <c r="MD8" s="127"/>
      <c r="MW8" s="127"/>
      <c r="ND8" s="127"/>
      <c r="NW8" s="127"/>
      <c r="OD8" s="127"/>
      <c r="OW8" s="127"/>
      <c r="PD8" s="127"/>
      <c r="PW8" s="127"/>
      <c r="QD8" s="127"/>
      <c r="QW8" s="127"/>
      <c r="RD8" s="127"/>
      <c r="RW8" s="127"/>
      <c r="SD8" s="127"/>
      <c r="SW8" s="127"/>
      <c r="TD8" s="127"/>
      <c r="TW8" s="127"/>
      <c r="UD8" s="127"/>
      <c r="UW8" s="127"/>
      <c r="VD8" s="127"/>
      <c r="VW8" s="127"/>
      <c r="WD8" s="127"/>
      <c r="WW8" s="127"/>
      <c r="XD8" s="127"/>
      <c r="XW8" s="127"/>
      <c r="YD8" s="127"/>
      <c r="YW8" s="127"/>
      <c r="ZD8" s="127"/>
      <c r="ZW8" s="127"/>
      <c r="AAD8" s="127"/>
      <c r="AAW8" s="127"/>
      <c r="ABD8" s="127"/>
      <c r="ABW8" s="127"/>
      <c r="ACD8" s="127"/>
      <c r="ACW8" s="127"/>
      <c r="ADD8" s="127"/>
      <c r="ADW8" s="127"/>
    </row>
    <row r="9" spans="1:1020 1029:1232" x14ac:dyDescent="0.25">
      <c r="A9" t="s">
        <v>2843</v>
      </c>
      <c r="B9" t="s">
        <v>2844</v>
      </c>
      <c r="C9" t="s">
        <v>1520</v>
      </c>
      <c r="D9" s="127">
        <v>32956</v>
      </c>
      <c r="E9" t="s">
        <v>63</v>
      </c>
      <c r="F9" t="s">
        <v>2845</v>
      </c>
      <c r="H9" t="s">
        <v>1521</v>
      </c>
      <c r="J9" t="s">
        <v>2846</v>
      </c>
      <c r="L9" t="s">
        <v>1232</v>
      </c>
      <c r="M9" t="s">
        <v>2847</v>
      </c>
      <c r="N9" t="s">
        <v>2848</v>
      </c>
      <c r="O9" t="s">
        <v>2849</v>
      </c>
      <c r="P9" t="s">
        <v>2850</v>
      </c>
      <c r="Q9">
        <v>6</v>
      </c>
      <c r="R9">
        <v>0</v>
      </c>
      <c r="S9">
        <v>6</v>
      </c>
      <c r="T9" t="s">
        <v>1506</v>
      </c>
      <c r="U9" t="s">
        <v>2851</v>
      </c>
      <c r="V9" t="s">
        <v>1233</v>
      </c>
      <c r="W9" s="127" t="s">
        <v>2852</v>
      </c>
      <c r="X9" s="135">
        <v>27</v>
      </c>
      <c r="Y9">
        <v>28</v>
      </c>
      <c r="Z9">
        <v>28</v>
      </c>
      <c r="AA9" s="135">
        <v>43335.497916666667</v>
      </c>
      <c r="AB9">
        <v>1748051</v>
      </c>
      <c r="AC9">
        <v>103947</v>
      </c>
      <c r="AD9" s="127"/>
      <c r="AW9" s="127"/>
      <c r="BD9" s="127"/>
      <c r="BW9" s="127"/>
      <c r="CD9" s="127"/>
      <c r="CW9" s="127"/>
      <c r="DD9" s="127"/>
      <c r="DW9" s="127"/>
      <c r="ED9" s="127"/>
      <c r="EW9" s="127"/>
      <c r="FD9" s="127"/>
      <c r="FW9" s="127"/>
      <c r="GD9" s="127"/>
      <c r="GW9" s="127"/>
      <c r="HD9" s="127"/>
      <c r="HW9" s="127"/>
      <c r="ID9" s="127"/>
      <c r="IW9" s="127"/>
      <c r="JD9" s="127"/>
      <c r="JW9" s="127"/>
      <c r="KD9" s="127"/>
      <c r="KW9" s="127"/>
      <c r="LD9" s="127"/>
      <c r="LW9" s="127"/>
      <c r="MD9" s="127"/>
      <c r="MW9" s="127"/>
      <c r="ND9" s="127"/>
      <c r="NW9" s="127"/>
      <c r="OD9" s="127"/>
      <c r="OW9" s="127"/>
      <c r="PD9" s="127"/>
      <c r="PW9" s="127"/>
      <c r="QD9" s="127"/>
      <c r="QW9" s="127"/>
      <c r="RD9" s="127"/>
      <c r="RW9" s="127"/>
      <c r="SD9" s="127"/>
      <c r="SW9" s="127"/>
      <c r="TD9" s="127"/>
      <c r="TW9" s="127"/>
      <c r="UD9" s="127"/>
      <c r="UW9" s="127"/>
      <c r="VD9" s="127"/>
      <c r="VW9" s="127"/>
      <c r="WD9" s="127"/>
      <c r="WW9" s="127"/>
      <c r="XD9" s="127"/>
      <c r="XW9" s="127"/>
      <c r="YD9" s="127"/>
      <c r="YW9" s="127"/>
      <c r="ZD9" s="127"/>
      <c r="ZW9" s="127"/>
      <c r="AAD9" s="127"/>
      <c r="AAW9" s="127"/>
      <c r="ABD9" s="127"/>
      <c r="ABW9" s="127"/>
      <c r="ACD9" s="127"/>
      <c r="ACW9" s="127"/>
      <c r="ADD9" s="127"/>
      <c r="ADW9" s="127"/>
    </row>
    <row r="10" spans="1:1020 1029:1232" x14ac:dyDescent="0.25">
      <c r="A10" t="s">
        <v>2853</v>
      </c>
      <c r="B10" t="s">
        <v>2854</v>
      </c>
      <c r="C10" t="s">
        <v>1520</v>
      </c>
      <c r="D10" s="127">
        <v>20353</v>
      </c>
      <c r="E10" t="s">
        <v>63</v>
      </c>
      <c r="F10" t="s">
        <v>2855</v>
      </c>
      <c r="G10" t="s">
        <v>2856</v>
      </c>
      <c r="H10" t="s">
        <v>1521</v>
      </c>
      <c r="I10" t="s">
        <v>1521</v>
      </c>
      <c r="J10" t="s">
        <v>2857</v>
      </c>
      <c r="L10" t="s">
        <v>1232</v>
      </c>
      <c r="M10" t="s">
        <v>2858</v>
      </c>
      <c r="N10" t="s">
        <v>2859</v>
      </c>
      <c r="O10" t="s">
        <v>2860</v>
      </c>
      <c r="P10" t="s">
        <v>2861</v>
      </c>
      <c r="Q10">
        <v>6</v>
      </c>
      <c r="R10">
        <v>0</v>
      </c>
      <c r="S10">
        <v>6</v>
      </c>
      <c r="T10" t="s">
        <v>1506</v>
      </c>
      <c r="U10" t="s">
        <v>2862</v>
      </c>
      <c r="V10" t="s">
        <v>1233</v>
      </c>
      <c r="W10" s="127" t="s">
        <v>2863</v>
      </c>
      <c r="X10" s="135">
        <v>62</v>
      </c>
      <c r="Y10">
        <v>63</v>
      </c>
      <c r="Z10">
        <v>62</v>
      </c>
      <c r="AA10" s="135">
        <v>43335.602083333331</v>
      </c>
      <c r="AB10">
        <v>1748148</v>
      </c>
      <c r="AC10">
        <v>103947</v>
      </c>
      <c r="AD10" s="127"/>
      <c r="AW10" s="127"/>
      <c r="BD10" s="127"/>
      <c r="BW10" s="127"/>
      <c r="CD10" s="127"/>
      <c r="CW10" s="127"/>
      <c r="DD10" s="127"/>
      <c r="DW10" s="127"/>
      <c r="ED10" s="127"/>
      <c r="EW10" s="127"/>
      <c r="FD10" s="127"/>
      <c r="FW10" s="127"/>
      <c r="GD10" s="127"/>
      <c r="GW10" s="127"/>
      <c r="HD10" s="127"/>
      <c r="HW10" s="127"/>
      <c r="ID10" s="127"/>
      <c r="IW10" s="127"/>
      <c r="JD10" s="127"/>
      <c r="JW10" s="127"/>
      <c r="KD10" s="127"/>
      <c r="KW10" s="127"/>
      <c r="LD10" s="127"/>
      <c r="LW10" s="127"/>
      <c r="MD10" s="127"/>
      <c r="MW10" s="127"/>
      <c r="ND10" s="127"/>
      <c r="NW10" s="127"/>
      <c r="OD10" s="127"/>
      <c r="OW10" s="127"/>
      <c r="PD10" s="127"/>
      <c r="PW10" s="127"/>
      <c r="QD10" s="127"/>
      <c r="QW10" s="127"/>
      <c r="RD10" s="127"/>
      <c r="RW10" s="127"/>
      <c r="SD10" s="127"/>
      <c r="SW10" s="127"/>
      <c r="TD10" s="127"/>
      <c r="TW10" s="127"/>
      <c r="UD10" s="127"/>
      <c r="UW10" s="127"/>
      <c r="VD10" s="127"/>
      <c r="VW10" s="127"/>
      <c r="WD10" s="127"/>
      <c r="WW10" s="127"/>
      <c r="XD10" s="127"/>
      <c r="XW10" s="127"/>
      <c r="YD10" s="127"/>
      <c r="YW10" s="127"/>
      <c r="ZD10" s="127"/>
      <c r="ZW10" s="127"/>
      <c r="AAD10" s="127"/>
      <c r="AAW10" s="127"/>
      <c r="ABD10" s="127"/>
      <c r="ABW10" s="127"/>
      <c r="ACD10" s="127"/>
      <c r="ACW10" s="127"/>
      <c r="ADD10" s="127"/>
      <c r="ADW10" s="127"/>
    </row>
    <row r="11" spans="1:1020 1029:1232" x14ac:dyDescent="0.25">
      <c r="A11" t="s">
        <v>2864</v>
      </c>
      <c r="B11" t="s">
        <v>2865</v>
      </c>
      <c r="C11" t="s">
        <v>1520</v>
      </c>
      <c r="D11" s="127">
        <v>24621</v>
      </c>
      <c r="E11" t="s">
        <v>63</v>
      </c>
      <c r="F11" t="s">
        <v>2866</v>
      </c>
      <c r="G11" t="s">
        <v>2835</v>
      </c>
      <c r="H11" t="s">
        <v>1521</v>
      </c>
      <c r="J11" t="s">
        <v>2867</v>
      </c>
      <c r="L11" t="s">
        <v>1232</v>
      </c>
      <c r="M11" t="s">
        <v>2868</v>
      </c>
      <c r="N11" t="s">
        <v>2869</v>
      </c>
      <c r="O11" t="s">
        <v>2870</v>
      </c>
      <c r="P11" t="s">
        <v>2871</v>
      </c>
      <c r="Q11">
        <v>6</v>
      </c>
      <c r="R11">
        <v>0</v>
      </c>
      <c r="S11">
        <v>6</v>
      </c>
      <c r="T11" t="s">
        <v>1506</v>
      </c>
      <c r="U11" t="s">
        <v>2872</v>
      </c>
      <c r="V11" t="s">
        <v>1233</v>
      </c>
      <c r="W11" s="127" t="s">
        <v>2873</v>
      </c>
      <c r="X11" s="135">
        <v>50</v>
      </c>
      <c r="Y11">
        <v>51</v>
      </c>
      <c r="Z11">
        <v>51</v>
      </c>
      <c r="AA11" s="135">
        <v>43335.625</v>
      </c>
      <c r="AB11">
        <v>1748167</v>
      </c>
      <c r="AC11">
        <v>103947</v>
      </c>
      <c r="AD11" s="127"/>
      <c r="AW11" s="127"/>
      <c r="BD11" s="127"/>
      <c r="BW11" s="127"/>
      <c r="CD11" s="127"/>
      <c r="CW11" s="127"/>
      <c r="DD11" s="127"/>
      <c r="DW11" s="127"/>
      <c r="ED11" s="127"/>
      <c r="EW11" s="127"/>
      <c r="FD11" s="127"/>
      <c r="FW11" s="127"/>
      <c r="GD11" s="127"/>
      <c r="GW11" s="127"/>
      <c r="HD11" s="127"/>
      <c r="HW11" s="127"/>
      <c r="ID11" s="127"/>
      <c r="IW11" s="127"/>
      <c r="JD11" s="127"/>
      <c r="JW11" s="127"/>
      <c r="KD11" s="127"/>
      <c r="KW11" s="127"/>
      <c r="LD11" s="127"/>
      <c r="LW11" s="127"/>
      <c r="MD11" s="127"/>
      <c r="MW11" s="127"/>
      <c r="ND11" s="127"/>
      <c r="NW11" s="127"/>
      <c r="OD11" s="127"/>
      <c r="OW11" s="127"/>
      <c r="PD11" s="127"/>
      <c r="PW11" s="127"/>
      <c r="QD11" s="127"/>
      <c r="QW11" s="127"/>
      <c r="RD11" s="127"/>
      <c r="RW11" s="127"/>
      <c r="SD11" s="127"/>
      <c r="SW11" s="127"/>
      <c r="TD11" s="127"/>
      <c r="TW11" s="127"/>
      <c r="UD11" s="127"/>
      <c r="UW11" s="127"/>
      <c r="VD11" s="127"/>
      <c r="VW11" s="127"/>
      <c r="WD11" s="127"/>
      <c r="WW11" s="127"/>
      <c r="XD11" s="127"/>
      <c r="XW11" s="127"/>
      <c r="YD11" s="127"/>
      <c r="YW11" s="127"/>
      <c r="ZD11" s="127"/>
      <c r="ZW11" s="127"/>
      <c r="AAD11" s="127"/>
      <c r="AAW11" s="127"/>
      <c r="ABD11" s="127"/>
      <c r="ABW11" s="127"/>
      <c r="ACD11" s="127"/>
      <c r="ACW11" s="127"/>
      <c r="ADD11" s="127"/>
      <c r="ADW11" s="127"/>
    </row>
    <row r="12" spans="1:1020 1029:1232" x14ac:dyDescent="0.25">
      <c r="A12" t="s">
        <v>2874</v>
      </c>
      <c r="B12" t="s">
        <v>2875</v>
      </c>
      <c r="C12" t="s">
        <v>1520</v>
      </c>
      <c r="D12" s="127">
        <v>32567</v>
      </c>
      <c r="E12" t="s">
        <v>63</v>
      </c>
      <c r="F12" t="s">
        <v>2876</v>
      </c>
      <c r="H12" t="s">
        <v>1521</v>
      </c>
      <c r="J12" t="s">
        <v>2877</v>
      </c>
      <c r="L12" t="s">
        <v>1232</v>
      </c>
      <c r="M12" t="s">
        <v>2878</v>
      </c>
      <c r="N12" t="s">
        <v>2879</v>
      </c>
      <c r="O12" t="s">
        <v>2880</v>
      </c>
      <c r="P12" t="s">
        <v>2881</v>
      </c>
      <c r="Q12">
        <v>6</v>
      </c>
      <c r="R12">
        <v>0</v>
      </c>
      <c r="S12">
        <v>6</v>
      </c>
      <c r="T12" t="s">
        <v>1506</v>
      </c>
      <c r="U12" t="s">
        <v>2882</v>
      </c>
      <c r="V12" t="s">
        <v>1233</v>
      </c>
      <c r="W12" s="127" t="s">
        <v>2883</v>
      </c>
      <c r="X12" s="135">
        <v>28</v>
      </c>
      <c r="Y12">
        <v>29</v>
      </c>
      <c r="Z12">
        <v>29</v>
      </c>
      <c r="AA12" s="135">
        <v>43335.665277777778</v>
      </c>
      <c r="AB12">
        <v>1748185</v>
      </c>
      <c r="AC12">
        <v>103947</v>
      </c>
      <c r="AD12" s="127"/>
      <c r="AW12" s="127"/>
      <c r="BD12" s="127"/>
      <c r="BW12" s="127"/>
      <c r="CD12" s="127"/>
      <c r="CW12" s="127"/>
      <c r="DD12" s="127"/>
      <c r="DW12" s="127"/>
      <c r="ED12" s="127"/>
      <c r="EW12" s="127"/>
      <c r="FD12" s="127"/>
      <c r="FW12" s="127"/>
      <c r="GD12" s="127"/>
      <c r="GW12" s="127"/>
      <c r="HD12" s="127"/>
      <c r="HW12" s="127"/>
      <c r="ID12" s="127"/>
      <c r="IW12" s="127"/>
      <c r="JD12" s="127"/>
      <c r="JW12" s="127"/>
      <c r="KD12" s="127"/>
      <c r="KW12" s="127"/>
      <c r="LD12" s="127"/>
      <c r="LW12" s="127"/>
      <c r="MD12" s="127"/>
      <c r="MW12" s="127"/>
      <c r="ND12" s="127"/>
      <c r="NW12" s="127"/>
      <c r="OD12" s="127"/>
      <c r="OW12" s="127"/>
      <c r="PD12" s="127"/>
      <c r="PW12" s="127"/>
      <c r="QD12" s="127"/>
      <c r="QW12" s="127"/>
      <c r="RD12" s="127"/>
      <c r="RW12" s="127"/>
      <c r="SD12" s="127"/>
      <c r="SW12" s="127"/>
      <c r="TD12" s="127"/>
      <c r="TW12" s="127"/>
      <c r="UD12" s="127"/>
      <c r="UW12" s="127"/>
      <c r="VD12" s="127"/>
      <c r="VW12" s="127"/>
      <c r="WD12" s="127"/>
      <c r="WW12" s="127"/>
      <c r="XD12" s="127"/>
      <c r="XW12" s="127"/>
      <c r="YD12" s="127"/>
      <c r="YW12" s="127"/>
      <c r="ZD12" s="127"/>
      <c r="ZW12" s="127"/>
      <c r="AAD12" s="127"/>
      <c r="AAW12" s="127"/>
      <c r="ABD12" s="127"/>
      <c r="ABW12" s="127"/>
      <c r="ACD12" s="127"/>
      <c r="ACW12" s="127"/>
      <c r="ADD12" s="127"/>
      <c r="ADW12" s="127"/>
    </row>
    <row r="13" spans="1:1020 1029:1232" x14ac:dyDescent="0.25">
      <c r="A13" t="s">
        <v>2884</v>
      </c>
      <c r="B13" t="s">
        <v>2885</v>
      </c>
      <c r="C13" t="s">
        <v>1520</v>
      </c>
      <c r="D13" s="127">
        <v>27985</v>
      </c>
      <c r="E13" t="s">
        <v>63</v>
      </c>
      <c r="F13" t="s">
        <v>2886</v>
      </c>
      <c r="H13" t="s">
        <v>1521</v>
      </c>
      <c r="J13" t="s">
        <v>2887</v>
      </c>
      <c r="L13" t="s">
        <v>1232</v>
      </c>
      <c r="M13" t="s">
        <v>2888</v>
      </c>
      <c r="N13" t="s">
        <v>2889</v>
      </c>
      <c r="O13" t="s">
        <v>2890</v>
      </c>
      <c r="P13" t="s">
        <v>2891</v>
      </c>
      <c r="Q13">
        <v>6</v>
      </c>
      <c r="R13">
        <v>0</v>
      </c>
      <c r="S13">
        <v>6</v>
      </c>
      <c r="T13" t="s">
        <v>1506</v>
      </c>
      <c r="U13" t="s">
        <v>2892</v>
      </c>
      <c r="V13" t="s">
        <v>1233</v>
      </c>
      <c r="W13" s="127" t="s">
        <v>2893</v>
      </c>
      <c r="X13" s="135">
        <v>41</v>
      </c>
      <c r="Y13">
        <v>42</v>
      </c>
      <c r="Z13">
        <v>42</v>
      </c>
      <c r="AA13" s="135">
        <v>43335.720833333333</v>
      </c>
      <c r="AB13">
        <v>1748230</v>
      </c>
      <c r="AC13">
        <v>103947</v>
      </c>
      <c r="AD13" s="127"/>
      <c r="AW13" s="127"/>
      <c r="BD13" s="127"/>
      <c r="BW13" s="127"/>
      <c r="CD13" s="127"/>
      <c r="CW13" s="127"/>
      <c r="DD13" s="127"/>
      <c r="DW13" s="127"/>
      <c r="ED13" s="127"/>
      <c r="EW13" s="127"/>
      <c r="FD13" s="127"/>
      <c r="FW13" s="127"/>
      <c r="GD13" s="127"/>
      <c r="GW13" s="127"/>
      <c r="HD13" s="127"/>
      <c r="HW13" s="127"/>
      <c r="ID13" s="127"/>
      <c r="IW13" s="127"/>
      <c r="JD13" s="127"/>
      <c r="JW13" s="127"/>
      <c r="KD13" s="127"/>
      <c r="KW13" s="127"/>
      <c r="LD13" s="127"/>
      <c r="LW13" s="127"/>
      <c r="MD13" s="127"/>
      <c r="MW13" s="127"/>
      <c r="ND13" s="127"/>
      <c r="NW13" s="127"/>
      <c r="OD13" s="127"/>
      <c r="OW13" s="127"/>
      <c r="PD13" s="127"/>
      <c r="PW13" s="127"/>
      <c r="QD13" s="127"/>
      <c r="QW13" s="127"/>
      <c r="RD13" s="127"/>
      <c r="RW13" s="127"/>
      <c r="SD13" s="127"/>
      <c r="SW13" s="127"/>
      <c r="TD13" s="127"/>
      <c r="TW13" s="127"/>
      <c r="UD13" s="127"/>
      <c r="UW13" s="127"/>
      <c r="VD13" s="127"/>
      <c r="VW13" s="127"/>
      <c r="WD13" s="127"/>
      <c r="WW13" s="127"/>
      <c r="XD13" s="127"/>
      <c r="XW13" s="127"/>
      <c r="YD13" s="127"/>
      <c r="YW13" s="127"/>
      <c r="ZD13" s="127"/>
      <c r="ZW13" s="127"/>
      <c r="AAD13" s="127"/>
      <c r="AAW13" s="127"/>
      <c r="ABD13" s="127"/>
      <c r="ABW13" s="127"/>
      <c r="ACD13" s="127"/>
      <c r="ACW13" s="127"/>
      <c r="ADD13" s="127"/>
      <c r="ADW13" s="127"/>
    </row>
    <row r="14" spans="1:1020 1029:1232" x14ac:dyDescent="0.25">
      <c r="A14" t="s">
        <v>2894</v>
      </c>
      <c r="B14" t="s">
        <v>2895</v>
      </c>
      <c r="C14" t="s">
        <v>1520</v>
      </c>
      <c r="D14" s="127">
        <v>20906</v>
      </c>
      <c r="E14" t="s">
        <v>108</v>
      </c>
      <c r="F14" t="s">
        <v>2896</v>
      </c>
      <c r="G14" t="s">
        <v>2897</v>
      </c>
      <c r="H14" t="s">
        <v>2775</v>
      </c>
      <c r="I14" t="s">
        <v>2776</v>
      </c>
      <c r="J14" t="s">
        <v>2898</v>
      </c>
      <c r="L14" t="s">
        <v>1232</v>
      </c>
      <c r="M14" t="s">
        <v>2899</v>
      </c>
      <c r="N14" t="s">
        <v>2900</v>
      </c>
      <c r="O14" t="s">
        <v>2901</v>
      </c>
      <c r="P14" t="s">
        <v>2902</v>
      </c>
      <c r="Q14">
        <v>6</v>
      </c>
      <c r="R14">
        <v>0</v>
      </c>
      <c r="S14">
        <v>6</v>
      </c>
      <c r="T14" t="s">
        <v>1506</v>
      </c>
      <c r="U14" t="s">
        <v>2903</v>
      </c>
      <c r="V14" t="s">
        <v>1233</v>
      </c>
      <c r="W14" s="127" t="s">
        <v>2904</v>
      </c>
      <c r="X14" s="135">
        <v>60</v>
      </c>
      <c r="Y14">
        <v>61</v>
      </c>
      <c r="Z14">
        <v>61</v>
      </c>
      <c r="AA14" s="135">
        <v>43335.882638888892</v>
      </c>
      <c r="AB14">
        <v>1748385</v>
      </c>
      <c r="AC14">
        <v>103947</v>
      </c>
      <c r="AD14" s="127"/>
      <c r="AW14" s="127"/>
      <c r="BD14" s="127"/>
      <c r="BW14" s="127"/>
      <c r="CD14" s="127"/>
      <c r="CW14" s="127"/>
      <c r="DD14" s="127"/>
      <c r="DW14" s="127"/>
      <c r="ED14" s="127"/>
      <c r="EW14" s="127"/>
      <c r="FD14" s="127"/>
      <c r="FW14" s="127"/>
      <c r="GD14" s="127"/>
      <c r="GW14" s="127"/>
      <c r="HD14" s="127"/>
      <c r="HW14" s="127"/>
      <c r="ID14" s="127"/>
      <c r="IW14" s="127"/>
      <c r="JD14" s="127"/>
      <c r="JW14" s="127"/>
      <c r="KD14" s="127"/>
      <c r="KW14" s="127"/>
      <c r="LD14" s="127"/>
      <c r="LW14" s="127"/>
      <c r="MD14" s="127"/>
      <c r="MW14" s="127"/>
      <c r="ND14" s="127"/>
      <c r="NW14" s="127"/>
      <c r="OD14" s="127"/>
      <c r="OW14" s="127"/>
      <c r="PD14" s="127"/>
      <c r="PW14" s="127"/>
      <c r="QD14" s="127"/>
      <c r="QW14" s="127"/>
      <c r="RD14" s="127"/>
      <c r="RW14" s="127"/>
      <c r="SD14" s="127"/>
      <c r="SW14" s="127"/>
      <c r="TD14" s="127"/>
      <c r="TW14" s="127"/>
      <c r="UD14" s="127"/>
      <c r="UW14" s="127"/>
      <c r="VD14" s="127"/>
      <c r="VW14" s="127"/>
      <c r="WD14" s="127"/>
      <c r="WW14" s="127"/>
      <c r="XD14" s="127"/>
      <c r="XW14" s="127"/>
      <c r="YD14" s="127"/>
      <c r="YW14" s="127"/>
      <c r="ZD14" s="127"/>
      <c r="ZW14" s="127"/>
      <c r="AAD14" s="127"/>
      <c r="AAW14" s="127"/>
      <c r="ABD14" s="127"/>
      <c r="ABW14" s="127"/>
      <c r="ACD14" s="127"/>
      <c r="ACW14" s="127"/>
      <c r="ADD14" s="127"/>
      <c r="ADW14" s="127"/>
    </row>
    <row r="15" spans="1:1020 1029:1232" x14ac:dyDescent="0.25">
      <c r="A15" t="s">
        <v>2905</v>
      </c>
      <c r="B15" t="s">
        <v>2906</v>
      </c>
      <c r="C15" t="s">
        <v>1231</v>
      </c>
      <c r="D15" s="127">
        <v>23766</v>
      </c>
      <c r="E15" t="s">
        <v>12</v>
      </c>
      <c r="F15" t="s">
        <v>2907</v>
      </c>
      <c r="H15" t="s">
        <v>1521</v>
      </c>
      <c r="J15" t="s">
        <v>2908</v>
      </c>
      <c r="L15" t="s">
        <v>1232</v>
      </c>
      <c r="M15" t="s">
        <v>2909</v>
      </c>
      <c r="N15" t="s">
        <v>2910</v>
      </c>
      <c r="O15" t="s">
        <v>2911</v>
      </c>
      <c r="P15" t="s">
        <v>2912</v>
      </c>
      <c r="Q15">
        <v>6</v>
      </c>
      <c r="R15">
        <v>0</v>
      </c>
      <c r="S15">
        <v>6</v>
      </c>
      <c r="T15" t="s">
        <v>1506</v>
      </c>
      <c r="U15" t="s">
        <v>2913</v>
      </c>
      <c r="V15" t="s">
        <v>1233</v>
      </c>
      <c r="W15" s="127" t="s">
        <v>2807</v>
      </c>
      <c r="X15" s="135">
        <v>52</v>
      </c>
      <c r="Y15">
        <v>53</v>
      </c>
      <c r="Z15">
        <v>53</v>
      </c>
      <c r="AA15" s="135">
        <v>43335.905555555553</v>
      </c>
      <c r="AB15">
        <v>1748420</v>
      </c>
      <c r="AC15">
        <v>103947</v>
      </c>
      <c r="AD15" s="127"/>
      <c r="AW15" s="127"/>
      <c r="BD15" s="127"/>
      <c r="BW15" s="127"/>
      <c r="CD15" s="127"/>
      <c r="CW15" s="127"/>
      <c r="DD15" s="127"/>
      <c r="DW15" s="127"/>
      <c r="ED15" s="127"/>
      <c r="EW15" s="127"/>
      <c r="FD15" s="127"/>
      <c r="FW15" s="127"/>
      <c r="GD15" s="127"/>
      <c r="GW15" s="127"/>
      <c r="HD15" s="127"/>
      <c r="HW15" s="127"/>
      <c r="ID15" s="127"/>
      <c r="IW15" s="127"/>
      <c r="JD15" s="127"/>
      <c r="JW15" s="127"/>
      <c r="KD15" s="127"/>
      <c r="KW15" s="127"/>
      <c r="LD15" s="127"/>
      <c r="LW15" s="127"/>
      <c r="MD15" s="127"/>
      <c r="MW15" s="127"/>
      <c r="ND15" s="127"/>
      <c r="NW15" s="127"/>
      <c r="OD15" s="127"/>
      <c r="OW15" s="127"/>
      <c r="PD15" s="127"/>
      <c r="PW15" s="127"/>
      <c r="QD15" s="127"/>
      <c r="QW15" s="127"/>
      <c r="RD15" s="127"/>
      <c r="RW15" s="127"/>
      <c r="SD15" s="127"/>
      <c r="SW15" s="127"/>
      <c r="TD15" s="127"/>
      <c r="TW15" s="127"/>
      <c r="UD15" s="127"/>
      <c r="UW15" s="127"/>
      <c r="VD15" s="127"/>
      <c r="VW15" s="127"/>
      <c r="WD15" s="127"/>
      <c r="WW15" s="127"/>
      <c r="XD15" s="127"/>
      <c r="XW15" s="127"/>
      <c r="YD15" s="127"/>
      <c r="YW15" s="127"/>
      <c r="ZD15" s="127"/>
      <c r="ZW15" s="127"/>
      <c r="AAD15" s="127"/>
      <c r="AAW15" s="127"/>
      <c r="ABD15" s="127"/>
      <c r="ABW15" s="127"/>
      <c r="ACD15" s="127"/>
      <c r="ACW15" s="127"/>
      <c r="ADD15" s="127"/>
      <c r="ADW15" s="127"/>
    </row>
    <row r="16" spans="1:1020 1029:1232" x14ac:dyDescent="0.25">
      <c r="A16" t="s">
        <v>2914</v>
      </c>
      <c r="B16" t="s">
        <v>2915</v>
      </c>
      <c r="C16" t="s">
        <v>1231</v>
      </c>
      <c r="D16" s="127">
        <v>34024</v>
      </c>
      <c r="E16" t="s">
        <v>12</v>
      </c>
      <c r="F16" t="s">
        <v>2916</v>
      </c>
      <c r="H16" t="s">
        <v>2917</v>
      </c>
      <c r="I16" t="s">
        <v>2776</v>
      </c>
      <c r="J16" t="s">
        <v>2918</v>
      </c>
      <c r="L16" t="s">
        <v>1232</v>
      </c>
      <c r="M16" t="s">
        <v>2919</v>
      </c>
      <c r="N16" t="s">
        <v>2920</v>
      </c>
      <c r="O16" t="s">
        <v>2921</v>
      </c>
      <c r="P16" t="s">
        <v>2922</v>
      </c>
      <c r="Q16">
        <v>6</v>
      </c>
      <c r="R16">
        <v>0</v>
      </c>
      <c r="S16">
        <v>6</v>
      </c>
      <c r="T16" t="s">
        <v>1506</v>
      </c>
      <c r="U16" t="s">
        <v>2923</v>
      </c>
      <c r="V16" t="s">
        <v>1233</v>
      </c>
      <c r="W16" s="127" t="s">
        <v>2924</v>
      </c>
      <c r="X16" s="135">
        <v>24</v>
      </c>
      <c r="Y16">
        <v>25</v>
      </c>
      <c r="Z16">
        <v>25</v>
      </c>
      <c r="AA16" s="135">
        <v>43335.915972222225</v>
      </c>
      <c r="AB16">
        <v>1748441</v>
      </c>
      <c r="AC16">
        <v>103947</v>
      </c>
      <c r="AD16" s="127"/>
      <c r="AW16" s="127"/>
      <c r="BD16" s="127"/>
      <c r="BW16" s="127"/>
      <c r="CD16" s="127"/>
      <c r="CW16" s="127"/>
      <c r="DD16" s="127"/>
      <c r="DW16" s="127"/>
      <c r="ED16" s="127"/>
      <c r="EW16" s="127"/>
      <c r="FD16" s="127"/>
      <c r="FW16" s="127"/>
      <c r="GD16" s="127"/>
      <c r="GW16" s="127"/>
      <c r="HD16" s="127"/>
      <c r="HW16" s="127"/>
      <c r="ID16" s="127"/>
      <c r="IW16" s="127"/>
      <c r="JD16" s="127"/>
      <c r="JW16" s="127"/>
      <c r="KD16" s="127"/>
      <c r="KW16" s="127"/>
      <c r="LD16" s="127"/>
      <c r="LW16" s="127"/>
      <c r="MD16" s="127"/>
      <c r="MW16" s="127"/>
      <c r="ND16" s="127"/>
      <c r="NW16" s="127"/>
      <c r="OD16" s="127"/>
      <c r="OW16" s="127"/>
      <c r="PD16" s="127"/>
      <c r="PW16" s="127"/>
      <c r="QD16" s="127"/>
      <c r="QW16" s="127"/>
      <c r="RD16" s="127"/>
      <c r="RW16" s="127"/>
      <c r="SD16" s="127"/>
      <c r="SW16" s="127"/>
      <c r="TD16" s="127"/>
      <c r="TW16" s="127"/>
      <c r="UD16" s="127"/>
      <c r="UW16" s="127"/>
      <c r="VD16" s="127"/>
      <c r="VW16" s="127"/>
      <c r="WD16" s="127"/>
      <c r="WW16" s="127"/>
      <c r="XD16" s="127"/>
      <c r="XW16" s="127"/>
      <c r="YD16" s="127"/>
      <c r="YW16" s="127"/>
      <c r="ZD16" s="127"/>
      <c r="ZW16" s="127"/>
      <c r="AAD16" s="127"/>
      <c r="AAW16" s="127"/>
      <c r="ABD16" s="127"/>
      <c r="ABW16" s="127"/>
      <c r="ACD16" s="127"/>
      <c r="ACW16" s="127"/>
      <c r="ADD16" s="127"/>
      <c r="ADW16" s="127"/>
    </row>
    <row r="17" spans="4:751" x14ac:dyDescent="0.25">
      <c r="D17" s="127"/>
      <c r="W17" s="127"/>
      <c r="X17" s="135"/>
      <c r="AA17" s="135"/>
      <c r="AD17" s="127"/>
      <c r="AW17" s="127"/>
      <c r="BD17" s="127"/>
      <c r="BW17" s="127"/>
      <c r="CD17" s="127"/>
      <c r="CW17" s="127"/>
      <c r="DD17" s="127"/>
      <c r="DW17" s="127"/>
      <c r="ED17" s="127"/>
      <c r="EW17" s="127"/>
      <c r="FD17" s="127"/>
      <c r="FW17" s="127"/>
      <c r="GD17" s="127"/>
      <c r="GW17" s="127"/>
      <c r="HD17" s="127"/>
      <c r="HW17" s="127"/>
      <c r="ID17" s="127"/>
      <c r="IW17" s="127"/>
      <c r="JD17" s="127"/>
      <c r="JW17" s="127"/>
      <c r="KD17" s="127"/>
      <c r="KW17" s="127"/>
      <c r="LD17" s="127"/>
      <c r="LW17" s="127"/>
      <c r="MD17" s="127"/>
      <c r="MW17" s="127"/>
      <c r="ND17" s="127"/>
      <c r="NW17" s="127"/>
      <c r="OD17" s="127"/>
      <c r="OW17" s="127"/>
      <c r="PD17" s="127"/>
      <c r="PW17" s="127"/>
      <c r="QD17" s="127"/>
      <c r="QW17" s="127"/>
      <c r="RD17" s="127"/>
      <c r="RW17" s="127"/>
      <c r="SD17" s="127"/>
      <c r="SW17" s="127"/>
      <c r="TD17" s="127"/>
      <c r="TW17" s="127"/>
      <c r="UD17" s="127"/>
      <c r="UW17" s="127"/>
      <c r="VD17" s="127"/>
      <c r="VW17" s="127"/>
      <c r="WD17" s="127"/>
      <c r="WW17" s="127"/>
      <c r="XD17" s="127"/>
      <c r="XW17" s="127"/>
      <c r="YD17" s="127"/>
      <c r="YW17" s="127"/>
      <c r="ZD17" s="127"/>
      <c r="ZW17" s="127"/>
      <c r="AAD17" s="127"/>
      <c r="AAW17" s="127"/>
      <c r="ABD17" s="127"/>
      <c r="ABW17" s="127"/>
    </row>
    <row r="18" spans="4:751" x14ac:dyDescent="0.25">
      <c r="D18" s="127"/>
      <c r="W18" s="127"/>
      <c r="X18" s="135"/>
      <c r="AA18" s="135"/>
    </row>
    <row r="19" spans="4:751" x14ac:dyDescent="0.25">
      <c r="D19" s="127"/>
      <c r="W19" s="127"/>
      <c r="X19" s="135"/>
      <c r="AA19" s="135"/>
    </row>
    <row r="20" spans="4:751" x14ac:dyDescent="0.25">
      <c r="D20" s="127"/>
      <c r="W20" s="127"/>
      <c r="X20" s="135"/>
      <c r="AA20" s="135"/>
    </row>
    <row r="21" spans="4:751" x14ac:dyDescent="0.25">
      <c r="D21" s="127"/>
      <c r="W21" s="127"/>
      <c r="X21" s="135"/>
      <c r="AA21" s="135"/>
    </row>
    <row r="22" spans="4:751" x14ac:dyDescent="0.25">
      <c r="D22" s="127"/>
      <c r="W22" s="127"/>
      <c r="X22" s="135"/>
      <c r="AA22" s="135"/>
    </row>
    <row r="23" spans="4:751" x14ac:dyDescent="0.25">
      <c r="D23" s="127"/>
      <c r="W23" s="127"/>
      <c r="X23" s="135"/>
      <c r="AA23" s="135"/>
    </row>
    <row r="24" spans="4:751" x14ac:dyDescent="0.25">
      <c r="D24" s="127"/>
      <c r="W24" s="127"/>
      <c r="X24" s="135"/>
      <c r="AA24" s="135"/>
    </row>
    <row r="25" spans="4:751" x14ac:dyDescent="0.25">
      <c r="D25" s="127"/>
      <c r="W25" s="127"/>
      <c r="X25" s="135"/>
      <c r="AA25" s="135"/>
    </row>
    <row r="26" spans="4:751" x14ac:dyDescent="0.25">
      <c r="D26" s="127"/>
      <c r="W26" s="127"/>
      <c r="X26" s="135"/>
      <c r="AA26" s="135"/>
    </row>
    <row r="27" spans="4:751" x14ac:dyDescent="0.25">
      <c r="D27" s="127"/>
      <c r="W27" s="127"/>
      <c r="X27" s="135"/>
      <c r="AA27" s="135"/>
    </row>
    <row r="28" spans="4:751" x14ac:dyDescent="0.25">
      <c r="D28" s="127"/>
      <c r="W28" s="127"/>
      <c r="X28" s="135"/>
      <c r="AA28" s="135"/>
    </row>
    <row r="29" spans="4:751" x14ac:dyDescent="0.25">
      <c r="D29" s="127"/>
      <c r="W29" s="127"/>
      <c r="X29" s="135"/>
      <c r="AA29" s="135"/>
    </row>
    <row r="30" spans="4:751" x14ac:dyDescent="0.25">
      <c r="D30" s="127"/>
      <c r="W30" s="127"/>
      <c r="X30" s="135"/>
      <c r="AA30" s="135"/>
    </row>
    <row r="31" spans="4:751" x14ac:dyDescent="0.25">
      <c r="D31" s="127"/>
      <c r="W31" s="127"/>
      <c r="X31" s="135"/>
      <c r="AA31" s="135"/>
    </row>
    <row r="32" spans="4:751" x14ac:dyDescent="0.25">
      <c r="D32" s="127"/>
      <c r="W32" s="127"/>
      <c r="X32" s="135"/>
      <c r="AA32" s="135"/>
    </row>
    <row r="33" spans="4:27" x14ac:dyDescent="0.25">
      <c r="D33" s="127"/>
      <c r="W33" s="127"/>
      <c r="X33" s="135"/>
      <c r="AA33" s="135"/>
    </row>
    <row r="34" spans="4:27" x14ac:dyDescent="0.25">
      <c r="D34" s="127"/>
      <c r="W34" s="127"/>
      <c r="X34" s="135"/>
      <c r="AA34" s="135"/>
    </row>
    <row r="35" spans="4:27" x14ac:dyDescent="0.25">
      <c r="D35" s="127"/>
      <c r="W35" s="127"/>
      <c r="X35" s="135"/>
      <c r="AA35" s="135"/>
    </row>
    <row r="36" spans="4:27" x14ac:dyDescent="0.25">
      <c r="D36" s="127"/>
      <c r="W36" s="127"/>
      <c r="X36" s="135"/>
      <c r="AA36" s="135"/>
    </row>
    <row r="37" spans="4:27" x14ac:dyDescent="0.25">
      <c r="D37" s="127"/>
      <c r="W37" s="127"/>
      <c r="X37" s="135"/>
      <c r="AA37" s="135"/>
    </row>
    <row r="38" spans="4:27" x14ac:dyDescent="0.25">
      <c r="D38" s="127"/>
      <c r="W38" s="127"/>
      <c r="X38" s="135"/>
      <c r="AA38" s="135"/>
    </row>
    <row r="39" spans="4:27" x14ac:dyDescent="0.25">
      <c r="D39" s="127"/>
      <c r="W39" s="127"/>
      <c r="X39" s="135"/>
      <c r="AA39" s="135"/>
    </row>
    <row r="40" spans="4:27" x14ac:dyDescent="0.25">
      <c r="D40" s="127"/>
      <c r="W40" s="127"/>
      <c r="X40" s="135"/>
      <c r="AA40" s="135"/>
    </row>
    <row r="41" spans="4:27" x14ac:dyDescent="0.25">
      <c r="D41" s="127"/>
      <c r="W41" s="127"/>
      <c r="X41" s="135"/>
      <c r="AA41" s="135"/>
    </row>
    <row r="42" spans="4:27" x14ac:dyDescent="0.25">
      <c r="D42" s="127"/>
      <c r="W42" s="127"/>
      <c r="X42" s="135"/>
      <c r="AA42" s="135"/>
    </row>
    <row r="43" spans="4:27" x14ac:dyDescent="0.25">
      <c r="D43" s="127"/>
      <c r="W43" s="127"/>
      <c r="X43" s="135"/>
      <c r="AA43" s="135"/>
    </row>
    <row r="44" spans="4:27" x14ac:dyDescent="0.25">
      <c r="D44" s="127"/>
      <c r="W44" s="127"/>
      <c r="X44" s="135"/>
      <c r="AA44" s="135"/>
    </row>
    <row r="45" spans="4:27" x14ac:dyDescent="0.25">
      <c r="D45" s="127"/>
      <c r="W45" s="127"/>
      <c r="X45" s="135"/>
      <c r="AA45" s="135"/>
    </row>
    <row r="46" spans="4:27" x14ac:dyDescent="0.25">
      <c r="D46" s="127"/>
      <c r="W46" s="127"/>
      <c r="X46" s="135"/>
      <c r="AA46" s="135"/>
    </row>
    <row r="47" spans="4:27" x14ac:dyDescent="0.25">
      <c r="D47" s="127"/>
      <c r="W47" s="127"/>
      <c r="X47" s="135"/>
      <c r="AA47" s="135"/>
    </row>
    <row r="48" spans="4:27" x14ac:dyDescent="0.25">
      <c r="D48" s="127"/>
      <c r="W48" s="127"/>
      <c r="X48" s="135"/>
      <c r="AA48" s="135"/>
    </row>
    <row r="49" spans="4:27" x14ac:dyDescent="0.25">
      <c r="D49" s="127"/>
      <c r="W49" s="135"/>
      <c r="X49" s="135"/>
      <c r="AA49" s="135"/>
    </row>
    <row r="50" spans="4:27" x14ac:dyDescent="0.25">
      <c r="D50" s="127"/>
      <c r="W50" s="135"/>
      <c r="X50" s="135"/>
      <c r="AA50" s="135"/>
    </row>
    <row r="51" spans="4:27" x14ac:dyDescent="0.25">
      <c r="D51" s="127"/>
      <c r="W51" s="135"/>
      <c r="X51" s="135"/>
      <c r="AA51" s="135"/>
    </row>
    <row r="52" spans="4:27" x14ac:dyDescent="0.25">
      <c r="D52" s="127"/>
      <c r="W52" s="135"/>
      <c r="X52" s="135"/>
      <c r="AA52" s="135"/>
    </row>
    <row r="53" spans="4:27" x14ac:dyDescent="0.25">
      <c r="D53" s="127"/>
      <c r="W53" s="135"/>
      <c r="X53" s="135"/>
      <c r="AA53" s="135"/>
    </row>
    <row r="54" spans="4:27" x14ac:dyDescent="0.25">
      <c r="D54" s="127"/>
      <c r="W54" s="135"/>
      <c r="X54" s="135"/>
      <c r="AA54" s="135"/>
    </row>
    <row r="55" spans="4:27" x14ac:dyDescent="0.25">
      <c r="D55" s="127"/>
      <c r="W55" s="135"/>
      <c r="X55" s="135"/>
      <c r="AA55" s="135"/>
    </row>
    <row r="56" spans="4:27" x14ac:dyDescent="0.25">
      <c r="D56" s="127"/>
      <c r="W56" s="135"/>
      <c r="X56" s="135"/>
      <c r="AA56" s="135"/>
    </row>
    <row r="57" spans="4:27" x14ac:dyDescent="0.25">
      <c r="D57" s="127"/>
      <c r="W57" s="135"/>
      <c r="X57" s="135"/>
      <c r="AA57" s="135"/>
    </row>
    <row r="58" spans="4:27" x14ac:dyDescent="0.25">
      <c r="D58" s="127"/>
      <c r="W58" s="135"/>
      <c r="X58" s="135"/>
      <c r="AA58" s="135"/>
    </row>
    <row r="59" spans="4:27" x14ac:dyDescent="0.25">
      <c r="D59" s="127"/>
      <c r="W59" s="135"/>
      <c r="X59" s="135"/>
      <c r="AA59" s="135"/>
    </row>
    <row r="60" spans="4:27" x14ac:dyDescent="0.25">
      <c r="D60" s="127"/>
      <c r="W60" s="135"/>
      <c r="X60" s="135"/>
      <c r="AA60" s="135"/>
    </row>
    <row r="61" spans="4:27" x14ac:dyDescent="0.25">
      <c r="D61" s="127"/>
      <c r="W61" s="135"/>
      <c r="X61" s="135"/>
      <c r="AA61" s="135"/>
    </row>
    <row r="62" spans="4:27" x14ac:dyDescent="0.25">
      <c r="D62" s="127"/>
      <c r="W62" s="135"/>
      <c r="X62" s="135"/>
      <c r="AA62" s="135"/>
    </row>
    <row r="63" spans="4:27" x14ac:dyDescent="0.25">
      <c r="D63" s="127"/>
      <c r="W63" s="135"/>
      <c r="X63" s="135"/>
      <c r="AA63" s="135"/>
    </row>
    <row r="64" spans="4:27" x14ac:dyDescent="0.25">
      <c r="D64" s="127"/>
      <c r="W64" s="135"/>
      <c r="X64" s="135"/>
      <c r="AA64" s="135"/>
    </row>
    <row r="65" spans="4:27" x14ac:dyDescent="0.25">
      <c r="D65" s="127"/>
      <c r="W65" s="135"/>
      <c r="X65" s="135"/>
      <c r="AA65" s="135"/>
    </row>
    <row r="66" spans="4:27" x14ac:dyDescent="0.25">
      <c r="D66" s="127"/>
      <c r="W66" s="135"/>
      <c r="X66" s="135"/>
      <c r="AA66" s="135"/>
    </row>
    <row r="67" spans="4:27" x14ac:dyDescent="0.25">
      <c r="D67" s="127"/>
      <c r="W67" s="135"/>
      <c r="X67" s="135"/>
      <c r="AA67" s="135"/>
    </row>
    <row r="68" spans="4:27" x14ac:dyDescent="0.25">
      <c r="D68" s="127"/>
      <c r="W68" s="135"/>
      <c r="X68" s="135"/>
      <c r="AA68" s="135"/>
    </row>
    <row r="69" spans="4:27" x14ac:dyDescent="0.25">
      <c r="D69" s="127"/>
      <c r="W69" s="135"/>
      <c r="X69" s="135"/>
      <c r="AA69" s="135"/>
    </row>
    <row r="70" spans="4:27" x14ac:dyDescent="0.25">
      <c r="D70" s="127"/>
      <c r="W70" s="135"/>
      <c r="X70" s="135"/>
      <c r="AA70" s="135"/>
    </row>
    <row r="71" spans="4:27" x14ac:dyDescent="0.25">
      <c r="D71" s="127"/>
      <c r="W71" s="135"/>
      <c r="X71" s="135"/>
      <c r="AA71" s="135"/>
    </row>
    <row r="72" spans="4:27" x14ac:dyDescent="0.25">
      <c r="D72" s="127"/>
      <c r="W72" s="135"/>
      <c r="X72" s="135"/>
      <c r="AA72" s="135"/>
    </row>
    <row r="73" spans="4:27" x14ac:dyDescent="0.25">
      <c r="D73" s="127"/>
      <c r="W73" s="135"/>
      <c r="X73" s="135"/>
      <c r="AA73" s="135"/>
    </row>
    <row r="74" spans="4:27" x14ac:dyDescent="0.25">
      <c r="D74" s="127"/>
      <c r="W74" s="135"/>
      <c r="X74" s="135"/>
      <c r="AA74" s="135"/>
    </row>
    <row r="75" spans="4:27" x14ac:dyDescent="0.25">
      <c r="D75" s="127"/>
      <c r="W75" s="135"/>
      <c r="X75" s="135"/>
      <c r="AA75" s="135"/>
    </row>
    <row r="76" spans="4:27" x14ac:dyDescent="0.25">
      <c r="D76" s="127"/>
      <c r="W76" s="135"/>
      <c r="X76" s="135"/>
      <c r="AA76" s="135"/>
    </row>
    <row r="77" spans="4:27" x14ac:dyDescent="0.25">
      <c r="D77" s="127"/>
      <c r="W77" s="135"/>
      <c r="X77" s="135"/>
      <c r="AA77" s="135"/>
    </row>
    <row r="78" spans="4:27" x14ac:dyDescent="0.25">
      <c r="D78" s="127"/>
      <c r="W78" s="135"/>
      <c r="X78" s="135"/>
      <c r="AA78" s="135"/>
    </row>
    <row r="79" spans="4:27" x14ac:dyDescent="0.25">
      <c r="D79" s="127"/>
      <c r="W79" s="135"/>
      <c r="X79" s="135"/>
      <c r="AA79" s="135"/>
    </row>
    <row r="80" spans="4:27" x14ac:dyDescent="0.25">
      <c r="D80" s="127"/>
      <c r="W80" s="135"/>
      <c r="X80" s="135"/>
      <c r="AA80" s="135"/>
    </row>
    <row r="81" spans="4:27" x14ac:dyDescent="0.25">
      <c r="D81" s="127"/>
      <c r="W81" s="135"/>
      <c r="X81" s="135"/>
      <c r="AA81" s="135"/>
    </row>
    <row r="82" spans="4:27" x14ac:dyDescent="0.25">
      <c r="D82" s="127"/>
      <c r="W82" s="135"/>
      <c r="X82" s="135"/>
      <c r="AA82" s="135"/>
    </row>
    <row r="83" spans="4:27" x14ac:dyDescent="0.25">
      <c r="D83" s="127"/>
      <c r="W83" s="135"/>
      <c r="X83" s="135"/>
      <c r="AA83" s="135"/>
    </row>
    <row r="84" spans="4:27" x14ac:dyDescent="0.25">
      <c r="D84" s="127"/>
      <c r="W84" s="135"/>
      <c r="X84" s="135"/>
      <c r="AA84" s="135"/>
    </row>
    <row r="85" spans="4:27" x14ac:dyDescent="0.25">
      <c r="D85" s="127"/>
      <c r="W85" s="135"/>
      <c r="X85" s="135"/>
      <c r="AA85" s="135"/>
    </row>
    <row r="86" spans="4:27" x14ac:dyDescent="0.25">
      <c r="D86" s="127"/>
      <c r="W86" s="135"/>
      <c r="X86" s="135"/>
      <c r="AA86" s="135"/>
    </row>
    <row r="87" spans="4:27" x14ac:dyDescent="0.25">
      <c r="D87" s="127"/>
      <c r="W87" s="135"/>
      <c r="X87" s="135"/>
      <c r="AA87" s="135"/>
    </row>
    <row r="88" spans="4:27" x14ac:dyDescent="0.25">
      <c r="D88" s="127"/>
      <c r="W88" s="135"/>
      <c r="X88" s="135"/>
      <c r="AA88" s="135"/>
    </row>
    <row r="89" spans="4:27" x14ac:dyDescent="0.25">
      <c r="D89" s="127"/>
      <c r="W89" s="135"/>
      <c r="X89" s="135"/>
      <c r="AA89" s="135"/>
    </row>
    <row r="90" spans="4:27" x14ac:dyDescent="0.25">
      <c r="D90" s="127"/>
      <c r="W90" s="135"/>
      <c r="X90" s="135"/>
      <c r="AA90" s="135"/>
    </row>
    <row r="91" spans="4:27" x14ac:dyDescent="0.25">
      <c r="D91" s="127"/>
      <c r="W91" s="135"/>
      <c r="X91" s="135"/>
      <c r="AA91" s="135"/>
    </row>
    <row r="92" spans="4:27" x14ac:dyDescent="0.25">
      <c r="D92" s="127"/>
      <c r="W92" s="135"/>
      <c r="X92" s="135"/>
      <c r="AA92" s="135"/>
    </row>
    <row r="93" spans="4:27" x14ac:dyDescent="0.25">
      <c r="D93" s="127"/>
      <c r="W93" s="135"/>
      <c r="X93" s="135"/>
      <c r="AA93" s="135"/>
    </row>
    <row r="94" spans="4:27" x14ac:dyDescent="0.25">
      <c r="D94" s="127"/>
      <c r="W94" s="135"/>
      <c r="X94" s="135"/>
      <c r="AA94" s="135"/>
    </row>
    <row r="95" spans="4:27" x14ac:dyDescent="0.25">
      <c r="D95" s="127"/>
      <c r="W95" s="135"/>
      <c r="X95" s="135"/>
      <c r="AA95" s="135"/>
    </row>
    <row r="96" spans="4:27" x14ac:dyDescent="0.25">
      <c r="D96" s="127"/>
      <c r="X96" s="135"/>
      <c r="AA96" s="135"/>
    </row>
    <row r="97" spans="4:27" x14ac:dyDescent="0.25">
      <c r="D97" s="127"/>
      <c r="X97" s="135"/>
      <c r="AA97" s="135"/>
    </row>
    <row r="98" spans="4:27" x14ac:dyDescent="0.25">
      <c r="D98" s="127"/>
      <c r="X98" s="135"/>
      <c r="AA98" s="135"/>
    </row>
    <row r="99" spans="4:27" x14ac:dyDescent="0.25">
      <c r="D99" s="127"/>
      <c r="X99" s="135"/>
      <c r="AA99" s="135"/>
    </row>
    <row r="100" spans="4:27" x14ac:dyDescent="0.25">
      <c r="D100" s="127"/>
      <c r="X100" s="135"/>
      <c r="AA100" s="135"/>
    </row>
    <row r="101" spans="4:27" x14ac:dyDescent="0.25">
      <c r="D101" s="127"/>
      <c r="X101" s="135"/>
      <c r="AA101" s="135"/>
    </row>
    <row r="102" spans="4:27" x14ac:dyDescent="0.25">
      <c r="D102" s="127"/>
      <c r="X102" s="135"/>
      <c r="AA102" s="135"/>
    </row>
    <row r="103" spans="4:27" x14ac:dyDescent="0.25">
      <c r="D103" s="127"/>
      <c r="X103" s="135"/>
      <c r="AA103" s="135"/>
    </row>
    <row r="104" spans="4:27" x14ac:dyDescent="0.25">
      <c r="D104" s="127"/>
      <c r="X104" s="135"/>
      <c r="AA104" s="135"/>
    </row>
    <row r="105" spans="4:27" x14ac:dyDescent="0.25">
      <c r="D105" s="127"/>
      <c r="X105" s="135"/>
      <c r="AA105" s="135"/>
    </row>
    <row r="106" spans="4:27" x14ac:dyDescent="0.25">
      <c r="D106" s="127"/>
      <c r="X106" s="135"/>
      <c r="AA106" s="135"/>
    </row>
    <row r="107" spans="4:27" x14ac:dyDescent="0.25">
      <c r="D107" s="127"/>
      <c r="X107" s="135"/>
      <c r="AA107" s="135"/>
    </row>
    <row r="108" spans="4:27" x14ac:dyDescent="0.25">
      <c r="D108" s="127"/>
      <c r="X108" s="135"/>
      <c r="AA108" s="135"/>
    </row>
    <row r="109" spans="4:27" x14ac:dyDescent="0.25">
      <c r="D109" s="127"/>
      <c r="X109" s="135"/>
      <c r="AA109" s="135"/>
    </row>
    <row r="110" spans="4:27" x14ac:dyDescent="0.25">
      <c r="D110" s="127"/>
      <c r="X110" s="135"/>
      <c r="AA110" s="135"/>
    </row>
    <row r="111" spans="4:27" x14ac:dyDescent="0.25">
      <c r="D111" s="127"/>
      <c r="X111" s="135"/>
      <c r="AA111" s="135"/>
    </row>
    <row r="112" spans="4:27" x14ac:dyDescent="0.25">
      <c r="D112" s="127"/>
      <c r="X112" s="135"/>
      <c r="AA112" s="135"/>
    </row>
    <row r="113" spans="4:27" x14ac:dyDescent="0.25">
      <c r="D113" s="127"/>
      <c r="X113" s="135"/>
      <c r="AA113" s="135"/>
    </row>
    <row r="114" spans="4:27" x14ac:dyDescent="0.25">
      <c r="D114" s="127"/>
      <c r="X114" s="135"/>
      <c r="AA114" s="135"/>
    </row>
    <row r="115" spans="4:27" x14ac:dyDescent="0.25">
      <c r="D115" s="127"/>
      <c r="X115" s="135"/>
      <c r="AA115" s="135"/>
    </row>
    <row r="116" spans="4:27" x14ac:dyDescent="0.25">
      <c r="D116" s="127"/>
      <c r="X116" s="135"/>
      <c r="AA116" s="135"/>
    </row>
    <row r="117" spans="4:27" x14ac:dyDescent="0.25">
      <c r="D117" s="127"/>
      <c r="X117" s="135"/>
      <c r="AA117" s="135"/>
    </row>
    <row r="118" spans="4:27" x14ac:dyDescent="0.25">
      <c r="D118" s="127"/>
      <c r="X118" s="135"/>
      <c r="AA118" s="135"/>
    </row>
    <row r="119" spans="4:27" x14ac:dyDescent="0.25">
      <c r="D119" s="127"/>
      <c r="X119" s="135"/>
      <c r="AA119" s="135"/>
    </row>
    <row r="120" spans="4:27" x14ac:dyDescent="0.25">
      <c r="D120" s="127"/>
      <c r="X120" s="135"/>
      <c r="AA120" s="135"/>
    </row>
    <row r="121" spans="4:27" x14ac:dyDescent="0.25">
      <c r="D121" s="127"/>
      <c r="X121" s="135"/>
      <c r="AA121" s="135"/>
    </row>
    <row r="122" spans="4:27" x14ac:dyDescent="0.25">
      <c r="D122" s="127"/>
      <c r="X122" s="135"/>
      <c r="AA122" s="135"/>
    </row>
    <row r="123" spans="4:27" x14ac:dyDescent="0.25">
      <c r="D123" s="127"/>
      <c r="X123" s="135"/>
      <c r="AA123" s="135"/>
    </row>
    <row r="124" spans="4:27" x14ac:dyDescent="0.25">
      <c r="D124" s="127"/>
      <c r="X124" s="135"/>
      <c r="AA124" s="135"/>
    </row>
    <row r="125" spans="4:27" x14ac:dyDescent="0.25">
      <c r="D125" s="127"/>
      <c r="X125" s="135"/>
      <c r="AA125" s="135"/>
    </row>
    <row r="126" spans="4:27" x14ac:dyDescent="0.25">
      <c r="D126" s="127"/>
      <c r="X126" s="135"/>
      <c r="AA126" s="135"/>
    </row>
    <row r="127" spans="4:27" x14ac:dyDescent="0.25">
      <c r="D127" s="127"/>
      <c r="X127" s="135"/>
      <c r="AA127" s="135"/>
    </row>
    <row r="128" spans="4:27" x14ac:dyDescent="0.25">
      <c r="D128" s="127"/>
      <c r="X128" s="135"/>
      <c r="AA128" s="135"/>
    </row>
    <row r="129" spans="4:27" x14ac:dyDescent="0.25">
      <c r="D129" s="127"/>
      <c r="X129" s="135"/>
      <c r="AA129" s="135"/>
    </row>
    <row r="130" spans="4:27" x14ac:dyDescent="0.25">
      <c r="D130" s="127"/>
      <c r="X130" s="135"/>
      <c r="AA130" s="135"/>
    </row>
    <row r="131" spans="4:27" x14ac:dyDescent="0.25">
      <c r="D131" s="127"/>
      <c r="X131" s="135"/>
      <c r="AA131" s="135"/>
    </row>
    <row r="132" spans="4:27" x14ac:dyDescent="0.25">
      <c r="D132" s="127"/>
      <c r="X132" s="135"/>
      <c r="AA132" s="135"/>
    </row>
    <row r="133" spans="4:27" x14ac:dyDescent="0.25">
      <c r="D133" s="127"/>
      <c r="X133" s="135"/>
      <c r="AA133" s="135"/>
    </row>
    <row r="134" spans="4:27" x14ac:dyDescent="0.25">
      <c r="D134" s="127"/>
      <c r="X134" s="135"/>
      <c r="AA134" s="135"/>
    </row>
    <row r="135" spans="4:27" x14ac:dyDescent="0.25">
      <c r="D135" s="127"/>
      <c r="X135" s="135"/>
      <c r="AA135" s="135"/>
    </row>
    <row r="136" spans="4:27" x14ac:dyDescent="0.25">
      <c r="D136" s="127"/>
      <c r="X136" s="135"/>
      <c r="AA136" s="135"/>
    </row>
    <row r="137" spans="4:27" x14ac:dyDescent="0.25">
      <c r="D137" s="127"/>
      <c r="X137" s="135"/>
      <c r="AA137" s="135"/>
    </row>
    <row r="138" spans="4:27" x14ac:dyDescent="0.25">
      <c r="D138" s="127"/>
      <c r="X138" s="135"/>
      <c r="AA138" s="135"/>
    </row>
    <row r="139" spans="4:27" x14ac:dyDescent="0.25">
      <c r="D139" s="127"/>
      <c r="X139" s="135"/>
      <c r="AA139" s="135"/>
    </row>
    <row r="140" spans="4:27" x14ac:dyDescent="0.25">
      <c r="D140" s="127"/>
      <c r="X140" s="135"/>
      <c r="AA140" s="135"/>
    </row>
    <row r="141" spans="4:27" x14ac:dyDescent="0.25">
      <c r="D141" s="127"/>
      <c r="X141" s="135"/>
      <c r="AA141" s="135"/>
    </row>
    <row r="142" spans="4:27" x14ac:dyDescent="0.25">
      <c r="D142" s="127"/>
      <c r="X142" s="135"/>
      <c r="AA142" s="135"/>
    </row>
    <row r="143" spans="4:27" x14ac:dyDescent="0.25">
      <c r="D143" s="127"/>
      <c r="X143" s="135"/>
      <c r="AA143" s="135"/>
    </row>
    <row r="144" spans="4:27" x14ac:dyDescent="0.25">
      <c r="D144" s="127"/>
      <c r="X144" s="135"/>
      <c r="AA144" s="135"/>
    </row>
    <row r="145" spans="4:27" x14ac:dyDescent="0.25">
      <c r="D145" s="127"/>
      <c r="X145" s="135"/>
      <c r="AA145" s="135"/>
    </row>
    <row r="146" spans="4:27" x14ac:dyDescent="0.25">
      <c r="D146" s="127"/>
      <c r="X146" s="135"/>
      <c r="AA146" s="135"/>
    </row>
    <row r="147" spans="4:27" x14ac:dyDescent="0.25">
      <c r="D147" s="127"/>
      <c r="X147" s="135"/>
      <c r="AA147" s="135"/>
    </row>
    <row r="148" spans="4:27" x14ac:dyDescent="0.25">
      <c r="D148" s="127"/>
      <c r="X148" s="135"/>
      <c r="AA148" s="135"/>
    </row>
    <row r="149" spans="4:27" x14ac:dyDescent="0.25">
      <c r="D149" s="127"/>
      <c r="X149" s="135"/>
      <c r="AA149" s="135"/>
    </row>
    <row r="150" spans="4:27" x14ac:dyDescent="0.25">
      <c r="D150" s="127"/>
      <c r="X150" s="135"/>
      <c r="AA150" s="135"/>
    </row>
    <row r="151" spans="4:27" x14ac:dyDescent="0.25">
      <c r="D151" s="127"/>
      <c r="X151" s="135"/>
      <c r="AA151" s="135"/>
    </row>
    <row r="152" spans="4:27" x14ac:dyDescent="0.25">
      <c r="D152" s="127"/>
      <c r="X152" s="135"/>
      <c r="AA152" s="135"/>
    </row>
    <row r="153" spans="4:27" x14ac:dyDescent="0.25">
      <c r="D153" s="127"/>
      <c r="X153" s="135"/>
      <c r="AA153" s="135"/>
    </row>
    <row r="154" spans="4:27" x14ac:dyDescent="0.25">
      <c r="D154" s="127"/>
      <c r="X154" s="135"/>
      <c r="AA154" s="135"/>
    </row>
    <row r="155" spans="4:27" x14ac:dyDescent="0.25">
      <c r="D155" s="127"/>
      <c r="X155" s="135"/>
      <c r="AA155" s="135"/>
    </row>
    <row r="156" spans="4:27" x14ac:dyDescent="0.25">
      <c r="D156" s="127"/>
      <c r="X156" s="135"/>
      <c r="AA156" s="135"/>
    </row>
    <row r="157" spans="4:27" x14ac:dyDescent="0.25">
      <c r="D157" s="127"/>
      <c r="X157" s="135"/>
      <c r="AA157" s="135"/>
    </row>
    <row r="158" spans="4:27" x14ac:dyDescent="0.25">
      <c r="D158" s="127"/>
      <c r="X158" s="135"/>
      <c r="AA158" s="135"/>
    </row>
    <row r="159" spans="4:27" x14ac:dyDescent="0.25">
      <c r="D159" s="127"/>
      <c r="X159" s="135"/>
      <c r="AA159" s="135"/>
    </row>
    <row r="160" spans="4:27" x14ac:dyDescent="0.25">
      <c r="D160" s="127"/>
      <c r="X160" s="135"/>
      <c r="AA160" s="135"/>
    </row>
    <row r="161" spans="4:27" x14ac:dyDescent="0.25">
      <c r="D161" s="127"/>
      <c r="X161" s="135"/>
      <c r="AA161" s="135"/>
    </row>
    <row r="162" spans="4:27" x14ac:dyDescent="0.25">
      <c r="D162" s="127"/>
      <c r="X162" s="135"/>
      <c r="AA162" s="135"/>
    </row>
    <row r="163" spans="4:27" x14ac:dyDescent="0.25">
      <c r="D163" s="127"/>
      <c r="X163" s="135"/>
      <c r="AA163" s="135"/>
    </row>
    <row r="164" spans="4:27" x14ac:dyDescent="0.25">
      <c r="D164" s="127"/>
      <c r="X164" s="135"/>
      <c r="AA164" s="135"/>
    </row>
    <row r="165" spans="4:27" x14ac:dyDescent="0.25">
      <c r="D165" s="127"/>
      <c r="X165" s="135"/>
      <c r="AA165" s="135"/>
    </row>
    <row r="166" spans="4:27" x14ac:dyDescent="0.25">
      <c r="D166" s="127"/>
      <c r="X166" s="135"/>
      <c r="AA166" s="135"/>
    </row>
    <row r="167" spans="4:27" x14ac:dyDescent="0.25">
      <c r="D167" s="127"/>
      <c r="X167" s="135"/>
      <c r="AA167" s="135"/>
    </row>
    <row r="168" spans="4:27" x14ac:dyDescent="0.25">
      <c r="D168" s="127"/>
      <c r="X168" s="135"/>
      <c r="AA168" s="135"/>
    </row>
    <row r="169" spans="4:27" x14ac:dyDescent="0.25">
      <c r="D169" s="127"/>
      <c r="X169" s="135"/>
      <c r="AA169" s="135"/>
    </row>
    <row r="170" spans="4:27" x14ac:dyDescent="0.25">
      <c r="D170" s="127"/>
      <c r="X170" s="135"/>
      <c r="AA170" s="135"/>
    </row>
    <row r="171" spans="4:27" x14ac:dyDescent="0.25">
      <c r="D171" s="127"/>
      <c r="X171" s="135"/>
      <c r="AA171" s="135"/>
    </row>
    <row r="172" spans="4:27" x14ac:dyDescent="0.25">
      <c r="D172" s="127"/>
      <c r="X172" s="135"/>
      <c r="AA172" s="135"/>
    </row>
    <row r="173" spans="4:27" x14ac:dyDescent="0.25">
      <c r="D173" s="127"/>
      <c r="X173" s="135"/>
      <c r="AA173" s="135"/>
    </row>
    <row r="174" spans="4:27" x14ac:dyDescent="0.25">
      <c r="D174" s="127"/>
      <c r="X174" s="135"/>
      <c r="AA174" s="135"/>
    </row>
    <row r="175" spans="4:27" x14ac:dyDescent="0.25">
      <c r="D175" s="127"/>
      <c r="X175" s="135"/>
      <c r="AA175" s="135"/>
    </row>
    <row r="176" spans="4:27" x14ac:dyDescent="0.25">
      <c r="D176" s="127"/>
      <c r="X176" s="135"/>
      <c r="AA176" s="135"/>
    </row>
    <row r="177" spans="4:27" x14ac:dyDescent="0.25">
      <c r="D177" s="127"/>
      <c r="X177" s="135"/>
      <c r="AA177" s="135"/>
    </row>
    <row r="178" spans="4:27" x14ac:dyDescent="0.25">
      <c r="D178" s="127"/>
      <c r="X178" s="135"/>
      <c r="AA178" s="135"/>
    </row>
    <row r="179" spans="4:27" x14ac:dyDescent="0.25">
      <c r="D179" s="127"/>
      <c r="X179" s="135"/>
      <c r="AA179" s="135"/>
    </row>
    <row r="180" spans="4:27" x14ac:dyDescent="0.25">
      <c r="D180" s="127"/>
      <c r="X180" s="135"/>
      <c r="AA180" s="135"/>
    </row>
    <row r="181" spans="4:27" x14ac:dyDescent="0.25">
      <c r="D181" s="127"/>
      <c r="X181" s="135"/>
      <c r="AA181" s="135"/>
    </row>
    <row r="182" spans="4:27" x14ac:dyDescent="0.25">
      <c r="D182" s="127"/>
      <c r="X182" s="135"/>
      <c r="AA182" s="135"/>
    </row>
    <row r="183" spans="4:27" x14ac:dyDescent="0.25">
      <c r="D183" s="127"/>
      <c r="X183" s="135"/>
      <c r="AA183" s="135"/>
    </row>
    <row r="184" spans="4:27" x14ac:dyDescent="0.25">
      <c r="D184" s="127"/>
      <c r="X184" s="135"/>
      <c r="AA184" s="135"/>
    </row>
    <row r="185" spans="4:27" x14ac:dyDescent="0.25">
      <c r="D185" s="127"/>
      <c r="X185" s="135"/>
      <c r="AA185" s="135"/>
    </row>
    <row r="186" spans="4:27" x14ac:dyDescent="0.25">
      <c r="D186" s="127"/>
      <c r="X186" s="135"/>
      <c r="AA186" s="135"/>
    </row>
    <row r="187" spans="4:27" x14ac:dyDescent="0.25">
      <c r="D187" s="127"/>
      <c r="X187" s="135"/>
      <c r="AA187" s="135"/>
    </row>
    <row r="188" spans="4:27" x14ac:dyDescent="0.25">
      <c r="D188" s="127"/>
      <c r="X188" s="135"/>
      <c r="AA188" s="135"/>
    </row>
    <row r="189" spans="4:27" x14ac:dyDescent="0.25">
      <c r="D189" s="127"/>
      <c r="X189" s="135"/>
      <c r="AA189" s="135"/>
    </row>
    <row r="190" spans="4:27" x14ac:dyDescent="0.25">
      <c r="D190" s="127"/>
      <c r="X190" s="135"/>
      <c r="AA190" s="135"/>
    </row>
    <row r="191" spans="4:27" x14ac:dyDescent="0.25">
      <c r="D191" s="127"/>
      <c r="X191" s="135"/>
      <c r="AA191" s="135"/>
    </row>
    <row r="192" spans="4:27" x14ac:dyDescent="0.25">
      <c r="D192" s="127"/>
      <c r="X192" s="135"/>
      <c r="AA192" s="135"/>
    </row>
    <row r="193" spans="4:27" x14ac:dyDescent="0.25">
      <c r="D193" s="127"/>
      <c r="X193" s="135"/>
      <c r="AA193" s="135"/>
    </row>
    <row r="194" spans="4:27" x14ac:dyDescent="0.25">
      <c r="D194" s="127"/>
      <c r="X194" s="135"/>
      <c r="AA194" s="135"/>
    </row>
    <row r="195" spans="4:27" x14ac:dyDescent="0.25">
      <c r="D195" s="127"/>
      <c r="X195" s="135"/>
      <c r="AA195" s="135"/>
    </row>
    <row r="196" spans="4:27" x14ac:dyDescent="0.25">
      <c r="D196" s="127"/>
      <c r="X196" s="135"/>
      <c r="AA196" s="135"/>
    </row>
    <row r="197" spans="4:27" x14ac:dyDescent="0.25">
      <c r="D197" s="127"/>
      <c r="X197" s="135"/>
      <c r="AA197" s="135"/>
    </row>
    <row r="198" spans="4:27" x14ac:dyDescent="0.25">
      <c r="D198" s="127"/>
      <c r="X198" s="135"/>
      <c r="AA198" s="135"/>
    </row>
    <row r="199" spans="4:27" x14ac:dyDescent="0.25">
      <c r="D199" s="127"/>
      <c r="X199" s="135"/>
      <c r="AA199" s="135"/>
    </row>
    <row r="200" spans="4:27" x14ac:dyDescent="0.25">
      <c r="D200" s="127"/>
      <c r="X200" s="135"/>
      <c r="AA200" s="135"/>
    </row>
    <row r="201" spans="4:27" x14ac:dyDescent="0.25">
      <c r="D201" s="127"/>
      <c r="X201" s="135"/>
      <c r="AA201" s="135"/>
    </row>
    <row r="202" spans="4:27" x14ac:dyDescent="0.25">
      <c r="D202" s="127"/>
      <c r="X202" s="135"/>
      <c r="AA202" s="135"/>
    </row>
    <row r="203" spans="4:27" x14ac:dyDescent="0.25">
      <c r="D203" s="127"/>
      <c r="X203" s="135"/>
      <c r="AA203" s="135"/>
    </row>
    <row r="204" spans="4:27" x14ac:dyDescent="0.25">
      <c r="D204" s="127"/>
      <c r="X204" s="135"/>
      <c r="AA204" s="135"/>
    </row>
    <row r="205" spans="4:27" x14ac:dyDescent="0.25">
      <c r="D205" s="127"/>
      <c r="X205" s="135"/>
      <c r="AA205" s="135"/>
    </row>
    <row r="206" spans="4:27" x14ac:dyDescent="0.25">
      <c r="D206" s="127"/>
      <c r="X206" s="135"/>
      <c r="AA206" s="135"/>
    </row>
    <row r="207" spans="4:27" x14ac:dyDescent="0.25">
      <c r="D207" s="127"/>
      <c r="X207" s="135"/>
      <c r="AA207" s="135"/>
    </row>
    <row r="208" spans="4:27" x14ac:dyDescent="0.25">
      <c r="D208" s="127"/>
      <c r="X208" s="135"/>
      <c r="AA208" s="135"/>
    </row>
    <row r="209" spans="4:27" x14ac:dyDescent="0.25">
      <c r="D209" s="127"/>
      <c r="X209" s="135"/>
      <c r="AA209" s="135"/>
    </row>
    <row r="210" spans="4:27" x14ac:dyDescent="0.25">
      <c r="D210" s="127"/>
      <c r="X210" s="135"/>
      <c r="AA210" s="135"/>
    </row>
    <row r="211" spans="4:27" x14ac:dyDescent="0.25">
      <c r="D211" s="127"/>
      <c r="X211" s="135"/>
      <c r="AA211" s="135"/>
    </row>
    <row r="212" spans="4:27" x14ac:dyDescent="0.25">
      <c r="D212" s="127"/>
      <c r="X212" s="135"/>
      <c r="AA212" s="135"/>
    </row>
    <row r="213" spans="4:27" x14ac:dyDescent="0.25">
      <c r="D213" s="127"/>
      <c r="X213" s="135"/>
      <c r="AA213" s="135"/>
    </row>
    <row r="214" spans="4:27" x14ac:dyDescent="0.25">
      <c r="D214" s="127"/>
      <c r="X214" s="135"/>
      <c r="AA214" s="135"/>
    </row>
    <row r="215" spans="4:27" x14ac:dyDescent="0.25">
      <c r="D215" s="127"/>
      <c r="X215" s="135"/>
      <c r="AA215" s="135"/>
    </row>
    <row r="216" spans="4:27" x14ac:dyDescent="0.25">
      <c r="D216" s="127"/>
      <c r="X216" s="135"/>
      <c r="AA216" s="135"/>
    </row>
    <row r="217" spans="4:27" x14ac:dyDescent="0.25">
      <c r="D217" s="127"/>
      <c r="X217" s="135"/>
      <c r="AA217" s="135"/>
    </row>
    <row r="218" spans="4:27" x14ac:dyDescent="0.25">
      <c r="D218" s="127"/>
      <c r="X218" s="135"/>
      <c r="AA218" s="135"/>
    </row>
    <row r="219" spans="4:27" x14ac:dyDescent="0.25">
      <c r="D219" s="127"/>
      <c r="X219" s="135"/>
      <c r="AA219" s="135"/>
    </row>
    <row r="220" spans="4:27" x14ac:dyDescent="0.25">
      <c r="D220" s="127"/>
      <c r="X220" s="135"/>
      <c r="AA220" s="135"/>
    </row>
    <row r="221" spans="4:27" x14ac:dyDescent="0.25">
      <c r="D221" s="127"/>
      <c r="X221" s="135"/>
      <c r="AA221" s="135"/>
    </row>
    <row r="222" spans="4:27" x14ac:dyDescent="0.25">
      <c r="D222" s="127"/>
      <c r="X222" s="135"/>
      <c r="AA222" s="135"/>
    </row>
    <row r="223" spans="4:27" x14ac:dyDescent="0.25">
      <c r="D223" s="127"/>
      <c r="X223" s="135"/>
      <c r="AA223" s="135"/>
    </row>
    <row r="224" spans="4:27" x14ac:dyDescent="0.25">
      <c r="D224" s="127"/>
      <c r="X224" s="135"/>
      <c r="AA224" s="135"/>
    </row>
    <row r="225" spans="4:27" x14ac:dyDescent="0.25">
      <c r="D225" s="127"/>
      <c r="X225" s="135"/>
      <c r="AA225" s="135"/>
    </row>
    <row r="226" spans="4:27" x14ac:dyDescent="0.25">
      <c r="D226" s="127"/>
      <c r="X226" s="135"/>
      <c r="AA226" s="135"/>
    </row>
    <row r="227" spans="4:27" x14ac:dyDescent="0.25">
      <c r="D227" s="127"/>
      <c r="X227" s="135"/>
      <c r="AA227" s="135"/>
    </row>
    <row r="228" spans="4:27" x14ac:dyDescent="0.25">
      <c r="D228" s="127"/>
      <c r="X228" s="135"/>
      <c r="AA228" s="135"/>
    </row>
    <row r="229" spans="4:27" x14ac:dyDescent="0.25">
      <c r="D229" s="127"/>
      <c r="X229" s="135"/>
      <c r="AA229" s="135"/>
    </row>
    <row r="230" spans="4:27" x14ac:dyDescent="0.25">
      <c r="D230" s="127"/>
      <c r="X230" s="135"/>
      <c r="AA230" s="135"/>
    </row>
    <row r="231" spans="4:27" x14ac:dyDescent="0.25">
      <c r="D231" s="127"/>
      <c r="X231" s="135"/>
      <c r="AA231" s="135"/>
    </row>
    <row r="232" spans="4:27" x14ac:dyDescent="0.25">
      <c r="D232" s="127"/>
      <c r="X232" s="135"/>
      <c r="AA232" s="135"/>
    </row>
    <row r="233" spans="4:27" x14ac:dyDescent="0.25">
      <c r="D233" s="127"/>
      <c r="X233" s="135"/>
      <c r="AA233" s="135"/>
    </row>
    <row r="234" spans="4:27" x14ac:dyDescent="0.25">
      <c r="D234" s="127"/>
      <c r="X234" s="135"/>
      <c r="AA234" s="135"/>
    </row>
    <row r="235" spans="4:27" x14ac:dyDescent="0.25">
      <c r="D235" s="127"/>
      <c r="X235" s="135"/>
      <c r="AA235" s="135"/>
    </row>
    <row r="236" spans="4:27" x14ac:dyDescent="0.25">
      <c r="D236" s="127"/>
      <c r="X236" s="135"/>
      <c r="AA236" s="135"/>
    </row>
    <row r="237" spans="4:27" x14ac:dyDescent="0.25">
      <c r="D237" s="127"/>
      <c r="X237" s="135"/>
      <c r="AA237" s="135"/>
    </row>
    <row r="238" spans="4:27" x14ac:dyDescent="0.25">
      <c r="D238" s="127"/>
      <c r="X238" s="135"/>
      <c r="AA238" s="135"/>
    </row>
    <row r="239" spans="4:27" x14ac:dyDescent="0.25">
      <c r="D239" s="127"/>
      <c r="X239" s="135"/>
      <c r="AA239" s="135"/>
    </row>
    <row r="240" spans="4:27" x14ac:dyDescent="0.25">
      <c r="D240" s="127"/>
      <c r="X240" s="135"/>
      <c r="AA240" s="135"/>
    </row>
    <row r="241" spans="4:27" x14ac:dyDescent="0.25">
      <c r="D241" s="127"/>
      <c r="X241" s="135"/>
      <c r="AA241" s="135"/>
    </row>
    <row r="242" spans="4:27" x14ac:dyDescent="0.25">
      <c r="D242" s="127"/>
      <c r="X242" s="135"/>
      <c r="AA242" s="135"/>
    </row>
    <row r="243" spans="4:27" x14ac:dyDescent="0.25">
      <c r="D243" s="127"/>
      <c r="X243" s="135"/>
      <c r="AA243" s="135"/>
    </row>
    <row r="244" spans="4:27" x14ac:dyDescent="0.25">
      <c r="D244" s="127"/>
      <c r="X244" s="135"/>
      <c r="AA244" s="135"/>
    </row>
    <row r="245" spans="4:27" x14ac:dyDescent="0.25">
      <c r="D245" s="127"/>
      <c r="X245" s="135"/>
      <c r="AA245" s="135"/>
    </row>
    <row r="246" spans="4:27" x14ac:dyDescent="0.25">
      <c r="D246" s="127"/>
      <c r="X246" s="135"/>
      <c r="AA246" s="135"/>
    </row>
    <row r="247" spans="4:27" x14ac:dyDescent="0.25">
      <c r="D247" s="127"/>
      <c r="X247" s="135"/>
      <c r="AA247" s="135"/>
    </row>
    <row r="248" spans="4:27" x14ac:dyDescent="0.25">
      <c r="D248" s="127"/>
      <c r="X248" s="135"/>
      <c r="AA248" s="135"/>
    </row>
    <row r="249" spans="4:27" x14ac:dyDescent="0.25">
      <c r="D249" s="127"/>
      <c r="X249" s="135"/>
      <c r="AA249" s="135"/>
    </row>
    <row r="250" spans="4:27" x14ac:dyDescent="0.25">
      <c r="D250" s="127"/>
      <c r="X250" s="135"/>
      <c r="AA250" s="135"/>
    </row>
    <row r="251" spans="4:27" x14ac:dyDescent="0.25">
      <c r="D251" s="127"/>
      <c r="X251" s="135"/>
      <c r="AA251" s="135"/>
    </row>
    <row r="252" spans="4:27" x14ac:dyDescent="0.25">
      <c r="D252" s="127"/>
      <c r="X252" s="135"/>
      <c r="AA252" s="135"/>
    </row>
    <row r="253" spans="4:27" x14ac:dyDescent="0.25">
      <c r="D253" s="127"/>
      <c r="X253" s="135"/>
      <c r="AA253" s="135"/>
    </row>
    <row r="254" spans="4:27" x14ac:dyDescent="0.25">
      <c r="D254" s="127"/>
      <c r="X254" s="135"/>
      <c r="AA254" s="135"/>
    </row>
    <row r="255" spans="4:27" x14ac:dyDescent="0.25">
      <c r="D255" s="127"/>
      <c r="X255" s="135"/>
      <c r="AA255" s="135"/>
    </row>
    <row r="256" spans="4:27" x14ac:dyDescent="0.25">
      <c r="D256" s="127"/>
      <c r="X256" s="135"/>
      <c r="AA256" s="135"/>
    </row>
    <row r="257" spans="4:27" x14ac:dyDescent="0.25">
      <c r="D257" s="127"/>
      <c r="X257" s="135"/>
      <c r="AA257" s="135"/>
    </row>
    <row r="258" spans="4:27" x14ac:dyDescent="0.25">
      <c r="D258" s="127"/>
      <c r="X258" s="135"/>
      <c r="AA258" s="135"/>
    </row>
    <row r="259" spans="4:27" x14ac:dyDescent="0.25">
      <c r="D259" s="127"/>
      <c r="X259" s="135"/>
      <c r="AA259" s="135"/>
    </row>
    <row r="260" spans="4:27" x14ac:dyDescent="0.25">
      <c r="D260" s="127"/>
      <c r="X260" s="135"/>
      <c r="AA260" s="135"/>
    </row>
    <row r="261" spans="4:27" x14ac:dyDescent="0.25">
      <c r="D261" s="127"/>
      <c r="X261" s="135"/>
      <c r="AA261" s="135"/>
    </row>
    <row r="262" spans="4:27" x14ac:dyDescent="0.25">
      <c r="D262" s="127"/>
      <c r="X262" s="135"/>
      <c r="AA262" s="135"/>
    </row>
    <row r="263" spans="4:27" x14ac:dyDescent="0.25">
      <c r="D263" s="127"/>
      <c r="X263" s="135"/>
      <c r="AA263" s="135"/>
    </row>
    <row r="264" spans="4:27" x14ac:dyDescent="0.25">
      <c r="D264" s="127"/>
      <c r="X264" s="135"/>
      <c r="AA264" s="135"/>
    </row>
    <row r="265" spans="4:27" x14ac:dyDescent="0.25">
      <c r="D265" s="127"/>
      <c r="X265" s="135"/>
      <c r="AA265" s="135"/>
    </row>
    <row r="266" spans="4:27" x14ac:dyDescent="0.25">
      <c r="D266" s="127"/>
      <c r="X266" s="135"/>
      <c r="AA266" s="135"/>
    </row>
    <row r="267" spans="4:27" x14ac:dyDescent="0.25">
      <c r="D267" s="127"/>
      <c r="X267" s="135"/>
      <c r="AA267" s="135"/>
    </row>
    <row r="268" spans="4:27" x14ac:dyDescent="0.25">
      <c r="D268" s="127"/>
      <c r="X268" s="135"/>
      <c r="AA268" s="135"/>
    </row>
    <row r="269" spans="4:27" x14ac:dyDescent="0.25">
      <c r="D269" s="127"/>
      <c r="X269" s="135"/>
      <c r="AA269" s="135"/>
    </row>
    <row r="270" spans="4:27" x14ac:dyDescent="0.25">
      <c r="D270" s="127"/>
      <c r="X270" s="135"/>
      <c r="AA270" s="135"/>
    </row>
    <row r="271" spans="4:27" x14ac:dyDescent="0.25">
      <c r="D271" s="127"/>
      <c r="X271" s="135"/>
      <c r="AA271" s="135"/>
    </row>
    <row r="272" spans="4:27" x14ac:dyDescent="0.25">
      <c r="D272" s="127"/>
      <c r="X272" s="135"/>
      <c r="AA272" s="135"/>
    </row>
    <row r="273" spans="4:27" x14ac:dyDescent="0.25">
      <c r="D273" s="127"/>
      <c r="X273" s="135"/>
      <c r="AA273" s="135"/>
    </row>
    <row r="274" spans="4:27" x14ac:dyDescent="0.25">
      <c r="D274" s="127"/>
      <c r="X274" s="135"/>
      <c r="AA274" s="135"/>
    </row>
    <row r="275" spans="4:27" x14ac:dyDescent="0.25">
      <c r="D275" s="127"/>
      <c r="X275" s="135"/>
      <c r="AA275" s="135"/>
    </row>
    <row r="276" spans="4:27" x14ac:dyDescent="0.25">
      <c r="D276" s="127"/>
      <c r="X276" s="135"/>
      <c r="AA276" s="135"/>
    </row>
    <row r="277" spans="4:27" x14ac:dyDescent="0.25">
      <c r="D277" s="127"/>
      <c r="X277" s="135"/>
      <c r="AA277" s="135"/>
    </row>
    <row r="278" spans="4:27" x14ac:dyDescent="0.25">
      <c r="D278" s="127"/>
      <c r="X278" s="135"/>
      <c r="AA278" s="135"/>
    </row>
    <row r="279" spans="4:27" x14ac:dyDescent="0.25">
      <c r="D279" s="127"/>
      <c r="X279" s="135"/>
      <c r="AA279" s="135"/>
    </row>
    <row r="280" spans="4:27" x14ac:dyDescent="0.25">
      <c r="D280" s="127"/>
      <c r="X280" s="135"/>
      <c r="AA280" s="135"/>
    </row>
    <row r="281" spans="4:27" x14ac:dyDescent="0.25">
      <c r="D281" s="127"/>
      <c r="X281" s="135"/>
      <c r="AA281" s="135"/>
    </row>
    <row r="282" spans="4:27" x14ac:dyDescent="0.25">
      <c r="D282" s="127"/>
      <c r="AA282" s="135"/>
    </row>
    <row r="283" spans="4:27" x14ac:dyDescent="0.25">
      <c r="D283" s="127"/>
      <c r="AA283" s="135"/>
    </row>
    <row r="284" spans="4:27" x14ac:dyDescent="0.25">
      <c r="D284" s="127"/>
      <c r="AA284" s="135"/>
    </row>
    <row r="285" spans="4:27" x14ac:dyDescent="0.25">
      <c r="D285" s="127"/>
      <c r="AA285" s="135"/>
    </row>
    <row r="286" spans="4:27" x14ac:dyDescent="0.25">
      <c r="D286" s="127"/>
      <c r="AA286" s="135"/>
    </row>
    <row r="287" spans="4:27" x14ac:dyDescent="0.25">
      <c r="D287" s="127"/>
      <c r="AA287" s="135"/>
    </row>
    <row r="288" spans="4:27" x14ac:dyDescent="0.25">
      <c r="D288" s="127"/>
      <c r="AA288" s="135"/>
    </row>
    <row r="289" spans="4:27" x14ac:dyDescent="0.25">
      <c r="D289" s="127"/>
      <c r="AA289" s="135"/>
    </row>
    <row r="290" spans="4:27" x14ac:dyDescent="0.25">
      <c r="D290" s="127"/>
      <c r="AA290" s="135"/>
    </row>
    <row r="291" spans="4:27" x14ac:dyDescent="0.25">
      <c r="D291" s="127"/>
      <c r="AA291" s="135"/>
    </row>
    <row r="292" spans="4:27" x14ac:dyDescent="0.25">
      <c r="D292" s="127"/>
      <c r="AA292" s="135"/>
    </row>
    <row r="293" spans="4:27" x14ac:dyDescent="0.25">
      <c r="D293" s="127"/>
      <c r="AA293" s="135"/>
    </row>
    <row r="294" spans="4:27" x14ac:dyDescent="0.25">
      <c r="D294" s="127"/>
      <c r="AA294" s="135"/>
    </row>
    <row r="295" spans="4:27" x14ac:dyDescent="0.25">
      <c r="D295" s="127"/>
      <c r="AA295" s="135"/>
    </row>
    <row r="296" spans="4:27" x14ac:dyDescent="0.25">
      <c r="D296" s="127"/>
      <c r="AA296" s="135"/>
    </row>
    <row r="297" spans="4:27" x14ac:dyDescent="0.25">
      <c r="D297" s="127"/>
      <c r="AA297" s="135"/>
    </row>
    <row r="298" spans="4:27" x14ac:dyDescent="0.25">
      <c r="D298" s="127"/>
      <c r="AA298" s="135"/>
    </row>
    <row r="299" spans="4:27" x14ac:dyDescent="0.25">
      <c r="D299" s="127"/>
      <c r="AA299" s="135"/>
    </row>
    <row r="300" spans="4:27" x14ac:dyDescent="0.25">
      <c r="D300" s="127"/>
      <c r="AA300" s="135"/>
    </row>
    <row r="301" spans="4:27" x14ac:dyDescent="0.25">
      <c r="D301" s="127"/>
      <c r="AA301" s="135"/>
    </row>
  </sheetData>
  <sheetProtection algorithmName="SHA-512" hashValue="aaZ7vDrzNTwAp17h7dKc53E3QcR/LdYMHKvXnvFuse/Dw7NfqqwpFXSVgO9ZJbOruq4qDlsVGqkTSHIaLkdsLQ==" saltValue="Mp7oj7xHyWNz/0aoY0eUy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502"/>
  <sheetViews>
    <sheetView workbookViewId="0">
      <selection activeCell="E3" sqref="E3"/>
    </sheetView>
  </sheetViews>
  <sheetFormatPr defaultRowHeight="15.75" x14ac:dyDescent="0.25"/>
  <cols>
    <col min="1" max="1" width="7.125" customWidth="1"/>
    <col min="2" max="2" width="9.25" customWidth="1"/>
    <col min="3" max="3" width="20.625" customWidth="1"/>
    <col min="4" max="4" width="9.375" style="72" customWidth="1"/>
    <col min="5" max="5" width="20" customWidth="1"/>
    <col min="6" max="6" width="11.625" customWidth="1"/>
    <col min="7" max="7" width="12.5" customWidth="1"/>
  </cols>
  <sheetData>
    <row r="1" spans="1:7" x14ac:dyDescent="0.25">
      <c r="A1" s="47" t="s">
        <v>2434</v>
      </c>
      <c r="B1" s="47"/>
      <c r="C1" s="47"/>
      <c r="D1" s="80"/>
      <c r="E1" s="47"/>
      <c r="F1" s="47"/>
      <c r="G1" s="47"/>
    </row>
    <row r="2" spans="1:7" x14ac:dyDescent="0.25">
      <c r="A2" s="47" t="s">
        <v>0</v>
      </c>
      <c r="B2" s="47" t="s">
        <v>849</v>
      </c>
      <c r="C2" s="47" t="s">
        <v>2</v>
      </c>
      <c r="D2" s="80" t="s">
        <v>4</v>
      </c>
      <c r="E2" s="47" t="s">
        <v>153</v>
      </c>
      <c r="F2" s="47" t="s">
        <v>587</v>
      </c>
      <c r="G2" s="47" t="s">
        <v>850</v>
      </c>
    </row>
    <row r="3" spans="1:7" x14ac:dyDescent="0.25">
      <c r="A3" s="48">
        <v>1</v>
      </c>
      <c r="B3" s="48">
        <v>415</v>
      </c>
      <c r="C3" s="48" t="s">
        <v>336</v>
      </c>
      <c r="D3" s="70" t="s">
        <v>2423</v>
      </c>
      <c r="E3" s="48" t="s">
        <v>108</v>
      </c>
      <c r="F3" s="48" t="s">
        <v>67</v>
      </c>
      <c r="G3" t="s">
        <v>2415</v>
      </c>
    </row>
    <row r="4" spans="1:7" x14ac:dyDescent="0.25">
      <c r="A4" s="48">
        <v>2</v>
      </c>
      <c r="B4" s="48">
        <v>312</v>
      </c>
      <c r="C4" s="48" t="s">
        <v>596</v>
      </c>
      <c r="D4" s="70" t="s">
        <v>2481</v>
      </c>
      <c r="E4" s="48" t="s">
        <v>12</v>
      </c>
      <c r="F4" s="48" t="s">
        <v>67</v>
      </c>
      <c r="G4" t="s">
        <v>2415</v>
      </c>
    </row>
    <row r="5" spans="1:7" x14ac:dyDescent="0.25">
      <c r="A5" s="48">
        <v>3</v>
      </c>
      <c r="B5" s="48">
        <v>403</v>
      </c>
      <c r="C5" s="48" t="s">
        <v>1357</v>
      </c>
      <c r="D5" s="70" t="s">
        <v>2482</v>
      </c>
      <c r="E5" s="48" t="s">
        <v>12</v>
      </c>
      <c r="F5" s="48" t="s">
        <v>67</v>
      </c>
      <c r="G5" t="s">
        <v>2413</v>
      </c>
    </row>
    <row r="6" spans="1:7" x14ac:dyDescent="0.25">
      <c r="A6" s="48">
        <v>4</v>
      </c>
      <c r="B6" s="48">
        <v>219</v>
      </c>
      <c r="C6" s="48" t="s">
        <v>1389</v>
      </c>
      <c r="D6" s="70" t="s">
        <v>2425</v>
      </c>
      <c r="E6" s="48" t="s">
        <v>108</v>
      </c>
      <c r="F6" s="48" t="s">
        <v>160</v>
      </c>
      <c r="G6" t="s">
        <v>2417</v>
      </c>
    </row>
    <row r="7" spans="1:7" x14ac:dyDescent="0.25">
      <c r="A7" s="48">
        <v>5</v>
      </c>
      <c r="B7" s="48">
        <v>456</v>
      </c>
      <c r="C7" s="48" t="s">
        <v>2479</v>
      </c>
      <c r="D7" s="70" t="s">
        <v>2483</v>
      </c>
      <c r="E7" s="48" t="s">
        <v>14</v>
      </c>
      <c r="F7" s="48" t="s">
        <v>160</v>
      </c>
      <c r="G7" t="s">
        <v>2414</v>
      </c>
    </row>
    <row r="8" spans="1:7" x14ac:dyDescent="0.25">
      <c r="A8" s="48">
        <v>6</v>
      </c>
      <c r="B8" s="48">
        <v>412</v>
      </c>
      <c r="C8" s="48" t="s">
        <v>302</v>
      </c>
      <c r="D8" s="70" t="s">
        <v>2426</v>
      </c>
      <c r="E8" s="48" t="s">
        <v>108</v>
      </c>
      <c r="F8" s="48" t="s">
        <v>161</v>
      </c>
      <c r="G8" t="s">
        <v>2416</v>
      </c>
    </row>
    <row r="9" spans="1:7" x14ac:dyDescent="0.25">
      <c r="A9" s="48">
        <v>7</v>
      </c>
      <c r="B9" s="48">
        <v>311</v>
      </c>
      <c r="C9" s="48" t="s">
        <v>311</v>
      </c>
      <c r="D9" s="70" t="s">
        <v>2484</v>
      </c>
      <c r="E9" s="48" t="s">
        <v>154</v>
      </c>
      <c r="F9" s="48" t="s">
        <v>160</v>
      </c>
      <c r="G9" t="s">
        <v>2414</v>
      </c>
    </row>
    <row r="10" spans="1:7" x14ac:dyDescent="0.25">
      <c r="A10" s="48">
        <v>8</v>
      </c>
      <c r="B10" s="48">
        <v>398</v>
      </c>
      <c r="C10" s="48" t="s">
        <v>935</v>
      </c>
      <c r="D10" s="70" t="s">
        <v>2485</v>
      </c>
      <c r="E10" s="48" t="s">
        <v>14</v>
      </c>
      <c r="F10" s="48" t="s">
        <v>67</v>
      </c>
      <c r="G10" t="s">
        <v>2415</v>
      </c>
    </row>
    <row r="11" spans="1:7" x14ac:dyDescent="0.25">
      <c r="A11" s="48">
        <v>9</v>
      </c>
      <c r="B11" s="48">
        <v>438</v>
      </c>
      <c r="C11" s="48" t="s">
        <v>1903</v>
      </c>
      <c r="D11" s="70" t="s">
        <v>2486</v>
      </c>
      <c r="E11" s="48" t="s">
        <v>154</v>
      </c>
      <c r="F11" s="48" t="s">
        <v>67</v>
      </c>
      <c r="G11" t="s">
        <v>2415</v>
      </c>
    </row>
    <row r="12" spans="1:7" x14ac:dyDescent="0.25">
      <c r="A12" s="48">
        <v>10</v>
      </c>
      <c r="B12" s="48">
        <v>414</v>
      </c>
      <c r="C12" s="48" t="s">
        <v>1819</v>
      </c>
      <c r="D12" s="70" t="s">
        <v>2487</v>
      </c>
      <c r="E12" s="48" t="s">
        <v>38</v>
      </c>
      <c r="F12" s="48" t="s">
        <v>67</v>
      </c>
      <c r="G12" t="s">
        <v>2415</v>
      </c>
    </row>
    <row r="13" spans="1:7" x14ac:dyDescent="0.25">
      <c r="A13" s="48">
        <v>11</v>
      </c>
      <c r="B13" s="48">
        <v>266</v>
      </c>
      <c r="C13" s="48" t="s">
        <v>363</v>
      </c>
      <c r="D13" s="70" t="s">
        <v>2488</v>
      </c>
      <c r="E13" s="48" t="s">
        <v>12</v>
      </c>
      <c r="F13" s="48" t="s">
        <v>160</v>
      </c>
      <c r="G13" t="s">
        <v>2414</v>
      </c>
    </row>
    <row r="14" spans="1:7" x14ac:dyDescent="0.25">
      <c r="A14" s="48">
        <v>12</v>
      </c>
      <c r="B14" s="48">
        <v>330</v>
      </c>
      <c r="C14" s="48" t="s">
        <v>1808</v>
      </c>
      <c r="D14" s="70" t="s">
        <v>2489</v>
      </c>
      <c r="E14" s="48" t="s">
        <v>108</v>
      </c>
      <c r="F14" s="48" t="s">
        <v>67</v>
      </c>
      <c r="G14" t="s">
        <v>2415</v>
      </c>
    </row>
    <row r="15" spans="1:7" x14ac:dyDescent="0.25">
      <c r="A15" s="48">
        <v>13</v>
      </c>
      <c r="B15" s="48">
        <v>289</v>
      </c>
      <c r="C15" s="48" t="s">
        <v>895</v>
      </c>
      <c r="D15" s="70" t="s">
        <v>2490</v>
      </c>
      <c r="E15" s="48" t="s">
        <v>12</v>
      </c>
      <c r="F15" s="48" t="s">
        <v>160</v>
      </c>
      <c r="G15" t="s">
        <v>2417</v>
      </c>
    </row>
    <row r="16" spans="1:7" x14ac:dyDescent="0.25">
      <c r="A16" s="48">
        <v>14</v>
      </c>
      <c r="B16" s="48">
        <v>220</v>
      </c>
      <c r="C16" s="48" t="s">
        <v>901</v>
      </c>
      <c r="D16" s="70" t="s">
        <v>2491</v>
      </c>
      <c r="E16" s="48" t="s">
        <v>12</v>
      </c>
      <c r="F16" s="48" t="s">
        <v>156</v>
      </c>
      <c r="G16" t="s">
        <v>2413</v>
      </c>
    </row>
    <row r="17" spans="1:7" x14ac:dyDescent="0.25">
      <c r="A17" s="48">
        <v>15</v>
      </c>
      <c r="B17" s="48">
        <v>411</v>
      </c>
      <c r="C17" s="48" t="s">
        <v>2468</v>
      </c>
      <c r="D17" s="70" t="s">
        <v>2427</v>
      </c>
      <c r="E17" s="48" t="s">
        <v>505</v>
      </c>
      <c r="F17" s="48" t="s">
        <v>161</v>
      </c>
      <c r="G17" t="s">
        <v>2420</v>
      </c>
    </row>
    <row r="18" spans="1:7" x14ac:dyDescent="0.25">
      <c r="A18" s="48">
        <v>16</v>
      </c>
      <c r="B18" s="48">
        <v>228</v>
      </c>
      <c r="C18" s="48" t="s">
        <v>1682</v>
      </c>
      <c r="D18" s="70" t="s">
        <v>2492</v>
      </c>
      <c r="E18" s="48" t="s">
        <v>108</v>
      </c>
      <c r="F18" s="48" t="s">
        <v>67</v>
      </c>
      <c r="G18" t="s">
        <v>2413</v>
      </c>
    </row>
    <row r="19" spans="1:7" x14ac:dyDescent="0.25">
      <c r="A19" s="48">
        <v>17</v>
      </c>
      <c r="B19" s="48">
        <v>260</v>
      </c>
      <c r="C19" s="48" t="s">
        <v>2444</v>
      </c>
      <c r="D19" s="70" t="s">
        <v>2493</v>
      </c>
      <c r="E19" s="48" t="s">
        <v>12</v>
      </c>
      <c r="F19" s="48" t="s">
        <v>160</v>
      </c>
      <c r="G19" t="s">
        <v>2414</v>
      </c>
    </row>
    <row r="20" spans="1:7" x14ac:dyDescent="0.25">
      <c r="A20" s="48">
        <v>18</v>
      </c>
      <c r="B20" s="48">
        <v>420</v>
      </c>
      <c r="C20" s="48" t="s">
        <v>2469</v>
      </c>
      <c r="D20" s="70" t="s">
        <v>2494</v>
      </c>
      <c r="E20" s="48" t="s">
        <v>14</v>
      </c>
      <c r="F20" s="48" t="s">
        <v>160</v>
      </c>
      <c r="G20" t="s">
        <v>2414</v>
      </c>
    </row>
    <row r="21" spans="1:7" x14ac:dyDescent="0.25">
      <c r="A21" s="48">
        <v>19</v>
      </c>
      <c r="B21" s="48">
        <v>361</v>
      </c>
      <c r="C21" s="48" t="s">
        <v>1745</v>
      </c>
      <c r="D21" s="70" t="s">
        <v>2495</v>
      </c>
      <c r="E21" s="48" t="s">
        <v>12</v>
      </c>
      <c r="F21" s="48" t="s">
        <v>67</v>
      </c>
      <c r="G21" t="s">
        <v>2415</v>
      </c>
    </row>
    <row r="22" spans="1:7" x14ac:dyDescent="0.25">
      <c r="A22" s="48">
        <v>20</v>
      </c>
      <c r="B22" s="48">
        <v>250</v>
      </c>
      <c r="C22" s="48" t="s">
        <v>272</v>
      </c>
      <c r="D22" s="70" t="s">
        <v>2428</v>
      </c>
      <c r="E22" s="48" t="s">
        <v>12</v>
      </c>
      <c r="F22" s="48" t="s">
        <v>67</v>
      </c>
      <c r="G22" t="s">
        <v>2413</v>
      </c>
    </row>
    <row r="23" spans="1:7" x14ac:dyDescent="0.25">
      <c r="A23" s="48">
        <v>21</v>
      </c>
      <c r="B23" s="48">
        <v>195</v>
      </c>
      <c r="C23" s="48" t="s">
        <v>768</v>
      </c>
      <c r="D23" s="70" t="s">
        <v>2496</v>
      </c>
      <c r="E23" s="48" t="s">
        <v>155</v>
      </c>
      <c r="F23" s="48" t="s">
        <v>160</v>
      </c>
      <c r="G23" t="s">
        <v>2414</v>
      </c>
    </row>
    <row r="24" spans="1:7" x14ac:dyDescent="0.25">
      <c r="A24" s="48">
        <v>22</v>
      </c>
      <c r="B24" s="48">
        <v>235</v>
      </c>
      <c r="C24" s="48" t="s">
        <v>2196</v>
      </c>
      <c r="D24" s="70" t="s">
        <v>2429</v>
      </c>
      <c r="E24" s="48" t="s">
        <v>108</v>
      </c>
      <c r="F24" s="48" t="s">
        <v>160</v>
      </c>
      <c r="G24" t="s">
        <v>2414</v>
      </c>
    </row>
    <row r="25" spans="1:7" x14ac:dyDescent="0.25">
      <c r="A25" s="48">
        <v>23</v>
      </c>
      <c r="B25" s="48">
        <v>407</v>
      </c>
      <c r="C25" s="48" t="s">
        <v>2465</v>
      </c>
      <c r="D25" s="70" t="s">
        <v>2497</v>
      </c>
      <c r="E25" s="48" t="s">
        <v>63</v>
      </c>
      <c r="F25" s="48" t="s">
        <v>160</v>
      </c>
      <c r="G25" t="s">
        <v>2417</v>
      </c>
    </row>
    <row r="26" spans="1:7" x14ac:dyDescent="0.25">
      <c r="A26" s="48">
        <v>24</v>
      </c>
      <c r="B26" s="48">
        <v>454</v>
      </c>
      <c r="C26" s="48" t="s">
        <v>1941</v>
      </c>
      <c r="D26" s="70" t="s">
        <v>2498</v>
      </c>
      <c r="E26" s="48" t="s">
        <v>12</v>
      </c>
      <c r="F26" s="48" t="s">
        <v>67</v>
      </c>
      <c r="G26" t="s">
        <v>2413</v>
      </c>
    </row>
    <row r="27" spans="1:7" x14ac:dyDescent="0.25">
      <c r="A27" s="48">
        <v>25</v>
      </c>
      <c r="B27" s="48">
        <v>447</v>
      </c>
      <c r="C27" s="48" t="s">
        <v>1122</v>
      </c>
      <c r="D27" s="70" t="s">
        <v>2499</v>
      </c>
      <c r="E27" s="48" t="s">
        <v>43</v>
      </c>
      <c r="F27" s="48" t="s">
        <v>160</v>
      </c>
      <c r="G27" t="s">
        <v>2417</v>
      </c>
    </row>
    <row r="28" spans="1:7" x14ac:dyDescent="0.25">
      <c r="A28" s="48">
        <v>26</v>
      </c>
      <c r="B28" s="48">
        <v>431</v>
      </c>
      <c r="C28" s="48" t="s">
        <v>2320</v>
      </c>
      <c r="D28" s="70" t="s">
        <v>2430</v>
      </c>
      <c r="E28" s="48" t="s">
        <v>63</v>
      </c>
      <c r="F28" s="48" t="s">
        <v>67</v>
      </c>
      <c r="G28" t="s">
        <v>2413</v>
      </c>
    </row>
    <row r="29" spans="1:7" x14ac:dyDescent="0.25">
      <c r="A29" s="48">
        <v>27</v>
      </c>
      <c r="B29" s="48">
        <v>399</v>
      </c>
      <c r="C29" s="48" t="s">
        <v>408</v>
      </c>
      <c r="D29" s="70" t="s">
        <v>2500</v>
      </c>
      <c r="E29" s="48" t="s">
        <v>63</v>
      </c>
      <c r="F29" s="48" t="s">
        <v>67</v>
      </c>
      <c r="G29" t="s">
        <v>2415</v>
      </c>
    </row>
    <row r="30" spans="1:7" x14ac:dyDescent="0.25">
      <c r="A30" s="48">
        <v>28</v>
      </c>
      <c r="B30" s="48">
        <v>172</v>
      </c>
      <c r="C30" s="48" t="s">
        <v>2193</v>
      </c>
      <c r="D30" s="70" t="s">
        <v>2501</v>
      </c>
      <c r="E30" s="48" t="s">
        <v>1805</v>
      </c>
      <c r="F30" s="48" t="s">
        <v>67</v>
      </c>
      <c r="G30" t="s">
        <v>2413</v>
      </c>
    </row>
    <row r="31" spans="1:7" x14ac:dyDescent="0.25">
      <c r="A31" s="48">
        <v>29</v>
      </c>
      <c r="B31" s="48">
        <v>169</v>
      </c>
      <c r="C31" s="48" t="s">
        <v>2197</v>
      </c>
      <c r="D31" s="70" t="s">
        <v>2502</v>
      </c>
      <c r="E31" s="48" t="s">
        <v>1805</v>
      </c>
      <c r="F31" s="48" t="s">
        <v>67</v>
      </c>
      <c r="G31" t="s">
        <v>2413</v>
      </c>
    </row>
    <row r="32" spans="1:7" x14ac:dyDescent="0.25">
      <c r="A32" s="48">
        <v>30</v>
      </c>
      <c r="B32" s="48">
        <v>357</v>
      </c>
      <c r="C32" s="48" t="s">
        <v>2324</v>
      </c>
      <c r="D32" s="70" t="s">
        <v>2503</v>
      </c>
      <c r="E32" s="48" t="s">
        <v>108</v>
      </c>
      <c r="F32" s="48" t="s">
        <v>67</v>
      </c>
      <c r="G32" t="s">
        <v>2413</v>
      </c>
    </row>
    <row r="33" spans="1:7" x14ac:dyDescent="0.25">
      <c r="A33" s="48">
        <v>31</v>
      </c>
      <c r="B33" s="48">
        <v>378</v>
      </c>
      <c r="C33" s="48" t="s">
        <v>2307</v>
      </c>
      <c r="D33" s="70" t="s">
        <v>2431</v>
      </c>
      <c r="E33" s="48" t="s">
        <v>63</v>
      </c>
      <c r="F33" s="48" t="s">
        <v>160</v>
      </c>
      <c r="G33" t="s">
        <v>2417</v>
      </c>
    </row>
    <row r="34" spans="1:7" x14ac:dyDescent="0.25">
      <c r="A34" s="48">
        <v>32</v>
      </c>
      <c r="B34" s="48">
        <v>283</v>
      </c>
      <c r="C34" s="48" t="s">
        <v>1956</v>
      </c>
      <c r="D34" s="70" t="s">
        <v>2504</v>
      </c>
      <c r="E34" s="48" t="s">
        <v>154</v>
      </c>
      <c r="F34" s="48" t="s">
        <v>157</v>
      </c>
      <c r="G34" t="s">
        <v>2414</v>
      </c>
    </row>
    <row r="35" spans="1:7" x14ac:dyDescent="0.25">
      <c r="A35" s="48">
        <v>33</v>
      </c>
      <c r="B35" s="48">
        <v>303</v>
      </c>
      <c r="C35" s="48" t="s">
        <v>277</v>
      </c>
      <c r="D35" s="70" t="s">
        <v>2505</v>
      </c>
      <c r="E35" s="48" t="s">
        <v>63</v>
      </c>
      <c r="F35" s="48" t="s">
        <v>67</v>
      </c>
      <c r="G35" t="s">
        <v>2415</v>
      </c>
    </row>
    <row r="36" spans="1:7" x14ac:dyDescent="0.25">
      <c r="A36" s="48">
        <v>34</v>
      </c>
      <c r="B36" s="48">
        <v>442</v>
      </c>
      <c r="C36" s="48" t="s">
        <v>2195</v>
      </c>
      <c r="D36" s="70" t="s">
        <v>2506</v>
      </c>
      <c r="E36" s="48" t="s">
        <v>12</v>
      </c>
      <c r="F36" s="48" t="s">
        <v>67</v>
      </c>
      <c r="G36" t="s">
        <v>2413</v>
      </c>
    </row>
    <row r="37" spans="1:7" x14ac:dyDescent="0.25">
      <c r="A37" s="48">
        <v>35</v>
      </c>
      <c r="B37" s="48">
        <v>288</v>
      </c>
      <c r="C37" s="48" t="s">
        <v>260</v>
      </c>
      <c r="D37" s="70" t="s">
        <v>2507</v>
      </c>
      <c r="E37" s="48" t="s">
        <v>12</v>
      </c>
      <c r="F37" s="48" t="s">
        <v>157</v>
      </c>
      <c r="G37" t="s">
        <v>2414</v>
      </c>
    </row>
    <row r="38" spans="1:7" x14ac:dyDescent="0.25">
      <c r="A38" s="48">
        <v>36</v>
      </c>
      <c r="B38" s="48">
        <v>356</v>
      </c>
      <c r="C38" s="48" t="s">
        <v>239</v>
      </c>
      <c r="D38" s="70" t="s">
        <v>2508</v>
      </c>
      <c r="E38" s="48" t="s">
        <v>43</v>
      </c>
      <c r="F38" s="48" t="s">
        <v>160</v>
      </c>
      <c r="G38" t="s">
        <v>2417</v>
      </c>
    </row>
    <row r="39" spans="1:7" x14ac:dyDescent="0.25">
      <c r="A39" s="48">
        <v>37</v>
      </c>
      <c r="B39" s="48">
        <v>168</v>
      </c>
      <c r="C39" s="48" t="s">
        <v>2028</v>
      </c>
      <c r="D39" s="70" t="s">
        <v>2509</v>
      </c>
      <c r="E39" s="48" t="s">
        <v>1805</v>
      </c>
      <c r="F39" s="48" t="s">
        <v>67</v>
      </c>
      <c r="G39" t="s">
        <v>2413</v>
      </c>
    </row>
    <row r="40" spans="1:7" x14ac:dyDescent="0.25">
      <c r="A40" s="48">
        <v>38</v>
      </c>
      <c r="B40" s="48">
        <v>338</v>
      </c>
      <c r="C40" s="48" t="s">
        <v>337</v>
      </c>
      <c r="D40" s="70" t="s">
        <v>2432</v>
      </c>
      <c r="E40" s="48" t="s">
        <v>108</v>
      </c>
      <c r="F40" s="48" t="s">
        <v>161</v>
      </c>
      <c r="G40" t="s">
        <v>2416</v>
      </c>
    </row>
    <row r="41" spans="1:7" x14ac:dyDescent="0.25">
      <c r="A41" s="48">
        <v>39</v>
      </c>
      <c r="B41" s="48">
        <v>440</v>
      </c>
      <c r="C41" s="48" t="s">
        <v>370</v>
      </c>
      <c r="D41" s="70" t="s">
        <v>2510</v>
      </c>
      <c r="E41" s="48" t="s">
        <v>63</v>
      </c>
      <c r="F41" s="48" t="s">
        <v>67</v>
      </c>
      <c r="G41" t="s">
        <v>2415</v>
      </c>
    </row>
    <row r="42" spans="1:7" x14ac:dyDescent="0.25">
      <c r="A42" s="48">
        <v>40</v>
      </c>
      <c r="B42" s="48">
        <v>419</v>
      </c>
      <c r="C42" s="48" t="s">
        <v>1905</v>
      </c>
      <c r="D42" s="70" t="s">
        <v>2511</v>
      </c>
      <c r="E42" s="48" t="s">
        <v>14</v>
      </c>
      <c r="F42" s="48" t="s">
        <v>67</v>
      </c>
      <c r="G42" t="s">
        <v>2415</v>
      </c>
    </row>
    <row r="43" spans="1:7" x14ac:dyDescent="0.25">
      <c r="A43" s="48">
        <v>41</v>
      </c>
      <c r="B43" s="48">
        <v>342</v>
      </c>
      <c r="C43" s="48" t="s">
        <v>2201</v>
      </c>
      <c r="D43" s="70" t="s">
        <v>2512</v>
      </c>
      <c r="E43" s="48" t="s">
        <v>12</v>
      </c>
      <c r="F43" s="48" t="s">
        <v>67</v>
      </c>
      <c r="G43" t="s">
        <v>2413</v>
      </c>
    </row>
    <row r="44" spans="1:7" x14ac:dyDescent="0.25">
      <c r="A44" s="48">
        <v>42</v>
      </c>
      <c r="B44" s="48">
        <v>242</v>
      </c>
      <c r="C44" s="48" t="s">
        <v>903</v>
      </c>
      <c r="D44" s="70" t="s">
        <v>2513</v>
      </c>
      <c r="E44" s="48" t="s">
        <v>12</v>
      </c>
      <c r="F44" s="48" t="s">
        <v>160</v>
      </c>
      <c r="G44" t="s">
        <v>2417</v>
      </c>
    </row>
    <row r="45" spans="1:7" x14ac:dyDescent="0.25">
      <c r="A45" s="48">
        <v>43</v>
      </c>
      <c r="B45" s="48">
        <v>212</v>
      </c>
      <c r="C45" s="48" t="s">
        <v>1785</v>
      </c>
      <c r="D45" s="70" t="s">
        <v>2514</v>
      </c>
      <c r="E45" s="48" t="s">
        <v>12</v>
      </c>
      <c r="F45" s="48" t="s">
        <v>67</v>
      </c>
      <c r="G45" t="s">
        <v>2413</v>
      </c>
    </row>
    <row r="46" spans="1:7" x14ac:dyDescent="0.25">
      <c r="A46" s="48">
        <v>44</v>
      </c>
      <c r="B46" s="48">
        <v>299</v>
      </c>
      <c r="C46" s="48" t="s">
        <v>2124</v>
      </c>
      <c r="D46" s="70" t="s">
        <v>2515</v>
      </c>
      <c r="E46" s="48" t="s">
        <v>12</v>
      </c>
      <c r="F46" s="48" t="s">
        <v>157</v>
      </c>
      <c r="G46" t="s">
        <v>2414</v>
      </c>
    </row>
    <row r="47" spans="1:7" x14ac:dyDescent="0.25">
      <c r="A47" s="48">
        <v>45</v>
      </c>
      <c r="B47" s="48">
        <v>358</v>
      </c>
      <c r="C47" s="48" t="s">
        <v>1352</v>
      </c>
      <c r="D47" s="70" t="s">
        <v>2516</v>
      </c>
      <c r="E47" s="48" t="s">
        <v>12</v>
      </c>
      <c r="F47" s="48" t="s">
        <v>160</v>
      </c>
      <c r="G47" t="s">
        <v>2414</v>
      </c>
    </row>
    <row r="48" spans="1:7" x14ac:dyDescent="0.25">
      <c r="A48" s="48">
        <v>46</v>
      </c>
      <c r="B48" s="48">
        <v>434</v>
      </c>
      <c r="C48" s="48" t="s">
        <v>328</v>
      </c>
      <c r="D48" s="70" t="s">
        <v>2517</v>
      </c>
      <c r="E48" s="48" t="s">
        <v>128</v>
      </c>
      <c r="F48" s="48" t="s">
        <v>161</v>
      </c>
      <c r="G48" t="s">
        <v>2420</v>
      </c>
    </row>
    <row r="49" spans="1:7" x14ac:dyDescent="0.25">
      <c r="A49" s="48">
        <v>47</v>
      </c>
      <c r="B49" s="48">
        <v>295</v>
      </c>
      <c r="C49" s="48" t="s">
        <v>301</v>
      </c>
      <c r="D49" s="70" t="s">
        <v>2518</v>
      </c>
      <c r="E49" s="48" t="s">
        <v>154</v>
      </c>
      <c r="F49" s="48" t="s">
        <v>161</v>
      </c>
      <c r="G49" t="s">
        <v>2416</v>
      </c>
    </row>
    <row r="50" spans="1:7" x14ac:dyDescent="0.25">
      <c r="A50" s="48">
        <v>48</v>
      </c>
      <c r="B50" s="48">
        <v>444</v>
      </c>
      <c r="C50" s="48" t="s">
        <v>2474</v>
      </c>
      <c r="D50" s="70" t="s">
        <v>2519</v>
      </c>
      <c r="E50" s="48" t="s">
        <v>505</v>
      </c>
      <c r="F50" s="48" t="s">
        <v>160</v>
      </c>
      <c r="G50" t="s">
        <v>2417</v>
      </c>
    </row>
    <row r="51" spans="1:7" x14ac:dyDescent="0.25">
      <c r="A51" s="48">
        <v>49</v>
      </c>
      <c r="B51" s="48">
        <v>389</v>
      </c>
      <c r="C51" s="48" t="s">
        <v>999</v>
      </c>
      <c r="D51" s="70" t="s">
        <v>2520</v>
      </c>
      <c r="E51" s="48" t="s">
        <v>12</v>
      </c>
      <c r="F51" s="48" t="s">
        <v>162</v>
      </c>
      <c r="G51" t="s">
        <v>2418</v>
      </c>
    </row>
    <row r="52" spans="1:7" x14ac:dyDescent="0.25">
      <c r="A52" s="48">
        <v>50</v>
      </c>
      <c r="B52" s="48">
        <v>306</v>
      </c>
      <c r="C52" s="48" t="s">
        <v>893</v>
      </c>
      <c r="D52" s="70" t="s">
        <v>2521</v>
      </c>
      <c r="E52" s="48" t="s">
        <v>12</v>
      </c>
      <c r="F52" s="48" t="s">
        <v>160</v>
      </c>
      <c r="G52" t="s">
        <v>2417</v>
      </c>
    </row>
    <row r="53" spans="1:7" x14ac:dyDescent="0.25">
      <c r="A53" s="48">
        <v>51</v>
      </c>
      <c r="B53" s="48">
        <v>196</v>
      </c>
      <c r="C53" s="48" t="s">
        <v>928</v>
      </c>
      <c r="D53" s="70" t="s">
        <v>2522</v>
      </c>
      <c r="E53" s="48" t="s">
        <v>12</v>
      </c>
      <c r="F53" s="48" t="s">
        <v>67</v>
      </c>
      <c r="G53" t="s">
        <v>2413</v>
      </c>
    </row>
    <row r="54" spans="1:7" x14ac:dyDescent="0.25">
      <c r="A54" s="48">
        <v>52</v>
      </c>
      <c r="B54" s="48">
        <v>341</v>
      </c>
      <c r="C54" s="48" t="s">
        <v>2452</v>
      </c>
      <c r="D54" s="70" t="s">
        <v>2523</v>
      </c>
      <c r="E54" s="48" t="s">
        <v>12</v>
      </c>
      <c r="F54" s="48" t="s">
        <v>160</v>
      </c>
      <c r="G54" t="s">
        <v>2414</v>
      </c>
    </row>
    <row r="55" spans="1:7" x14ac:dyDescent="0.25">
      <c r="A55" s="48">
        <v>53</v>
      </c>
      <c r="B55" s="48">
        <v>151</v>
      </c>
      <c r="C55" s="48" t="s">
        <v>1651</v>
      </c>
      <c r="D55" s="70" t="s">
        <v>2524</v>
      </c>
      <c r="E55" s="48" t="s">
        <v>108</v>
      </c>
      <c r="F55" s="48" t="s">
        <v>160</v>
      </c>
      <c r="G55" t="s">
        <v>2414</v>
      </c>
    </row>
    <row r="56" spans="1:7" x14ac:dyDescent="0.25">
      <c r="A56" s="48">
        <v>54</v>
      </c>
      <c r="B56" s="48">
        <v>305</v>
      </c>
      <c r="C56" s="48" t="s">
        <v>1337</v>
      </c>
      <c r="D56" s="70" t="s">
        <v>2525</v>
      </c>
      <c r="E56" s="48" t="s">
        <v>12</v>
      </c>
      <c r="F56" s="48" t="s">
        <v>160</v>
      </c>
      <c r="G56" t="s">
        <v>2414</v>
      </c>
    </row>
    <row r="57" spans="1:7" x14ac:dyDescent="0.25">
      <c r="A57" s="48">
        <v>55</v>
      </c>
      <c r="B57" s="48">
        <v>310</v>
      </c>
      <c r="C57" s="48" t="s">
        <v>2448</v>
      </c>
      <c r="D57" s="70" t="s">
        <v>2526</v>
      </c>
      <c r="E57" s="48" t="s">
        <v>12</v>
      </c>
      <c r="F57" s="48" t="s">
        <v>156</v>
      </c>
      <c r="G57" t="s">
        <v>2413</v>
      </c>
    </row>
    <row r="58" spans="1:7" x14ac:dyDescent="0.25">
      <c r="A58" s="48">
        <v>56</v>
      </c>
      <c r="B58" s="48">
        <v>385</v>
      </c>
      <c r="C58" s="48" t="s">
        <v>2304</v>
      </c>
      <c r="D58" s="70" t="s">
        <v>2527</v>
      </c>
      <c r="E58" s="48" t="s">
        <v>63</v>
      </c>
      <c r="F58" s="48" t="s">
        <v>67</v>
      </c>
      <c r="G58" t="s">
        <v>2413</v>
      </c>
    </row>
    <row r="59" spans="1:7" x14ac:dyDescent="0.25">
      <c r="A59" s="48">
        <v>57</v>
      </c>
      <c r="B59" s="48">
        <v>424</v>
      </c>
      <c r="C59" s="48" t="s">
        <v>2470</v>
      </c>
      <c r="D59" s="70" t="s">
        <v>2528</v>
      </c>
      <c r="E59" s="48" t="s">
        <v>108</v>
      </c>
      <c r="F59" s="48" t="s">
        <v>161</v>
      </c>
      <c r="G59" t="s">
        <v>2416</v>
      </c>
    </row>
    <row r="60" spans="1:7" x14ac:dyDescent="0.25">
      <c r="A60" s="48">
        <v>58</v>
      </c>
      <c r="B60" s="48">
        <v>317</v>
      </c>
      <c r="C60" s="48" t="s">
        <v>1522</v>
      </c>
      <c r="D60" s="70" t="s">
        <v>2529</v>
      </c>
      <c r="E60" s="48" t="s">
        <v>14</v>
      </c>
      <c r="F60" s="48" t="s">
        <v>160</v>
      </c>
      <c r="G60" t="s">
        <v>2417</v>
      </c>
    </row>
    <row r="61" spans="1:7" x14ac:dyDescent="0.25">
      <c r="A61" s="48">
        <v>59</v>
      </c>
      <c r="B61" s="48">
        <v>382</v>
      </c>
      <c r="C61" s="48" t="s">
        <v>2322</v>
      </c>
      <c r="D61" s="70" t="s">
        <v>2530</v>
      </c>
      <c r="E61" s="48" t="s">
        <v>38</v>
      </c>
      <c r="F61" s="48" t="s">
        <v>67</v>
      </c>
      <c r="G61" t="s">
        <v>2415</v>
      </c>
    </row>
    <row r="62" spans="1:7" x14ac:dyDescent="0.25">
      <c r="A62" s="48">
        <v>60</v>
      </c>
      <c r="B62" s="48">
        <v>233</v>
      </c>
      <c r="C62" s="48" t="s">
        <v>609</v>
      </c>
      <c r="D62" s="70" t="s">
        <v>2531</v>
      </c>
      <c r="E62" s="48" t="s">
        <v>43</v>
      </c>
      <c r="F62" s="48" t="s">
        <v>161</v>
      </c>
      <c r="G62" t="s">
        <v>2416</v>
      </c>
    </row>
    <row r="63" spans="1:7" x14ac:dyDescent="0.25">
      <c r="A63" s="48">
        <v>61</v>
      </c>
      <c r="B63" s="48">
        <v>227</v>
      </c>
      <c r="C63" s="48" t="s">
        <v>353</v>
      </c>
      <c r="D63" s="70" t="s">
        <v>2532</v>
      </c>
      <c r="E63" s="48" t="s">
        <v>43</v>
      </c>
      <c r="F63" s="48" t="s">
        <v>162</v>
      </c>
      <c r="G63" t="s">
        <v>2418</v>
      </c>
    </row>
    <row r="64" spans="1:7" x14ac:dyDescent="0.25">
      <c r="A64" s="48">
        <v>62</v>
      </c>
      <c r="B64" s="48">
        <v>372</v>
      </c>
      <c r="C64" s="48" t="s">
        <v>176</v>
      </c>
      <c r="D64" s="70" t="s">
        <v>2533</v>
      </c>
      <c r="E64" s="48" t="s">
        <v>12</v>
      </c>
      <c r="F64" s="48" t="s">
        <v>67</v>
      </c>
      <c r="G64" t="s">
        <v>2413</v>
      </c>
    </row>
    <row r="65" spans="1:7" x14ac:dyDescent="0.25">
      <c r="A65" s="48">
        <v>63</v>
      </c>
      <c r="B65" s="48">
        <v>252</v>
      </c>
      <c r="C65" s="48" t="s">
        <v>411</v>
      </c>
      <c r="D65" s="70" t="s">
        <v>2534</v>
      </c>
      <c r="E65" s="48" t="s">
        <v>12</v>
      </c>
      <c r="F65" s="48" t="s">
        <v>67</v>
      </c>
      <c r="G65" t="s">
        <v>2413</v>
      </c>
    </row>
    <row r="66" spans="1:7" x14ac:dyDescent="0.25">
      <c r="A66" s="48">
        <v>64</v>
      </c>
      <c r="B66" s="48">
        <v>340</v>
      </c>
      <c r="C66" s="48" t="s">
        <v>1323</v>
      </c>
      <c r="D66" s="70" t="s">
        <v>2535</v>
      </c>
      <c r="E66" s="48" t="s">
        <v>12</v>
      </c>
      <c r="F66" s="48" t="s">
        <v>156</v>
      </c>
      <c r="G66" t="s">
        <v>2413</v>
      </c>
    </row>
    <row r="67" spans="1:7" x14ac:dyDescent="0.25">
      <c r="A67" s="48">
        <v>65</v>
      </c>
      <c r="B67" s="48">
        <v>347</v>
      </c>
      <c r="C67" s="48" t="s">
        <v>531</v>
      </c>
      <c r="D67" s="70" t="s">
        <v>2536</v>
      </c>
      <c r="E67" s="48" t="s">
        <v>12</v>
      </c>
      <c r="F67" s="48" t="s">
        <v>67</v>
      </c>
      <c r="G67" t="s">
        <v>2415</v>
      </c>
    </row>
    <row r="68" spans="1:7" x14ac:dyDescent="0.25">
      <c r="A68" s="48">
        <v>66</v>
      </c>
      <c r="B68" s="48">
        <v>240</v>
      </c>
      <c r="C68" s="48" t="s">
        <v>1373</v>
      </c>
      <c r="D68" s="70" t="s">
        <v>2537</v>
      </c>
      <c r="E68" s="48" t="s">
        <v>12</v>
      </c>
      <c r="F68" s="48" t="s">
        <v>161</v>
      </c>
      <c r="G68" t="s">
        <v>2416</v>
      </c>
    </row>
    <row r="69" spans="1:7" x14ac:dyDescent="0.25">
      <c r="A69" s="48">
        <v>67</v>
      </c>
      <c r="B69" s="48">
        <v>189</v>
      </c>
      <c r="C69" s="48" t="s">
        <v>1911</v>
      </c>
      <c r="D69" s="70" t="s">
        <v>2538</v>
      </c>
      <c r="E69" s="48" t="s">
        <v>14</v>
      </c>
      <c r="F69" s="48" t="s">
        <v>162</v>
      </c>
      <c r="G69" t="s">
        <v>2418</v>
      </c>
    </row>
    <row r="70" spans="1:7" x14ac:dyDescent="0.25">
      <c r="A70" s="48">
        <v>68</v>
      </c>
      <c r="B70" s="48">
        <v>448</v>
      </c>
      <c r="C70" s="48" t="s">
        <v>2477</v>
      </c>
      <c r="D70" s="70" t="s">
        <v>2539</v>
      </c>
      <c r="E70" s="48" t="s">
        <v>14</v>
      </c>
      <c r="F70" s="48" t="s">
        <v>161</v>
      </c>
      <c r="G70" t="s">
        <v>2420</v>
      </c>
    </row>
    <row r="71" spans="1:7" x14ac:dyDescent="0.25">
      <c r="A71" s="48">
        <v>69</v>
      </c>
      <c r="B71" s="48">
        <v>163</v>
      </c>
      <c r="C71" s="48" t="s">
        <v>1699</v>
      </c>
      <c r="D71" s="70" t="s">
        <v>2540</v>
      </c>
      <c r="E71" s="48" t="s">
        <v>154</v>
      </c>
      <c r="F71" s="48" t="s">
        <v>162</v>
      </c>
      <c r="G71" t="s">
        <v>2418</v>
      </c>
    </row>
    <row r="72" spans="1:7" x14ac:dyDescent="0.25">
      <c r="A72" s="48">
        <v>70</v>
      </c>
      <c r="B72" s="48">
        <v>425</v>
      </c>
      <c r="C72" s="48" t="s">
        <v>2471</v>
      </c>
      <c r="D72" s="70" t="s">
        <v>2541</v>
      </c>
      <c r="E72" s="48" t="s">
        <v>14</v>
      </c>
      <c r="F72" s="48" t="s">
        <v>67</v>
      </c>
      <c r="G72" t="s">
        <v>2413</v>
      </c>
    </row>
    <row r="73" spans="1:7" x14ac:dyDescent="0.25">
      <c r="A73" s="48">
        <v>71</v>
      </c>
      <c r="B73" s="48">
        <v>328</v>
      </c>
      <c r="C73" s="48" t="s">
        <v>2205</v>
      </c>
      <c r="D73" s="70" t="s">
        <v>2433</v>
      </c>
      <c r="E73" s="48" t="s">
        <v>38</v>
      </c>
      <c r="F73" s="48" t="s">
        <v>160</v>
      </c>
      <c r="G73" t="s">
        <v>2414</v>
      </c>
    </row>
    <row r="74" spans="1:7" x14ac:dyDescent="0.25">
      <c r="A74" s="48">
        <v>72</v>
      </c>
      <c r="B74" s="48">
        <v>264</v>
      </c>
      <c r="C74" s="48" t="s">
        <v>2203</v>
      </c>
      <c r="D74" s="70" t="s">
        <v>2542</v>
      </c>
      <c r="E74" s="48" t="s">
        <v>505</v>
      </c>
      <c r="F74" s="48" t="s">
        <v>67</v>
      </c>
      <c r="G74" t="s">
        <v>2415</v>
      </c>
    </row>
    <row r="75" spans="1:7" x14ac:dyDescent="0.25">
      <c r="A75" s="48">
        <v>73</v>
      </c>
      <c r="B75" s="48">
        <v>423</v>
      </c>
      <c r="C75" s="48" t="s">
        <v>553</v>
      </c>
      <c r="D75" s="70" t="s">
        <v>2543</v>
      </c>
      <c r="E75" s="48" t="s">
        <v>12</v>
      </c>
      <c r="F75" s="48" t="s">
        <v>161</v>
      </c>
      <c r="G75" t="s">
        <v>2420</v>
      </c>
    </row>
    <row r="76" spans="1:7" x14ac:dyDescent="0.25">
      <c r="A76" s="48">
        <v>74</v>
      </c>
      <c r="B76" s="48">
        <v>157</v>
      </c>
      <c r="C76" s="48" t="s">
        <v>1155</v>
      </c>
      <c r="D76" s="70" t="s">
        <v>2544</v>
      </c>
      <c r="E76" s="48" t="s">
        <v>43</v>
      </c>
      <c r="F76" s="48" t="s">
        <v>67</v>
      </c>
      <c r="G76" t="s">
        <v>2415</v>
      </c>
    </row>
    <row r="77" spans="1:7" x14ac:dyDescent="0.25">
      <c r="A77" s="48">
        <v>75</v>
      </c>
      <c r="B77" s="48">
        <v>337</v>
      </c>
      <c r="C77" s="48" t="s">
        <v>2275</v>
      </c>
      <c r="D77" s="70" t="s">
        <v>2545</v>
      </c>
      <c r="E77" s="48" t="s">
        <v>43</v>
      </c>
      <c r="F77" s="48" t="s">
        <v>67</v>
      </c>
      <c r="G77" t="s">
        <v>2546</v>
      </c>
    </row>
    <row r="78" spans="1:7" x14ac:dyDescent="0.25">
      <c r="A78" s="48">
        <v>76</v>
      </c>
      <c r="B78" s="48">
        <v>441</v>
      </c>
      <c r="C78" s="48" t="s">
        <v>1825</v>
      </c>
      <c r="D78" s="70" t="s">
        <v>2547</v>
      </c>
      <c r="E78" s="48" t="s">
        <v>505</v>
      </c>
      <c r="F78" s="48" t="s">
        <v>67</v>
      </c>
      <c r="G78" t="s">
        <v>2415</v>
      </c>
    </row>
    <row r="79" spans="1:7" x14ac:dyDescent="0.25">
      <c r="A79" s="48">
        <v>77</v>
      </c>
      <c r="B79" s="48">
        <v>275</v>
      </c>
      <c r="C79" s="48" t="s">
        <v>269</v>
      </c>
      <c r="D79" s="70" t="s">
        <v>2548</v>
      </c>
      <c r="E79" s="48" t="s">
        <v>43</v>
      </c>
      <c r="F79" s="48" t="s">
        <v>162</v>
      </c>
      <c r="G79" t="s">
        <v>2419</v>
      </c>
    </row>
    <row r="80" spans="1:7" x14ac:dyDescent="0.25">
      <c r="A80" s="48">
        <v>78</v>
      </c>
      <c r="B80" s="48">
        <v>325</v>
      </c>
      <c r="C80" s="48" t="s">
        <v>1404</v>
      </c>
      <c r="D80" s="70" t="s">
        <v>2548</v>
      </c>
      <c r="E80" s="48" t="s">
        <v>155</v>
      </c>
      <c r="F80" s="48" t="s">
        <v>67</v>
      </c>
      <c r="G80" t="s">
        <v>2421</v>
      </c>
    </row>
    <row r="81" spans="1:7" x14ac:dyDescent="0.25">
      <c r="A81" s="48">
        <v>79</v>
      </c>
      <c r="B81" s="48">
        <v>270</v>
      </c>
      <c r="C81" s="48" t="s">
        <v>373</v>
      </c>
      <c r="D81" s="70" t="s">
        <v>2549</v>
      </c>
      <c r="E81" s="48" t="s">
        <v>154</v>
      </c>
      <c r="F81" s="48" t="s">
        <v>158</v>
      </c>
      <c r="G81" t="s">
        <v>2416</v>
      </c>
    </row>
    <row r="82" spans="1:7" x14ac:dyDescent="0.25">
      <c r="A82" s="48">
        <v>80</v>
      </c>
      <c r="B82" s="48">
        <v>379</v>
      </c>
      <c r="C82" s="48" t="s">
        <v>575</v>
      </c>
      <c r="D82" s="70" t="s">
        <v>2550</v>
      </c>
      <c r="E82" s="48" t="s">
        <v>14</v>
      </c>
      <c r="F82" s="48" t="s">
        <v>158</v>
      </c>
      <c r="G82" t="s">
        <v>2416</v>
      </c>
    </row>
    <row r="83" spans="1:7" x14ac:dyDescent="0.25">
      <c r="A83" s="48">
        <v>81</v>
      </c>
      <c r="B83" s="48">
        <v>397</v>
      </c>
      <c r="C83" s="48" t="s">
        <v>1550</v>
      </c>
      <c r="D83" s="70" t="s">
        <v>2551</v>
      </c>
      <c r="E83" s="48" t="s">
        <v>12</v>
      </c>
      <c r="F83" s="48" t="s">
        <v>160</v>
      </c>
      <c r="G83" t="s">
        <v>2417</v>
      </c>
    </row>
    <row r="84" spans="1:7" x14ac:dyDescent="0.25">
      <c r="A84" s="48">
        <v>82</v>
      </c>
      <c r="B84" s="48">
        <v>286</v>
      </c>
      <c r="C84" s="48" t="s">
        <v>2138</v>
      </c>
      <c r="D84" s="70" t="s">
        <v>2552</v>
      </c>
      <c r="E84" s="48" t="s">
        <v>63</v>
      </c>
      <c r="F84" s="48" t="s">
        <v>67</v>
      </c>
      <c r="G84" t="s">
        <v>2413</v>
      </c>
    </row>
    <row r="85" spans="1:7" x14ac:dyDescent="0.25">
      <c r="A85" s="48">
        <v>83</v>
      </c>
      <c r="B85" s="48">
        <v>450</v>
      </c>
      <c r="C85" s="48" t="s">
        <v>563</v>
      </c>
      <c r="D85" s="70" t="s">
        <v>2553</v>
      </c>
      <c r="E85" s="48" t="s">
        <v>505</v>
      </c>
      <c r="F85" s="48" t="s">
        <v>161</v>
      </c>
      <c r="G85" t="s">
        <v>2420</v>
      </c>
    </row>
    <row r="86" spans="1:7" x14ac:dyDescent="0.25">
      <c r="A86" s="48">
        <v>84</v>
      </c>
      <c r="B86" s="48">
        <v>417</v>
      </c>
      <c r="C86" s="48" t="s">
        <v>1406</v>
      </c>
      <c r="D86" s="70" t="s">
        <v>2554</v>
      </c>
      <c r="E86" s="48" t="s">
        <v>155</v>
      </c>
      <c r="F86" s="48" t="s">
        <v>67</v>
      </c>
      <c r="G86" t="s">
        <v>2413</v>
      </c>
    </row>
    <row r="87" spans="1:7" x14ac:dyDescent="0.25">
      <c r="A87" s="48">
        <v>85</v>
      </c>
      <c r="B87" s="48">
        <v>187</v>
      </c>
      <c r="C87" s="48" t="s">
        <v>1762</v>
      </c>
      <c r="D87" s="70" t="s">
        <v>2555</v>
      </c>
      <c r="E87" s="48" t="s">
        <v>108</v>
      </c>
      <c r="F87" s="48" t="s">
        <v>161</v>
      </c>
      <c r="G87" t="s">
        <v>2420</v>
      </c>
    </row>
    <row r="88" spans="1:7" x14ac:dyDescent="0.25">
      <c r="A88" s="48">
        <v>86</v>
      </c>
      <c r="B88" s="48">
        <v>230</v>
      </c>
      <c r="C88" s="48" t="s">
        <v>300</v>
      </c>
      <c r="D88" s="70" t="s">
        <v>2556</v>
      </c>
      <c r="E88" s="48" t="s">
        <v>43</v>
      </c>
      <c r="F88" s="48" t="s">
        <v>161</v>
      </c>
      <c r="G88" t="s">
        <v>2416</v>
      </c>
    </row>
    <row r="89" spans="1:7" x14ac:dyDescent="0.25">
      <c r="A89" s="48">
        <v>87</v>
      </c>
      <c r="B89" s="48">
        <v>291</v>
      </c>
      <c r="C89" s="48" t="s">
        <v>229</v>
      </c>
      <c r="D89" s="70" t="s">
        <v>2557</v>
      </c>
      <c r="E89" s="48" t="s">
        <v>108</v>
      </c>
      <c r="F89" s="48" t="s">
        <v>159</v>
      </c>
      <c r="G89" t="s">
        <v>2418</v>
      </c>
    </row>
    <row r="90" spans="1:7" x14ac:dyDescent="0.25">
      <c r="A90" s="48">
        <v>88</v>
      </c>
      <c r="B90" s="48">
        <v>394</v>
      </c>
      <c r="C90" s="48" t="s">
        <v>1553</v>
      </c>
      <c r="D90" s="70" t="s">
        <v>2558</v>
      </c>
      <c r="E90" s="48" t="s">
        <v>14</v>
      </c>
      <c r="F90" s="48" t="s">
        <v>160</v>
      </c>
      <c r="G90" t="s">
        <v>2417</v>
      </c>
    </row>
    <row r="91" spans="1:7" x14ac:dyDescent="0.25">
      <c r="A91" s="48">
        <v>89</v>
      </c>
      <c r="B91" s="48">
        <v>422</v>
      </c>
      <c r="C91" s="48" t="s">
        <v>611</v>
      </c>
      <c r="D91" s="70" t="s">
        <v>2559</v>
      </c>
      <c r="E91" s="48" t="s">
        <v>14</v>
      </c>
      <c r="F91" s="48" t="s">
        <v>161</v>
      </c>
      <c r="G91" t="s">
        <v>2420</v>
      </c>
    </row>
    <row r="92" spans="1:7" x14ac:dyDescent="0.25">
      <c r="A92" s="48">
        <v>90</v>
      </c>
      <c r="B92" s="48">
        <v>322</v>
      </c>
      <c r="C92" s="48" t="s">
        <v>2450</v>
      </c>
      <c r="D92" s="70" t="s">
        <v>2560</v>
      </c>
      <c r="E92" s="48" t="s">
        <v>12</v>
      </c>
      <c r="F92" s="48" t="s">
        <v>161</v>
      </c>
      <c r="G92" t="s">
        <v>2420</v>
      </c>
    </row>
    <row r="93" spans="1:7" x14ac:dyDescent="0.25">
      <c r="A93" s="48">
        <v>91</v>
      </c>
      <c r="B93" s="48">
        <v>331</v>
      </c>
      <c r="C93" s="48" t="s">
        <v>180</v>
      </c>
      <c r="D93" s="70" t="s">
        <v>2560</v>
      </c>
      <c r="E93" s="48" t="s">
        <v>12</v>
      </c>
      <c r="F93" s="48" t="s">
        <v>160</v>
      </c>
      <c r="G93" t="s">
        <v>2417</v>
      </c>
    </row>
    <row r="94" spans="1:7" x14ac:dyDescent="0.25">
      <c r="A94" s="48">
        <v>92</v>
      </c>
      <c r="B94" s="48">
        <v>455</v>
      </c>
      <c r="C94" s="48" t="s">
        <v>1152</v>
      </c>
      <c r="D94" s="70" t="s">
        <v>2561</v>
      </c>
      <c r="E94" s="48" t="s">
        <v>43</v>
      </c>
      <c r="F94" s="48" t="s">
        <v>160</v>
      </c>
      <c r="G94" t="s">
        <v>2417</v>
      </c>
    </row>
    <row r="95" spans="1:7" x14ac:dyDescent="0.25">
      <c r="A95" s="48">
        <v>93</v>
      </c>
      <c r="B95" s="48">
        <v>294</v>
      </c>
      <c r="C95" s="48" t="s">
        <v>2212</v>
      </c>
      <c r="D95" s="70" t="s">
        <v>2562</v>
      </c>
      <c r="E95" s="48" t="s">
        <v>38</v>
      </c>
      <c r="F95" s="48" t="s">
        <v>160</v>
      </c>
      <c r="G95" t="s">
        <v>2414</v>
      </c>
    </row>
    <row r="96" spans="1:7" x14ac:dyDescent="0.25">
      <c r="A96" s="48">
        <v>94</v>
      </c>
      <c r="B96" s="48">
        <v>239</v>
      </c>
      <c r="C96" s="48" t="s">
        <v>549</v>
      </c>
      <c r="D96" s="70" t="s">
        <v>2563</v>
      </c>
      <c r="E96" s="48" t="s">
        <v>14</v>
      </c>
      <c r="F96" s="48" t="s">
        <v>161</v>
      </c>
      <c r="G96" t="s">
        <v>2420</v>
      </c>
    </row>
    <row r="97" spans="1:7" x14ac:dyDescent="0.25">
      <c r="A97" s="48">
        <v>95</v>
      </c>
      <c r="B97" s="48">
        <v>396</v>
      </c>
      <c r="C97" s="48" t="s">
        <v>2211</v>
      </c>
      <c r="D97" s="70" t="s">
        <v>2564</v>
      </c>
      <c r="E97" s="48" t="s">
        <v>63</v>
      </c>
      <c r="F97" s="48" t="s">
        <v>156</v>
      </c>
      <c r="G97" t="s">
        <v>2413</v>
      </c>
    </row>
    <row r="98" spans="1:7" x14ac:dyDescent="0.25">
      <c r="A98" s="48">
        <v>96</v>
      </c>
      <c r="B98" s="48">
        <v>257</v>
      </c>
      <c r="C98" s="48" t="s">
        <v>186</v>
      </c>
      <c r="D98" s="70" t="s">
        <v>2565</v>
      </c>
      <c r="E98" s="48" t="s">
        <v>12</v>
      </c>
      <c r="F98" s="48" t="s">
        <v>161</v>
      </c>
      <c r="G98" t="s">
        <v>2416</v>
      </c>
    </row>
    <row r="99" spans="1:7" x14ac:dyDescent="0.25">
      <c r="A99" s="48">
        <v>97</v>
      </c>
      <c r="B99" s="48">
        <v>428</v>
      </c>
      <c r="C99" s="48" t="s">
        <v>2210</v>
      </c>
      <c r="D99" s="70" t="s">
        <v>2566</v>
      </c>
      <c r="E99" s="48" t="s">
        <v>505</v>
      </c>
      <c r="F99" s="48" t="s">
        <v>161</v>
      </c>
      <c r="G99" t="s">
        <v>2416</v>
      </c>
    </row>
    <row r="100" spans="1:7" x14ac:dyDescent="0.25">
      <c r="A100" s="48">
        <v>98</v>
      </c>
      <c r="B100" s="48">
        <v>451</v>
      </c>
      <c r="C100" s="48" t="s">
        <v>255</v>
      </c>
      <c r="D100" s="70" t="s">
        <v>2567</v>
      </c>
      <c r="E100" s="48" t="s">
        <v>12</v>
      </c>
      <c r="F100" s="48" t="s">
        <v>161</v>
      </c>
      <c r="G100" t="s">
        <v>2420</v>
      </c>
    </row>
    <row r="101" spans="1:7" x14ac:dyDescent="0.25">
      <c r="A101" s="48">
        <v>99</v>
      </c>
      <c r="B101" s="48">
        <v>375</v>
      </c>
      <c r="C101" s="48" t="s">
        <v>2339</v>
      </c>
      <c r="D101" s="70" t="s">
        <v>2568</v>
      </c>
      <c r="E101" s="48" t="s">
        <v>108</v>
      </c>
      <c r="F101" s="48" t="s">
        <v>67</v>
      </c>
      <c r="G101" t="s">
        <v>2413</v>
      </c>
    </row>
    <row r="102" spans="1:7" x14ac:dyDescent="0.25">
      <c r="A102" s="48">
        <v>100</v>
      </c>
      <c r="B102" s="48">
        <v>381</v>
      </c>
      <c r="C102" s="48" t="s">
        <v>1031</v>
      </c>
      <c r="D102" s="70" t="s">
        <v>2569</v>
      </c>
      <c r="E102" s="48" t="s">
        <v>108</v>
      </c>
      <c r="F102" s="48" t="s">
        <v>162</v>
      </c>
      <c r="G102" t="s">
        <v>2418</v>
      </c>
    </row>
    <row r="103" spans="1:7" x14ac:dyDescent="0.25">
      <c r="A103" s="48">
        <v>101</v>
      </c>
      <c r="B103" s="48">
        <v>197</v>
      </c>
      <c r="C103" s="48" t="s">
        <v>2208</v>
      </c>
      <c r="D103" s="70" t="s">
        <v>2569</v>
      </c>
      <c r="E103" s="48" t="s">
        <v>12</v>
      </c>
      <c r="F103" s="48" t="s">
        <v>67</v>
      </c>
      <c r="G103" t="s">
        <v>2413</v>
      </c>
    </row>
    <row r="104" spans="1:7" x14ac:dyDescent="0.25">
      <c r="A104" s="48">
        <v>102</v>
      </c>
      <c r="B104" s="48">
        <v>386</v>
      </c>
      <c r="C104" s="48" t="s">
        <v>2457</v>
      </c>
      <c r="D104" s="70" t="s">
        <v>2570</v>
      </c>
      <c r="E104" s="48" t="s">
        <v>505</v>
      </c>
      <c r="F104" s="48" t="s">
        <v>67</v>
      </c>
      <c r="G104" t="s">
        <v>2413</v>
      </c>
    </row>
    <row r="105" spans="1:7" x14ac:dyDescent="0.25">
      <c r="A105" s="48">
        <v>103</v>
      </c>
      <c r="B105" s="48">
        <v>152</v>
      </c>
      <c r="C105" s="48" t="s">
        <v>2435</v>
      </c>
      <c r="D105" s="70" t="s">
        <v>2570</v>
      </c>
      <c r="E105" s="48" t="s">
        <v>38</v>
      </c>
      <c r="F105" s="48" t="s">
        <v>160</v>
      </c>
      <c r="G105" t="s">
        <v>2417</v>
      </c>
    </row>
    <row r="106" spans="1:7" x14ac:dyDescent="0.25">
      <c r="A106" s="48">
        <v>104</v>
      </c>
      <c r="B106" s="48">
        <v>350</v>
      </c>
      <c r="C106" s="48" t="s">
        <v>2343</v>
      </c>
      <c r="D106" s="70" t="s">
        <v>2571</v>
      </c>
      <c r="E106" s="48" t="s">
        <v>12</v>
      </c>
      <c r="F106" s="48" t="s">
        <v>157</v>
      </c>
      <c r="G106" t="s">
        <v>2414</v>
      </c>
    </row>
    <row r="107" spans="1:7" x14ac:dyDescent="0.25">
      <c r="A107" s="48">
        <v>105</v>
      </c>
      <c r="B107" s="48">
        <v>184</v>
      </c>
      <c r="C107" s="48" t="s">
        <v>2289</v>
      </c>
      <c r="D107" s="70" t="s">
        <v>2572</v>
      </c>
      <c r="E107" s="48" t="s">
        <v>14</v>
      </c>
      <c r="F107" s="48" t="s">
        <v>160</v>
      </c>
      <c r="G107" t="s">
        <v>2414</v>
      </c>
    </row>
    <row r="108" spans="1:7" x14ac:dyDescent="0.25">
      <c r="A108" s="48">
        <v>106</v>
      </c>
      <c r="B108" s="48">
        <v>298</v>
      </c>
      <c r="C108" s="48" t="s">
        <v>204</v>
      </c>
      <c r="D108" s="70" t="s">
        <v>2573</v>
      </c>
      <c r="E108" s="48" t="s">
        <v>38</v>
      </c>
      <c r="F108" s="48" t="s">
        <v>161</v>
      </c>
      <c r="G108" t="s">
        <v>2420</v>
      </c>
    </row>
    <row r="109" spans="1:7" x14ac:dyDescent="0.25">
      <c r="A109" s="48">
        <v>107</v>
      </c>
      <c r="B109" s="48">
        <v>215</v>
      </c>
      <c r="C109" s="48" t="s">
        <v>2215</v>
      </c>
      <c r="D109" s="70" t="s">
        <v>2574</v>
      </c>
      <c r="E109" s="48" t="s">
        <v>108</v>
      </c>
      <c r="F109" s="48" t="s">
        <v>158</v>
      </c>
      <c r="G109" t="s">
        <v>2417</v>
      </c>
    </row>
    <row r="110" spans="1:7" x14ac:dyDescent="0.25">
      <c r="A110" s="48">
        <v>108</v>
      </c>
      <c r="B110" s="48">
        <v>274</v>
      </c>
      <c r="C110" s="48" t="s">
        <v>560</v>
      </c>
      <c r="D110" s="70" t="s">
        <v>2575</v>
      </c>
      <c r="E110" s="48" t="s">
        <v>154</v>
      </c>
      <c r="F110" s="48" t="s">
        <v>157</v>
      </c>
      <c r="G110" t="s">
        <v>2415</v>
      </c>
    </row>
    <row r="111" spans="1:7" x14ac:dyDescent="0.25">
      <c r="A111" s="48">
        <v>109</v>
      </c>
      <c r="B111" s="48">
        <v>380</v>
      </c>
      <c r="C111" s="48" t="s">
        <v>1928</v>
      </c>
      <c r="D111" s="70" t="s">
        <v>2576</v>
      </c>
      <c r="E111" s="48" t="s">
        <v>154</v>
      </c>
      <c r="F111" s="48" t="s">
        <v>159</v>
      </c>
      <c r="G111" t="s">
        <v>2418</v>
      </c>
    </row>
    <row r="112" spans="1:7" x14ac:dyDescent="0.25">
      <c r="A112" s="48">
        <v>110</v>
      </c>
      <c r="B112" s="48">
        <v>273</v>
      </c>
      <c r="C112" s="48" t="s">
        <v>2445</v>
      </c>
      <c r="D112" s="70" t="s">
        <v>2577</v>
      </c>
      <c r="E112" s="48" t="s">
        <v>154</v>
      </c>
      <c r="F112" s="48" t="s">
        <v>158</v>
      </c>
      <c r="G112" t="s">
        <v>2417</v>
      </c>
    </row>
    <row r="113" spans="1:7" x14ac:dyDescent="0.25">
      <c r="A113" s="48">
        <v>111</v>
      </c>
      <c r="B113" s="48">
        <v>147</v>
      </c>
      <c r="C113" s="48" t="s">
        <v>375</v>
      </c>
      <c r="D113" s="70" t="s">
        <v>2578</v>
      </c>
      <c r="E113" s="48" t="s">
        <v>108</v>
      </c>
      <c r="F113" s="48" t="s">
        <v>159</v>
      </c>
      <c r="G113" t="s">
        <v>2420</v>
      </c>
    </row>
    <row r="114" spans="1:7" x14ac:dyDescent="0.25">
      <c r="A114" s="48">
        <v>112</v>
      </c>
      <c r="B114" s="48">
        <v>265</v>
      </c>
      <c r="C114" s="48" t="s">
        <v>1566</v>
      </c>
      <c r="D114" s="70" t="s">
        <v>2579</v>
      </c>
      <c r="E114" s="48" t="s">
        <v>14</v>
      </c>
      <c r="F114" s="48" t="s">
        <v>156</v>
      </c>
      <c r="G114" t="s">
        <v>2413</v>
      </c>
    </row>
    <row r="115" spans="1:7" x14ac:dyDescent="0.25">
      <c r="A115" s="48">
        <v>113</v>
      </c>
      <c r="B115" s="48">
        <v>246</v>
      </c>
      <c r="C115" s="48" t="s">
        <v>1496</v>
      </c>
      <c r="D115" s="70" t="s">
        <v>2580</v>
      </c>
      <c r="E115" s="48" t="s">
        <v>108</v>
      </c>
      <c r="F115" s="48" t="s">
        <v>161</v>
      </c>
      <c r="G115" t="s">
        <v>2416</v>
      </c>
    </row>
    <row r="116" spans="1:7" x14ac:dyDescent="0.25">
      <c r="A116" s="48">
        <v>114</v>
      </c>
      <c r="B116" s="48">
        <v>421</v>
      </c>
      <c r="C116" s="48" t="s">
        <v>2344</v>
      </c>
      <c r="D116" s="70" t="s">
        <v>2581</v>
      </c>
      <c r="E116" s="48" t="s">
        <v>505</v>
      </c>
      <c r="F116" s="48" t="s">
        <v>162</v>
      </c>
      <c r="G116" t="s">
        <v>2418</v>
      </c>
    </row>
    <row r="117" spans="1:7" x14ac:dyDescent="0.25">
      <c r="A117" s="48">
        <v>115</v>
      </c>
      <c r="B117" s="48">
        <v>280</v>
      </c>
      <c r="C117" s="48" t="s">
        <v>436</v>
      </c>
      <c r="D117" s="70" t="s">
        <v>2582</v>
      </c>
      <c r="E117" s="48" t="s">
        <v>14</v>
      </c>
      <c r="F117" s="48" t="s">
        <v>159</v>
      </c>
      <c r="G117" t="s">
        <v>2420</v>
      </c>
    </row>
    <row r="118" spans="1:7" x14ac:dyDescent="0.25">
      <c r="A118" s="48">
        <v>116</v>
      </c>
      <c r="B118" s="48">
        <v>374</v>
      </c>
      <c r="C118" s="48" t="s">
        <v>2300</v>
      </c>
      <c r="D118" s="70" t="s">
        <v>2583</v>
      </c>
      <c r="E118" s="48" t="s">
        <v>1805</v>
      </c>
      <c r="F118" s="48" t="s">
        <v>67</v>
      </c>
      <c r="G118" t="s">
        <v>2415</v>
      </c>
    </row>
    <row r="119" spans="1:7" x14ac:dyDescent="0.25">
      <c r="A119" s="48">
        <v>117</v>
      </c>
      <c r="B119" s="48">
        <v>321</v>
      </c>
      <c r="C119" s="48" t="s">
        <v>321</v>
      </c>
      <c r="D119" s="70" t="s">
        <v>2584</v>
      </c>
      <c r="E119" s="48" t="s">
        <v>43</v>
      </c>
      <c r="F119" s="48" t="s">
        <v>160</v>
      </c>
      <c r="G119" t="s">
        <v>2417</v>
      </c>
    </row>
    <row r="120" spans="1:7" x14ac:dyDescent="0.25">
      <c r="A120" s="48">
        <v>118</v>
      </c>
      <c r="B120" s="48">
        <v>267</v>
      </c>
      <c r="C120" s="48" t="s">
        <v>221</v>
      </c>
      <c r="D120" s="70" t="s">
        <v>2585</v>
      </c>
      <c r="E120" s="48" t="s">
        <v>38</v>
      </c>
      <c r="F120" s="48" t="s">
        <v>162</v>
      </c>
      <c r="G120" t="s">
        <v>2419</v>
      </c>
    </row>
    <row r="121" spans="1:7" x14ac:dyDescent="0.25">
      <c r="A121" s="48">
        <v>119</v>
      </c>
      <c r="B121" s="48">
        <v>409</v>
      </c>
      <c r="C121" s="48" t="s">
        <v>1751</v>
      </c>
      <c r="D121" s="70" t="s">
        <v>2586</v>
      </c>
      <c r="E121" s="48" t="s">
        <v>63</v>
      </c>
      <c r="F121" s="48" t="s">
        <v>160</v>
      </c>
      <c r="G121" t="s">
        <v>2417</v>
      </c>
    </row>
    <row r="122" spans="1:7" x14ac:dyDescent="0.25">
      <c r="A122" s="48">
        <v>120</v>
      </c>
      <c r="B122" s="48">
        <v>395</v>
      </c>
      <c r="C122" s="48" t="s">
        <v>2462</v>
      </c>
      <c r="D122" s="70" t="s">
        <v>2587</v>
      </c>
      <c r="E122" s="48" t="s">
        <v>12</v>
      </c>
      <c r="F122" s="48" t="s">
        <v>157</v>
      </c>
      <c r="G122" t="s">
        <v>2415</v>
      </c>
    </row>
    <row r="123" spans="1:7" x14ac:dyDescent="0.25">
      <c r="A123" s="48">
        <v>121</v>
      </c>
      <c r="B123" s="48">
        <v>362</v>
      </c>
      <c r="C123" s="48" t="s">
        <v>1575</v>
      </c>
      <c r="D123" s="70" t="s">
        <v>2588</v>
      </c>
      <c r="E123" s="48" t="s">
        <v>12</v>
      </c>
      <c r="F123" s="48" t="s">
        <v>161</v>
      </c>
      <c r="G123" t="s">
        <v>2420</v>
      </c>
    </row>
    <row r="124" spans="1:7" x14ac:dyDescent="0.25">
      <c r="A124" s="48">
        <v>122</v>
      </c>
      <c r="B124" s="48">
        <v>376</v>
      </c>
      <c r="C124" s="48" t="s">
        <v>1410</v>
      </c>
      <c r="D124" s="70" t="s">
        <v>2589</v>
      </c>
      <c r="E124" s="48" t="s">
        <v>63</v>
      </c>
      <c r="F124" s="48" t="s">
        <v>161</v>
      </c>
      <c r="G124" t="s">
        <v>2420</v>
      </c>
    </row>
    <row r="125" spans="1:7" x14ac:dyDescent="0.25">
      <c r="A125" s="48">
        <v>123</v>
      </c>
      <c r="B125" s="48">
        <v>383</v>
      </c>
      <c r="C125" s="48" t="s">
        <v>275</v>
      </c>
      <c r="D125" s="70" t="s">
        <v>2590</v>
      </c>
      <c r="E125" s="48" t="s">
        <v>63</v>
      </c>
      <c r="F125" s="48" t="s">
        <v>67</v>
      </c>
      <c r="G125" t="s">
        <v>2413</v>
      </c>
    </row>
    <row r="126" spans="1:7" x14ac:dyDescent="0.25">
      <c r="A126" s="48">
        <v>124</v>
      </c>
      <c r="B126" s="48">
        <v>218</v>
      </c>
      <c r="C126" s="48" t="s">
        <v>1771</v>
      </c>
      <c r="D126" s="70" t="s">
        <v>2591</v>
      </c>
      <c r="E126" s="48" t="s">
        <v>108</v>
      </c>
      <c r="F126" s="48" t="s">
        <v>67</v>
      </c>
      <c r="G126" t="s">
        <v>2415</v>
      </c>
    </row>
    <row r="127" spans="1:7" x14ac:dyDescent="0.25">
      <c r="A127" s="48">
        <v>125</v>
      </c>
      <c r="B127" s="48">
        <v>243</v>
      </c>
      <c r="C127" s="48" t="s">
        <v>196</v>
      </c>
      <c r="D127" s="70" t="s">
        <v>2592</v>
      </c>
      <c r="E127" s="48" t="s">
        <v>108</v>
      </c>
      <c r="F127" s="48" t="s">
        <v>161</v>
      </c>
      <c r="G127" t="s">
        <v>2420</v>
      </c>
    </row>
    <row r="128" spans="1:7" x14ac:dyDescent="0.25">
      <c r="A128" s="48">
        <v>126</v>
      </c>
      <c r="B128" s="48">
        <v>158</v>
      </c>
      <c r="C128" s="48" t="s">
        <v>421</v>
      </c>
      <c r="D128" s="70" t="s">
        <v>2593</v>
      </c>
      <c r="E128" s="48" t="s">
        <v>14</v>
      </c>
      <c r="F128" s="48" t="s">
        <v>1817</v>
      </c>
      <c r="G128" t="s">
        <v>2422</v>
      </c>
    </row>
    <row r="129" spans="1:7" x14ac:dyDescent="0.25">
      <c r="A129" s="48">
        <v>127</v>
      </c>
      <c r="B129" s="48">
        <v>149</v>
      </c>
      <c r="C129" s="48" t="s">
        <v>188</v>
      </c>
      <c r="D129" s="70" t="s">
        <v>2594</v>
      </c>
      <c r="E129" s="48" t="s">
        <v>108</v>
      </c>
      <c r="F129" s="48" t="s">
        <v>156</v>
      </c>
      <c r="G129" t="s">
        <v>2413</v>
      </c>
    </row>
    <row r="130" spans="1:7" x14ac:dyDescent="0.25">
      <c r="A130" s="48">
        <v>128</v>
      </c>
      <c r="B130" s="48">
        <v>277</v>
      </c>
      <c r="C130" s="48" t="s">
        <v>1164</v>
      </c>
      <c r="D130" s="70" t="s">
        <v>2595</v>
      </c>
      <c r="E130" s="48" t="s">
        <v>2480</v>
      </c>
      <c r="F130" s="48" t="s">
        <v>162</v>
      </c>
      <c r="G130" t="s">
        <v>2418</v>
      </c>
    </row>
    <row r="131" spans="1:7" x14ac:dyDescent="0.25">
      <c r="A131" s="48">
        <v>129</v>
      </c>
      <c r="B131" s="48">
        <v>301</v>
      </c>
      <c r="C131" s="48" t="s">
        <v>1005</v>
      </c>
      <c r="D131" s="70" t="s">
        <v>2596</v>
      </c>
      <c r="E131" s="48" t="s">
        <v>14</v>
      </c>
      <c r="F131" s="48" t="s">
        <v>158</v>
      </c>
      <c r="G131" t="s">
        <v>2416</v>
      </c>
    </row>
    <row r="132" spans="1:7" x14ac:dyDescent="0.25">
      <c r="A132" s="48">
        <v>130</v>
      </c>
      <c r="B132" s="48">
        <v>293</v>
      </c>
      <c r="C132" s="48" t="s">
        <v>1344</v>
      </c>
      <c r="D132" s="70" t="s">
        <v>2597</v>
      </c>
      <c r="E132" s="48" t="s">
        <v>817</v>
      </c>
      <c r="F132" s="48" t="s">
        <v>158</v>
      </c>
      <c r="G132" t="s">
        <v>2417</v>
      </c>
    </row>
    <row r="133" spans="1:7" x14ac:dyDescent="0.25">
      <c r="A133" s="48">
        <v>131</v>
      </c>
      <c r="B133" s="48">
        <v>371</v>
      </c>
      <c r="C133" s="48" t="s">
        <v>907</v>
      </c>
      <c r="D133" s="70" t="s">
        <v>2598</v>
      </c>
      <c r="E133" s="48" t="s">
        <v>12</v>
      </c>
      <c r="F133" s="48" t="s">
        <v>67</v>
      </c>
      <c r="G133" t="s">
        <v>2415</v>
      </c>
    </row>
    <row r="134" spans="1:7" x14ac:dyDescent="0.25">
      <c r="A134" s="48">
        <v>132</v>
      </c>
      <c r="B134" s="48">
        <v>353</v>
      </c>
      <c r="C134" s="48" t="s">
        <v>190</v>
      </c>
      <c r="D134" s="70" t="s">
        <v>2599</v>
      </c>
      <c r="E134" s="48" t="s">
        <v>43</v>
      </c>
      <c r="F134" s="48" t="s">
        <v>67</v>
      </c>
      <c r="G134" t="s">
        <v>2413</v>
      </c>
    </row>
    <row r="135" spans="1:7" x14ac:dyDescent="0.25">
      <c r="A135" s="48">
        <v>133</v>
      </c>
      <c r="B135" s="48">
        <v>241</v>
      </c>
      <c r="C135" s="48" t="s">
        <v>371</v>
      </c>
      <c r="D135" s="70" t="s">
        <v>2600</v>
      </c>
      <c r="E135" s="48" t="s">
        <v>155</v>
      </c>
      <c r="F135" s="48" t="s">
        <v>162</v>
      </c>
      <c r="G135" t="s">
        <v>2418</v>
      </c>
    </row>
    <row r="136" spans="1:7" x14ac:dyDescent="0.25">
      <c r="A136" s="48">
        <v>134</v>
      </c>
      <c r="B136" s="48">
        <v>177</v>
      </c>
      <c r="C136" s="48" t="s">
        <v>283</v>
      </c>
      <c r="D136" s="70" t="s">
        <v>2601</v>
      </c>
      <c r="E136" s="48" t="s">
        <v>155</v>
      </c>
      <c r="F136" s="48" t="s">
        <v>161</v>
      </c>
      <c r="G136" t="s">
        <v>2416</v>
      </c>
    </row>
    <row r="137" spans="1:7" x14ac:dyDescent="0.25">
      <c r="A137" s="48">
        <v>135</v>
      </c>
      <c r="B137" s="48">
        <v>319</v>
      </c>
      <c r="C137" s="48" t="s">
        <v>2449</v>
      </c>
      <c r="D137" s="70" t="s">
        <v>2602</v>
      </c>
      <c r="E137" s="48" t="s">
        <v>38</v>
      </c>
      <c r="F137" s="48" t="s">
        <v>161</v>
      </c>
      <c r="G137" t="s">
        <v>2420</v>
      </c>
    </row>
    <row r="138" spans="1:7" x14ac:dyDescent="0.25">
      <c r="A138" s="48">
        <v>136</v>
      </c>
      <c r="B138" s="48">
        <v>214</v>
      </c>
      <c r="C138" s="48" t="s">
        <v>2438</v>
      </c>
      <c r="D138" s="70" t="s">
        <v>2603</v>
      </c>
      <c r="E138" s="48" t="s">
        <v>154</v>
      </c>
      <c r="F138" s="48" t="s">
        <v>157</v>
      </c>
      <c r="G138" t="s">
        <v>2414</v>
      </c>
    </row>
    <row r="139" spans="1:7" x14ac:dyDescent="0.25">
      <c r="A139" s="48">
        <v>137</v>
      </c>
      <c r="B139" s="48">
        <v>365</v>
      </c>
      <c r="C139" s="48" t="s">
        <v>2217</v>
      </c>
      <c r="D139" s="70" t="s">
        <v>2604</v>
      </c>
      <c r="E139" s="48" t="s">
        <v>1805</v>
      </c>
      <c r="F139" s="48" t="s">
        <v>160</v>
      </c>
      <c r="G139" t="s">
        <v>2414</v>
      </c>
    </row>
    <row r="140" spans="1:7" x14ac:dyDescent="0.25">
      <c r="A140" s="48">
        <v>138</v>
      </c>
      <c r="B140" s="48">
        <v>308</v>
      </c>
      <c r="C140" s="48" t="s">
        <v>2447</v>
      </c>
      <c r="D140" s="70" t="s">
        <v>2605</v>
      </c>
      <c r="E140" s="48" t="s">
        <v>108</v>
      </c>
      <c r="F140" s="48" t="s">
        <v>162</v>
      </c>
      <c r="G140" t="s">
        <v>2418</v>
      </c>
    </row>
    <row r="141" spans="1:7" x14ac:dyDescent="0.25">
      <c r="A141" s="48">
        <v>139</v>
      </c>
      <c r="B141" s="48">
        <v>373</v>
      </c>
      <c r="C141" s="48" t="s">
        <v>2218</v>
      </c>
      <c r="D141" s="70" t="s">
        <v>2606</v>
      </c>
      <c r="E141" s="48" t="s">
        <v>1805</v>
      </c>
      <c r="F141" s="48" t="s">
        <v>157</v>
      </c>
      <c r="G141" t="s">
        <v>2414</v>
      </c>
    </row>
    <row r="142" spans="1:7" x14ac:dyDescent="0.25">
      <c r="A142" s="48">
        <v>140</v>
      </c>
      <c r="B142" s="48">
        <v>221</v>
      </c>
      <c r="C142" s="48" t="s">
        <v>2255</v>
      </c>
      <c r="D142" s="70" t="s">
        <v>2607</v>
      </c>
      <c r="E142" s="48" t="s">
        <v>12</v>
      </c>
      <c r="F142" s="48" t="s">
        <v>160</v>
      </c>
      <c r="G142" t="s">
        <v>2414</v>
      </c>
    </row>
    <row r="143" spans="1:7" x14ac:dyDescent="0.25">
      <c r="A143" s="48">
        <v>141</v>
      </c>
      <c r="B143" s="48">
        <v>213</v>
      </c>
      <c r="C143" s="48" t="s">
        <v>2349</v>
      </c>
      <c r="D143" s="70" t="s">
        <v>2608</v>
      </c>
      <c r="E143" s="48" t="s">
        <v>63</v>
      </c>
      <c r="F143" s="48" t="s">
        <v>67</v>
      </c>
      <c r="G143" t="s">
        <v>2415</v>
      </c>
    </row>
    <row r="144" spans="1:7" x14ac:dyDescent="0.25">
      <c r="A144" s="48">
        <v>142</v>
      </c>
      <c r="B144" s="48">
        <v>418</v>
      </c>
      <c r="C144" s="48" t="s">
        <v>539</v>
      </c>
      <c r="D144" s="70" t="s">
        <v>2609</v>
      </c>
      <c r="E144" s="48" t="s">
        <v>38</v>
      </c>
      <c r="F144" s="48" t="s">
        <v>161</v>
      </c>
      <c r="G144" t="s">
        <v>2420</v>
      </c>
    </row>
    <row r="145" spans="1:7" x14ac:dyDescent="0.25">
      <c r="A145" s="48">
        <v>143</v>
      </c>
      <c r="B145" s="48">
        <v>453</v>
      </c>
      <c r="C145" s="48" t="s">
        <v>2478</v>
      </c>
      <c r="D145" s="70" t="s">
        <v>2610</v>
      </c>
      <c r="E145" s="48" t="s">
        <v>505</v>
      </c>
      <c r="F145" s="48" t="s">
        <v>156</v>
      </c>
      <c r="G145" t="s">
        <v>2413</v>
      </c>
    </row>
    <row r="146" spans="1:7" x14ac:dyDescent="0.25">
      <c r="A146" s="48">
        <v>144</v>
      </c>
      <c r="B146" s="48">
        <v>329</v>
      </c>
      <c r="C146" s="48" t="s">
        <v>233</v>
      </c>
      <c r="D146" s="70" t="s">
        <v>2611</v>
      </c>
      <c r="E146" s="48" t="s">
        <v>38</v>
      </c>
      <c r="F146" s="48" t="s">
        <v>161</v>
      </c>
      <c r="G146" t="s">
        <v>2420</v>
      </c>
    </row>
    <row r="147" spans="1:7" x14ac:dyDescent="0.25">
      <c r="A147" s="48">
        <v>145</v>
      </c>
      <c r="B147" s="48">
        <v>261</v>
      </c>
      <c r="C147" s="48" t="s">
        <v>1250</v>
      </c>
      <c r="D147" s="70" t="s">
        <v>2612</v>
      </c>
      <c r="E147" s="48" t="s">
        <v>12</v>
      </c>
      <c r="F147" s="48" t="s">
        <v>160</v>
      </c>
      <c r="G147" t="s">
        <v>2414</v>
      </c>
    </row>
    <row r="148" spans="1:7" x14ac:dyDescent="0.25">
      <c r="A148" s="48">
        <v>146</v>
      </c>
      <c r="B148" s="48">
        <v>437</v>
      </c>
      <c r="C148" s="48" t="s">
        <v>1360</v>
      </c>
      <c r="D148" s="70" t="s">
        <v>2613</v>
      </c>
      <c r="E148" s="48" t="s">
        <v>38</v>
      </c>
      <c r="F148" s="48" t="s">
        <v>162</v>
      </c>
      <c r="G148" t="s">
        <v>2418</v>
      </c>
    </row>
    <row r="149" spans="1:7" x14ac:dyDescent="0.25">
      <c r="A149" s="48">
        <v>147</v>
      </c>
      <c r="B149" s="48">
        <v>256</v>
      </c>
      <c r="C149" s="48" t="s">
        <v>782</v>
      </c>
      <c r="D149" s="70" t="s">
        <v>2614</v>
      </c>
      <c r="E149" s="48" t="s">
        <v>12</v>
      </c>
      <c r="F149" s="48" t="s">
        <v>157</v>
      </c>
      <c r="G149" t="s">
        <v>2415</v>
      </c>
    </row>
    <row r="150" spans="1:7" x14ac:dyDescent="0.25">
      <c r="A150" s="48">
        <v>148</v>
      </c>
      <c r="B150" s="48">
        <v>204</v>
      </c>
      <c r="C150" s="48" t="s">
        <v>1359</v>
      </c>
      <c r="D150" s="70" t="s">
        <v>2615</v>
      </c>
      <c r="E150" s="48" t="s">
        <v>12</v>
      </c>
      <c r="F150" s="48" t="s">
        <v>158</v>
      </c>
      <c r="G150" t="s">
        <v>2416</v>
      </c>
    </row>
    <row r="151" spans="1:7" x14ac:dyDescent="0.25">
      <c r="A151" s="48">
        <v>149</v>
      </c>
      <c r="B151" s="48">
        <v>316</v>
      </c>
      <c r="C151" s="48" t="s">
        <v>1511</v>
      </c>
      <c r="D151" s="70" t="s">
        <v>2616</v>
      </c>
      <c r="E151" s="48" t="s">
        <v>155</v>
      </c>
      <c r="F151" s="48" t="s">
        <v>158</v>
      </c>
      <c r="G151" t="s">
        <v>2417</v>
      </c>
    </row>
    <row r="152" spans="1:7" x14ac:dyDescent="0.25">
      <c r="A152" s="48">
        <v>150</v>
      </c>
      <c r="B152" s="48">
        <v>388</v>
      </c>
      <c r="C152" s="48" t="s">
        <v>2459</v>
      </c>
      <c r="D152" s="70" t="s">
        <v>2617</v>
      </c>
      <c r="E152" s="48" t="s">
        <v>63</v>
      </c>
      <c r="F152" s="48" t="s">
        <v>160</v>
      </c>
      <c r="G152" t="s">
        <v>2414</v>
      </c>
    </row>
    <row r="153" spans="1:7" x14ac:dyDescent="0.25">
      <c r="A153" s="48">
        <v>151</v>
      </c>
      <c r="B153" s="48">
        <v>253</v>
      </c>
      <c r="C153" s="48" t="s">
        <v>1452</v>
      </c>
      <c r="D153" s="70" t="s">
        <v>2618</v>
      </c>
      <c r="E153" s="48" t="s">
        <v>14</v>
      </c>
      <c r="F153" s="48" t="s">
        <v>157</v>
      </c>
      <c r="G153" t="s">
        <v>2414</v>
      </c>
    </row>
    <row r="154" spans="1:7" x14ac:dyDescent="0.25">
      <c r="A154" s="48">
        <v>152</v>
      </c>
      <c r="B154" s="48">
        <v>297</v>
      </c>
      <c r="C154" s="48" t="s">
        <v>2446</v>
      </c>
      <c r="D154" s="70" t="s">
        <v>2619</v>
      </c>
      <c r="E154" s="48" t="s">
        <v>505</v>
      </c>
      <c r="F154" s="48" t="s">
        <v>67</v>
      </c>
      <c r="G154" t="s">
        <v>2415</v>
      </c>
    </row>
    <row r="155" spans="1:7" x14ac:dyDescent="0.25">
      <c r="A155" s="48">
        <v>153</v>
      </c>
      <c r="B155" s="48">
        <v>255</v>
      </c>
      <c r="C155" s="48" t="s">
        <v>1690</v>
      </c>
      <c r="D155" s="70" t="s">
        <v>2620</v>
      </c>
      <c r="E155" s="48" t="s">
        <v>12</v>
      </c>
      <c r="F155" s="48" t="s">
        <v>159</v>
      </c>
      <c r="G155" t="s">
        <v>2420</v>
      </c>
    </row>
    <row r="156" spans="1:7" x14ac:dyDescent="0.25">
      <c r="A156" s="48">
        <v>154</v>
      </c>
      <c r="B156" s="48">
        <v>445</v>
      </c>
      <c r="C156" s="48" t="s">
        <v>2475</v>
      </c>
      <c r="D156" s="70" t="s">
        <v>2621</v>
      </c>
      <c r="E156" s="48" t="s">
        <v>14</v>
      </c>
      <c r="F156" s="48" t="s">
        <v>67</v>
      </c>
      <c r="G156" t="s">
        <v>2413</v>
      </c>
    </row>
    <row r="157" spans="1:7" x14ac:dyDescent="0.25">
      <c r="A157" s="48">
        <v>155</v>
      </c>
      <c r="B157" s="48">
        <v>359</v>
      </c>
      <c r="C157" s="48" t="s">
        <v>2454</v>
      </c>
      <c r="D157" s="70" t="s">
        <v>2622</v>
      </c>
      <c r="E157" s="48" t="s">
        <v>12</v>
      </c>
      <c r="F157" s="48" t="s">
        <v>160</v>
      </c>
      <c r="G157" t="s">
        <v>2414</v>
      </c>
    </row>
    <row r="158" spans="1:7" x14ac:dyDescent="0.25">
      <c r="A158" s="48">
        <v>156</v>
      </c>
      <c r="B158" s="48">
        <v>278</v>
      </c>
      <c r="C158" s="48" t="s">
        <v>623</v>
      </c>
      <c r="D158" s="70" t="s">
        <v>2623</v>
      </c>
      <c r="E158" s="48" t="s">
        <v>14</v>
      </c>
      <c r="F158" s="48" t="s">
        <v>162</v>
      </c>
      <c r="G158" t="s">
        <v>2418</v>
      </c>
    </row>
    <row r="159" spans="1:7" x14ac:dyDescent="0.25">
      <c r="A159" s="48">
        <v>157</v>
      </c>
      <c r="B159" s="48">
        <v>384</v>
      </c>
      <c r="C159" s="48" t="s">
        <v>251</v>
      </c>
      <c r="D159" s="70" t="s">
        <v>2624</v>
      </c>
      <c r="E159" s="48" t="s">
        <v>63</v>
      </c>
      <c r="F159" s="48" t="s">
        <v>157</v>
      </c>
      <c r="G159" t="s">
        <v>2414</v>
      </c>
    </row>
    <row r="160" spans="1:7" x14ac:dyDescent="0.25">
      <c r="A160" s="48">
        <v>158</v>
      </c>
      <c r="B160" s="48">
        <v>318</v>
      </c>
      <c r="C160" s="48" t="s">
        <v>2353</v>
      </c>
      <c r="D160" s="70" t="s">
        <v>2625</v>
      </c>
      <c r="E160" s="48" t="s">
        <v>154</v>
      </c>
      <c r="F160" s="48" t="s">
        <v>158</v>
      </c>
      <c r="G160" t="s">
        <v>2417</v>
      </c>
    </row>
    <row r="161" spans="1:7" x14ac:dyDescent="0.25">
      <c r="A161" s="48">
        <v>159</v>
      </c>
      <c r="B161" s="48">
        <v>392</v>
      </c>
      <c r="C161" s="48" t="s">
        <v>2461</v>
      </c>
      <c r="D161" s="70" t="s">
        <v>2626</v>
      </c>
      <c r="E161" s="48" t="s">
        <v>12</v>
      </c>
      <c r="F161" s="48" t="s">
        <v>161</v>
      </c>
      <c r="G161" t="s">
        <v>2416</v>
      </c>
    </row>
    <row r="162" spans="1:7" x14ac:dyDescent="0.25">
      <c r="A162" s="48">
        <v>160</v>
      </c>
      <c r="B162" s="48">
        <v>282</v>
      </c>
      <c r="C162" s="48" t="s">
        <v>1891</v>
      </c>
      <c r="D162" s="70" t="s">
        <v>2627</v>
      </c>
      <c r="E162" s="48" t="s">
        <v>14</v>
      </c>
      <c r="F162" s="48" t="s">
        <v>161</v>
      </c>
      <c r="G162" t="s">
        <v>2416</v>
      </c>
    </row>
    <row r="163" spans="1:7" x14ac:dyDescent="0.25">
      <c r="A163" s="48">
        <v>161</v>
      </c>
      <c r="B163" s="48">
        <v>210</v>
      </c>
      <c r="C163" s="48" t="s">
        <v>181</v>
      </c>
      <c r="D163" s="70" t="s">
        <v>2628</v>
      </c>
      <c r="E163" s="48" t="s">
        <v>12</v>
      </c>
      <c r="F163" s="48" t="s">
        <v>158</v>
      </c>
      <c r="G163" t="s">
        <v>2417</v>
      </c>
    </row>
    <row r="164" spans="1:7" x14ac:dyDescent="0.25">
      <c r="A164" s="48">
        <v>162</v>
      </c>
      <c r="B164" s="48">
        <v>173</v>
      </c>
      <c r="C164" s="48" t="s">
        <v>524</v>
      </c>
      <c r="D164" s="70" t="s">
        <v>2629</v>
      </c>
      <c r="E164" s="48" t="s">
        <v>63</v>
      </c>
      <c r="F164" s="48" t="s">
        <v>67</v>
      </c>
      <c r="G164" t="s">
        <v>2415</v>
      </c>
    </row>
    <row r="165" spans="1:7" x14ac:dyDescent="0.25">
      <c r="A165" s="48">
        <v>163</v>
      </c>
      <c r="B165" s="48">
        <v>202</v>
      </c>
      <c r="C165" s="48" t="s">
        <v>1784</v>
      </c>
      <c r="D165" s="70" t="s">
        <v>2630</v>
      </c>
      <c r="E165" s="48" t="s">
        <v>12</v>
      </c>
      <c r="F165" s="48" t="s">
        <v>160</v>
      </c>
      <c r="G165" t="s">
        <v>2417</v>
      </c>
    </row>
    <row r="166" spans="1:7" x14ac:dyDescent="0.25">
      <c r="A166" s="48">
        <v>164</v>
      </c>
      <c r="B166" s="48">
        <v>216</v>
      </c>
      <c r="C166" s="48" t="s">
        <v>1182</v>
      </c>
      <c r="D166" s="70" t="s">
        <v>2631</v>
      </c>
      <c r="E166" s="48" t="s">
        <v>63</v>
      </c>
      <c r="F166" s="48" t="s">
        <v>159</v>
      </c>
      <c r="G166" t="s">
        <v>2418</v>
      </c>
    </row>
    <row r="167" spans="1:7" x14ac:dyDescent="0.25">
      <c r="A167" s="48">
        <v>165</v>
      </c>
      <c r="B167" s="48">
        <v>363</v>
      </c>
      <c r="C167" s="48" t="s">
        <v>2456</v>
      </c>
      <c r="D167" s="70" t="s">
        <v>2632</v>
      </c>
      <c r="E167" s="48" t="s">
        <v>12</v>
      </c>
      <c r="F167" s="48" t="s">
        <v>67</v>
      </c>
      <c r="G167" t="s">
        <v>2421</v>
      </c>
    </row>
    <row r="168" spans="1:7" x14ac:dyDescent="0.25">
      <c r="A168" s="48">
        <v>166</v>
      </c>
      <c r="B168" s="48">
        <v>287</v>
      </c>
      <c r="C168" s="48" t="s">
        <v>2147</v>
      </c>
      <c r="D168" s="70" t="s">
        <v>2633</v>
      </c>
      <c r="E168" s="48" t="s">
        <v>63</v>
      </c>
      <c r="F168" s="48" t="s">
        <v>156</v>
      </c>
      <c r="G168" t="s">
        <v>2413</v>
      </c>
    </row>
    <row r="169" spans="1:7" x14ac:dyDescent="0.25">
      <c r="A169" s="48">
        <v>167</v>
      </c>
      <c r="B169" s="48">
        <v>426</v>
      </c>
      <c r="C169" s="48" t="s">
        <v>1002</v>
      </c>
      <c r="D169" s="70" t="s">
        <v>2634</v>
      </c>
      <c r="E169" s="48" t="s">
        <v>14</v>
      </c>
      <c r="F169" s="48" t="s">
        <v>162</v>
      </c>
      <c r="G169" t="s">
        <v>2418</v>
      </c>
    </row>
    <row r="170" spans="1:7" x14ac:dyDescent="0.25">
      <c r="A170" s="48">
        <v>168</v>
      </c>
      <c r="B170" s="48">
        <v>366</v>
      </c>
      <c r="C170" s="48" t="s">
        <v>281</v>
      </c>
      <c r="D170" s="70" t="s">
        <v>2635</v>
      </c>
      <c r="E170" s="48" t="s">
        <v>155</v>
      </c>
      <c r="F170" s="48" t="s">
        <v>157</v>
      </c>
      <c r="G170" t="s">
        <v>2414</v>
      </c>
    </row>
    <row r="171" spans="1:7" x14ac:dyDescent="0.25">
      <c r="A171" s="48">
        <v>169</v>
      </c>
      <c r="B171" s="48">
        <v>271</v>
      </c>
      <c r="C171" s="48" t="s">
        <v>749</v>
      </c>
      <c r="D171" s="70" t="s">
        <v>2636</v>
      </c>
      <c r="E171" s="48" t="s">
        <v>14</v>
      </c>
      <c r="F171" s="48" t="s">
        <v>159</v>
      </c>
      <c r="G171" t="s">
        <v>2420</v>
      </c>
    </row>
    <row r="172" spans="1:7" x14ac:dyDescent="0.25">
      <c r="A172" s="48">
        <v>170</v>
      </c>
      <c r="B172" s="48">
        <v>400</v>
      </c>
      <c r="C172" s="48" t="s">
        <v>2463</v>
      </c>
      <c r="D172" s="70" t="s">
        <v>2637</v>
      </c>
      <c r="E172" s="48" t="s">
        <v>43</v>
      </c>
      <c r="F172" s="48" t="s">
        <v>162</v>
      </c>
      <c r="G172" t="s">
        <v>2419</v>
      </c>
    </row>
    <row r="173" spans="1:7" x14ac:dyDescent="0.25">
      <c r="A173" s="48">
        <v>171</v>
      </c>
      <c r="B173" s="48">
        <v>433</v>
      </c>
      <c r="C173" s="48" t="s">
        <v>2472</v>
      </c>
      <c r="D173" s="70" t="s">
        <v>2638</v>
      </c>
      <c r="E173" s="48" t="s">
        <v>505</v>
      </c>
      <c r="F173" s="48" t="s">
        <v>67</v>
      </c>
      <c r="G173" t="s">
        <v>2413</v>
      </c>
    </row>
    <row r="174" spans="1:7" x14ac:dyDescent="0.25">
      <c r="A174" s="48">
        <v>172</v>
      </c>
      <c r="B174" s="48">
        <v>269</v>
      </c>
      <c r="C174" s="48" t="s">
        <v>185</v>
      </c>
      <c r="D174" s="70" t="s">
        <v>2639</v>
      </c>
      <c r="E174" s="48" t="s">
        <v>12</v>
      </c>
      <c r="F174" s="48" t="s">
        <v>158</v>
      </c>
      <c r="G174" t="s">
        <v>2417</v>
      </c>
    </row>
    <row r="175" spans="1:7" x14ac:dyDescent="0.25">
      <c r="A175" s="48">
        <v>173</v>
      </c>
      <c r="B175" s="48">
        <v>449</v>
      </c>
      <c r="C175" s="48" t="s">
        <v>1017</v>
      </c>
      <c r="D175" s="70" t="s">
        <v>2640</v>
      </c>
      <c r="E175" s="48" t="s">
        <v>43</v>
      </c>
      <c r="F175" s="48" t="s">
        <v>162</v>
      </c>
      <c r="G175" t="s">
        <v>2419</v>
      </c>
    </row>
    <row r="176" spans="1:7" x14ac:dyDescent="0.25">
      <c r="A176" s="48">
        <v>174</v>
      </c>
      <c r="B176" s="48">
        <v>272</v>
      </c>
      <c r="C176" s="48" t="s">
        <v>1183</v>
      </c>
      <c r="D176" s="70" t="s">
        <v>2641</v>
      </c>
      <c r="E176" s="48" t="s">
        <v>108</v>
      </c>
      <c r="F176" s="48" t="s">
        <v>158</v>
      </c>
      <c r="G176" t="s">
        <v>2416</v>
      </c>
    </row>
    <row r="177" spans="1:7" x14ac:dyDescent="0.25">
      <c r="A177" s="48">
        <v>175</v>
      </c>
      <c r="B177" s="48">
        <v>405</v>
      </c>
      <c r="C177" s="48" t="s">
        <v>276</v>
      </c>
      <c r="D177" s="70" t="s">
        <v>2642</v>
      </c>
      <c r="E177" s="48" t="s">
        <v>63</v>
      </c>
      <c r="F177" s="48" t="s">
        <v>157</v>
      </c>
      <c r="G177" t="s">
        <v>2414</v>
      </c>
    </row>
    <row r="178" spans="1:7" x14ac:dyDescent="0.25">
      <c r="A178" s="48">
        <v>176</v>
      </c>
      <c r="B178" s="48">
        <v>200</v>
      </c>
      <c r="C178" s="48" t="s">
        <v>2228</v>
      </c>
      <c r="D178" s="70" t="s">
        <v>2643</v>
      </c>
      <c r="E178" s="48" t="s">
        <v>12</v>
      </c>
      <c r="F178" s="48" t="s">
        <v>156</v>
      </c>
      <c r="G178" t="s">
        <v>2413</v>
      </c>
    </row>
    <row r="179" spans="1:7" x14ac:dyDescent="0.25">
      <c r="A179" s="48">
        <v>177</v>
      </c>
      <c r="B179" s="48">
        <v>232</v>
      </c>
      <c r="C179" s="48" t="s">
        <v>2441</v>
      </c>
      <c r="D179" s="70" t="s">
        <v>2644</v>
      </c>
      <c r="E179" s="48" t="s">
        <v>155</v>
      </c>
      <c r="F179" s="48" t="s">
        <v>67</v>
      </c>
      <c r="G179" t="s">
        <v>2415</v>
      </c>
    </row>
    <row r="180" spans="1:7" x14ac:dyDescent="0.25">
      <c r="A180" s="48">
        <v>178</v>
      </c>
      <c r="B180" s="48">
        <v>192</v>
      </c>
      <c r="C180" s="48" t="s">
        <v>1835</v>
      </c>
      <c r="D180" s="70" t="s">
        <v>2645</v>
      </c>
      <c r="E180" s="48" t="s">
        <v>155</v>
      </c>
      <c r="F180" s="48" t="s">
        <v>156</v>
      </c>
      <c r="G180" t="s">
        <v>2413</v>
      </c>
    </row>
    <row r="181" spans="1:7" x14ac:dyDescent="0.25">
      <c r="A181" s="48">
        <v>179</v>
      </c>
      <c r="B181" s="48">
        <v>296</v>
      </c>
      <c r="C181" s="48" t="s">
        <v>380</v>
      </c>
      <c r="D181" s="70" t="s">
        <v>2646</v>
      </c>
      <c r="E181" s="48" t="s">
        <v>43</v>
      </c>
      <c r="F181" s="48" t="s">
        <v>157</v>
      </c>
      <c r="G181" t="s">
        <v>2414</v>
      </c>
    </row>
    <row r="182" spans="1:7" x14ac:dyDescent="0.25">
      <c r="A182" s="48">
        <v>180</v>
      </c>
      <c r="B182" s="48">
        <v>148</v>
      </c>
      <c r="C182" s="48" t="s">
        <v>1713</v>
      </c>
      <c r="D182" s="70" t="s">
        <v>2646</v>
      </c>
      <c r="E182" s="48" t="s">
        <v>108</v>
      </c>
      <c r="F182" s="48" t="s">
        <v>156</v>
      </c>
      <c r="G182" t="s">
        <v>2413</v>
      </c>
    </row>
    <row r="183" spans="1:7" x14ac:dyDescent="0.25">
      <c r="A183" s="48">
        <v>181</v>
      </c>
      <c r="B183" s="48">
        <v>370</v>
      </c>
      <c r="C183" s="48" t="s">
        <v>232</v>
      </c>
      <c r="D183" s="70" t="s">
        <v>2647</v>
      </c>
      <c r="E183" s="48" t="s">
        <v>38</v>
      </c>
      <c r="F183" s="48" t="s">
        <v>160</v>
      </c>
      <c r="G183" t="s">
        <v>2414</v>
      </c>
    </row>
    <row r="184" spans="1:7" x14ac:dyDescent="0.25">
      <c r="A184" s="48">
        <v>182</v>
      </c>
      <c r="B184" s="48">
        <v>307</v>
      </c>
      <c r="C184" s="48" t="s">
        <v>1468</v>
      </c>
      <c r="D184" s="70" t="s">
        <v>2648</v>
      </c>
      <c r="E184" s="48" t="s">
        <v>155</v>
      </c>
      <c r="F184" s="48" t="s">
        <v>160</v>
      </c>
      <c r="G184" t="s">
        <v>2417</v>
      </c>
    </row>
    <row r="185" spans="1:7" x14ac:dyDescent="0.25">
      <c r="A185" s="48">
        <v>183</v>
      </c>
      <c r="B185" s="48">
        <v>443</v>
      </c>
      <c r="C185" s="48" t="s">
        <v>2473</v>
      </c>
      <c r="D185" s="70" t="s">
        <v>2649</v>
      </c>
      <c r="E185" s="48" t="s">
        <v>12</v>
      </c>
      <c r="F185" s="48" t="s">
        <v>157</v>
      </c>
      <c r="G185" t="s">
        <v>2414</v>
      </c>
    </row>
    <row r="186" spans="1:7" x14ac:dyDescent="0.25">
      <c r="A186" s="48">
        <v>184</v>
      </c>
      <c r="B186" s="48">
        <v>164</v>
      </c>
      <c r="C186" s="48" t="s">
        <v>2436</v>
      </c>
      <c r="D186" s="70" t="s">
        <v>2649</v>
      </c>
      <c r="E186" s="48" t="s">
        <v>154</v>
      </c>
      <c r="F186" s="48" t="s">
        <v>162</v>
      </c>
      <c r="G186" t="s">
        <v>2418</v>
      </c>
    </row>
    <row r="187" spans="1:7" x14ac:dyDescent="0.25">
      <c r="A187" s="48">
        <v>185</v>
      </c>
      <c r="B187" s="48">
        <v>323</v>
      </c>
      <c r="C187" s="48" t="s">
        <v>1681</v>
      </c>
      <c r="D187" s="70" t="s">
        <v>2649</v>
      </c>
      <c r="E187" s="48" t="s">
        <v>12</v>
      </c>
      <c r="F187" s="48" t="s">
        <v>157</v>
      </c>
      <c r="G187" t="s">
        <v>2414</v>
      </c>
    </row>
    <row r="188" spans="1:7" x14ac:dyDescent="0.25">
      <c r="A188" s="48">
        <v>186</v>
      </c>
      <c r="B188" s="48">
        <v>446</v>
      </c>
      <c r="C188" s="48" t="s">
        <v>2476</v>
      </c>
      <c r="D188" s="70" t="s">
        <v>2650</v>
      </c>
      <c r="E188" s="48" t="s">
        <v>505</v>
      </c>
      <c r="F188" s="48" t="s">
        <v>156</v>
      </c>
      <c r="G188" t="s">
        <v>2413</v>
      </c>
    </row>
    <row r="189" spans="1:7" x14ac:dyDescent="0.25">
      <c r="A189" s="48">
        <v>187</v>
      </c>
      <c r="B189" s="48">
        <v>393</v>
      </c>
      <c r="C189" s="48" t="s">
        <v>919</v>
      </c>
      <c r="D189" s="70" t="s">
        <v>2651</v>
      </c>
      <c r="E189" s="48" t="s">
        <v>108</v>
      </c>
      <c r="F189" s="48" t="s">
        <v>156</v>
      </c>
      <c r="G189" t="s">
        <v>2413</v>
      </c>
    </row>
    <row r="190" spans="1:7" x14ac:dyDescent="0.25">
      <c r="A190" s="48">
        <v>188</v>
      </c>
      <c r="B190" s="48">
        <v>199</v>
      </c>
      <c r="C190" s="48" t="s">
        <v>258</v>
      </c>
      <c r="D190" s="70" t="s">
        <v>2652</v>
      </c>
      <c r="E190" s="48" t="s">
        <v>12</v>
      </c>
      <c r="F190" s="48" t="s">
        <v>159</v>
      </c>
      <c r="G190" t="s">
        <v>2420</v>
      </c>
    </row>
    <row r="191" spans="1:7" x14ac:dyDescent="0.25">
      <c r="A191" s="48">
        <v>189</v>
      </c>
      <c r="B191" s="48">
        <v>416</v>
      </c>
      <c r="C191" s="48" t="s">
        <v>1420</v>
      </c>
      <c r="D191" s="70" t="s">
        <v>2653</v>
      </c>
      <c r="E191" s="48" t="s">
        <v>155</v>
      </c>
      <c r="F191" s="48" t="s">
        <v>67</v>
      </c>
      <c r="G191" t="s">
        <v>2413</v>
      </c>
    </row>
    <row r="192" spans="1:7" x14ac:dyDescent="0.25">
      <c r="A192" s="48">
        <v>190</v>
      </c>
      <c r="B192" s="48">
        <v>452</v>
      </c>
      <c r="C192" s="48" t="s">
        <v>1743</v>
      </c>
      <c r="D192" s="70" t="s">
        <v>2654</v>
      </c>
      <c r="E192" s="48" t="s">
        <v>154</v>
      </c>
      <c r="F192" s="48" t="s">
        <v>158</v>
      </c>
      <c r="G192" t="s">
        <v>2417</v>
      </c>
    </row>
    <row r="193" spans="1:7" x14ac:dyDescent="0.25">
      <c r="A193" s="48">
        <v>191</v>
      </c>
      <c r="B193" s="48">
        <v>290</v>
      </c>
      <c r="C193" s="48" t="s">
        <v>2274</v>
      </c>
      <c r="D193" s="70" t="s">
        <v>2655</v>
      </c>
      <c r="E193" s="48" t="s">
        <v>155</v>
      </c>
      <c r="F193" s="48" t="s">
        <v>157</v>
      </c>
      <c r="G193" t="s">
        <v>2415</v>
      </c>
    </row>
    <row r="194" spans="1:7" x14ac:dyDescent="0.25">
      <c r="A194" s="48">
        <v>192</v>
      </c>
      <c r="B194" s="48">
        <v>432</v>
      </c>
      <c r="C194" s="48" t="s">
        <v>1861</v>
      </c>
      <c r="D194" s="70" t="s">
        <v>2656</v>
      </c>
      <c r="E194" s="48" t="s">
        <v>12</v>
      </c>
      <c r="F194" s="48" t="s">
        <v>156</v>
      </c>
      <c r="G194" t="s">
        <v>2413</v>
      </c>
    </row>
    <row r="195" spans="1:7" x14ac:dyDescent="0.25">
      <c r="A195" s="48">
        <v>193</v>
      </c>
      <c r="B195" s="48">
        <v>413</v>
      </c>
      <c r="C195" s="48" t="s">
        <v>1637</v>
      </c>
      <c r="D195" s="70" t="s">
        <v>2657</v>
      </c>
      <c r="E195" s="48" t="s">
        <v>63</v>
      </c>
      <c r="F195" s="48" t="s">
        <v>157</v>
      </c>
      <c r="G195" t="s">
        <v>2414</v>
      </c>
    </row>
    <row r="196" spans="1:7" x14ac:dyDescent="0.25">
      <c r="A196" s="48">
        <v>194</v>
      </c>
      <c r="B196" s="48">
        <v>167</v>
      </c>
      <c r="C196" s="48" t="s">
        <v>1792</v>
      </c>
      <c r="D196" s="70" t="s">
        <v>2658</v>
      </c>
      <c r="E196" s="48" t="s">
        <v>1805</v>
      </c>
      <c r="F196" s="48" t="s">
        <v>161</v>
      </c>
      <c r="G196" t="s">
        <v>2420</v>
      </c>
    </row>
    <row r="197" spans="1:7" x14ac:dyDescent="0.25">
      <c r="A197" s="48">
        <v>195</v>
      </c>
      <c r="B197" s="48">
        <v>344</v>
      </c>
      <c r="C197" s="48" t="s">
        <v>1403</v>
      </c>
      <c r="D197" s="70" t="s">
        <v>2659</v>
      </c>
      <c r="E197" s="48" t="s">
        <v>63</v>
      </c>
      <c r="F197" s="48" t="s">
        <v>160</v>
      </c>
      <c r="G197" t="s">
        <v>2414</v>
      </c>
    </row>
    <row r="198" spans="1:7" x14ac:dyDescent="0.25">
      <c r="A198" s="48">
        <v>196</v>
      </c>
      <c r="B198" s="48">
        <v>234</v>
      </c>
      <c r="C198" s="48" t="s">
        <v>511</v>
      </c>
      <c r="D198" s="70" t="s">
        <v>2660</v>
      </c>
      <c r="E198" s="48" t="s">
        <v>12</v>
      </c>
      <c r="F198" s="48" t="s">
        <v>159</v>
      </c>
      <c r="G198" t="s">
        <v>2420</v>
      </c>
    </row>
    <row r="199" spans="1:7" x14ac:dyDescent="0.25">
      <c r="A199" s="48">
        <v>197</v>
      </c>
      <c r="B199" s="48">
        <v>249</v>
      </c>
      <c r="C199" s="48" t="s">
        <v>218</v>
      </c>
      <c r="D199" s="70" t="s">
        <v>2661</v>
      </c>
      <c r="E199" s="48" t="s">
        <v>38</v>
      </c>
      <c r="F199" s="48" t="s">
        <v>1817</v>
      </c>
      <c r="G199" t="s">
        <v>2422</v>
      </c>
    </row>
    <row r="200" spans="1:7" x14ac:dyDescent="0.25">
      <c r="A200" s="48">
        <v>198</v>
      </c>
      <c r="B200" s="48">
        <v>292</v>
      </c>
      <c r="C200" s="48" t="s">
        <v>1455</v>
      </c>
      <c r="D200" s="70" t="s">
        <v>2662</v>
      </c>
      <c r="E200" s="48" t="s">
        <v>154</v>
      </c>
      <c r="F200" s="48" t="s">
        <v>158</v>
      </c>
      <c r="G200" t="s">
        <v>2417</v>
      </c>
    </row>
    <row r="201" spans="1:7" x14ac:dyDescent="0.25">
      <c r="A201" s="48">
        <v>199</v>
      </c>
      <c r="B201" s="48">
        <v>165</v>
      </c>
      <c r="C201" s="48" t="s">
        <v>2437</v>
      </c>
      <c r="D201" s="70" t="s">
        <v>2663</v>
      </c>
      <c r="E201" s="48" t="s">
        <v>108</v>
      </c>
      <c r="F201" s="48" t="s">
        <v>159</v>
      </c>
      <c r="G201" t="s">
        <v>2418</v>
      </c>
    </row>
    <row r="202" spans="1:7" x14ac:dyDescent="0.25">
      <c r="A202" s="48">
        <v>200</v>
      </c>
      <c r="B202" s="48">
        <v>364</v>
      </c>
      <c r="C202" s="48" t="s">
        <v>2236</v>
      </c>
      <c r="D202" s="70" t="s">
        <v>2664</v>
      </c>
      <c r="E202" s="48" t="s">
        <v>1805</v>
      </c>
      <c r="F202" s="48" t="s">
        <v>157</v>
      </c>
      <c r="G202" t="s">
        <v>2415</v>
      </c>
    </row>
    <row r="203" spans="1:7" x14ac:dyDescent="0.25">
      <c r="A203" s="48">
        <v>201</v>
      </c>
      <c r="B203" s="48">
        <v>391</v>
      </c>
      <c r="C203" s="48" t="s">
        <v>280</v>
      </c>
      <c r="D203" s="70" t="s">
        <v>2665</v>
      </c>
      <c r="E203" s="48" t="s">
        <v>155</v>
      </c>
      <c r="F203" s="48" t="s">
        <v>157</v>
      </c>
      <c r="G203" t="s">
        <v>2414</v>
      </c>
    </row>
    <row r="204" spans="1:7" x14ac:dyDescent="0.25">
      <c r="A204" s="48">
        <v>202</v>
      </c>
      <c r="B204" s="48">
        <v>188</v>
      </c>
      <c r="C204" s="48" t="s">
        <v>1677</v>
      </c>
      <c r="D204" s="70" t="s">
        <v>2666</v>
      </c>
      <c r="E204" s="48" t="s">
        <v>14</v>
      </c>
      <c r="F204" s="48" t="s">
        <v>159</v>
      </c>
      <c r="G204" t="s">
        <v>2420</v>
      </c>
    </row>
    <row r="205" spans="1:7" x14ac:dyDescent="0.25">
      <c r="A205" s="48">
        <v>203</v>
      </c>
      <c r="B205" s="48">
        <v>238</v>
      </c>
      <c r="C205" s="48" t="s">
        <v>377</v>
      </c>
      <c r="D205" s="70" t="s">
        <v>2667</v>
      </c>
      <c r="E205" s="48" t="s">
        <v>155</v>
      </c>
      <c r="F205" s="48" t="s">
        <v>157</v>
      </c>
      <c r="G205" t="s">
        <v>2415</v>
      </c>
    </row>
    <row r="206" spans="1:7" x14ac:dyDescent="0.25">
      <c r="A206" s="48">
        <v>204</v>
      </c>
      <c r="B206" s="48">
        <v>170</v>
      </c>
      <c r="C206" s="48" t="s">
        <v>2234</v>
      </c>
      <c r="D206" s="70" t="s">
        <v>2668</v>
      </c>
      <c r="E206" s="48" t="s">
        <v>1805</v>
      </c>
      <c r="F206" s="48" t="s">
        <v>157</v>
      </c>
      <c r="G206" t="s">
        <v>2415</v>
      </c>
    </row>
    <row r="207" spans="1:7" x14ac:dyDescent="0.25">
      <c r="A207" s="48">
        <v>205</v>
      </c>
      <c r="B207" s="48">
        <v>279</v>
      </c>
      <c r="C207" s="48" t="s">
        <v>2235</v>
      </c>
      <c r="D207" s="70" t="s">
        <v>2669</v>
      </c>
      <c r="E207" s="48" t="s">
        <v>155</v>
      </c>
      <c r="F207" s="48" t="s">
        <v>67</v>
      </c>
      <c r="G207" t="s">
        <v>2415</v>
      </c>
    </row>
    <row r="208" spans="1:7" x14ac:dyDescent="0.25">
      <c r="A208" s="48">
        <v>206</v>
      </c>
      <c r="B208" s="48">
        <v>166</v>
      </c>
      <c r="C208" s="48" t="s">
        <v>1371</v>
      </c>
      <c r="D208" s="70" t="s">
        <v>2670</v>
      </c>
      <c r="E208" s="48" t="s">
        <v>38</v>
      </c>
      <c r="F208" s="48" t="s">
        <v>157</v>
      </c>
      <c r="G208" t="s">
        <v>2415</v>
      </c>
    </row>
    <row r="209" spans="1:7" x14ac:dyDescent="0.25">
      <c r="A209" s="48">
        <v>207</v>
      </c>
      <c r="B209" s="48">
        <v>209</v>
      </c>
      <c r="C209" s="48" t="s">
        <v>1992</v>
      </c>
      <c r="D209" s="70" t="s">
        <v>2671</v>
      </c>
      <c r="E209" s="48" t="s">
        <v>12</v>
      </c>
      <c r="F209" s="48" t="s">
        <v>157</v>
      </c>
      <c r="G209" t="s">
        <v>2414</v>
      </c>
    </row>
    <row r="210" spans="1:7" x14ac:dyDescent="0.25">
      <c r="A210" s="48">
        <v>208</v>
      </c>
      <c r="B210" s="48">
        <v>355</v>
      </c>
      <c r="C210" s="48" t="s">
        <v>1884</v>
      </c>
      <c r="D210" s="70" t="s">
        <v>2672</v>
      </c>
      <c r="E210" s="48" t="s">
        <v>12</v>
      </c>
      <c r="F210" s="48" t="s">
        <v>157</v>
      </c>
      <c r="G210" t="s">
        <v>2414</v>
      </c>
    </row>
    <row r="211" spans="1:7" x14ac:dyDescent="0.25">
      <c r="A211" s="48">
        <v>209</v>
      </c>
      <c r="B211" s="48">
        <v>248</v>
      </c>
      <c r="C211" s="48" t="s">
        <v>1769</v>
      </c>
      <c r="D211" s="70" t="s">
        <v>2673</v>
      </c>
      <c r="E211" s="48" t="s">
        <v>63</v>
      </c>
      <c r="F211" s="48" t="s">
        <v>158</v>
      </c>
      <c r="G211" t="s">
        <v>2416</v>
      </c>
    </row>
    <row r="212" spans="1:7" x14ac:dyDescent="0.25">
      <c r="A212" s="48">
        <v>210</v>
      </c>
      <c r="B212" s="48">
        <v>332</v>
      </c>
      <c r="C212" s="48" t="s">
        <v>2237</v>
      </c>
      <c r="D212" s="70" t="s">
        <v>2674</v>
      </c>
      <c r="E212" s="48" t="s">
        <v>12</v>
      </c>
      <c r="F212" s="48" t="s">
        <v>157</v>
      </c>
      <c r="G212" t="s">
        <v>2414</v>
      </c>
    </row>
    <row r="213" spans="1:7" x14ac:dyDescent="0.25">
      <c r="A213" s="48">
        <v>211</v>
      </c>
      <c r="B213" s="48">
        <v>207</v>
      </c>
      <c r="C213" s="48" t="s">
        <v>179</v>
      </c>
      <c r="D213" s="70" t="s">
        <v>2675</v>
      </c>
      <c r="E213" s="48" t="s">
        <v>12</v>
      </c>
      <c r="F213" s="48" t="s">
        <v>158</v>
      </c>
      <c r="G213" t="s">
        <v>2417</v>
      </c>
    </row>
    <row r="214" spans="1:7" x14ac:dyDescent="0.25">
      <c r="A214" s="48">
        <v>212</v>
      </c>
      <c r="B214" s="48">
        <v>343</v>
      </c>
      <c r="C214" s="48" t="s">
        <v>385</v>
      </c>
      <c r="D214" s="70" t="s">
        <v>2676</v>
      </c>
      <c r="E214" s="48" t="s">
        <v>2253</v>
      </c>
      <c r="F214" s="48" t="s">
        <v>158</v>
      </c>
      <c r="G214" t="s">
        <v>2416</v>
      </c>
    </row>
    <row r="215" spans="1:7" x14ac:dyDescent="0.25">
      <c r="A215" s="48">
        <v>213</v>
      </c>
      <c r="B215" s="48">
        <v>369</v>
      </c>
      <c r="C215" s="48" t="s">
        <v>544</v>
      </c>
      <c r="D215" s="70" t="s">
        <v>2677</v>
      </c>
      <c r="E215" s="48" t="s">
        <v>54</v>
      </c>
      <c r="F215" s="48" t="s">
        <v>162</v>
      </c>
      <c r="G215" t="s">
        <v>2418</v>
      </c>
    </row>
    <row r="216" spans="1:7" x14ac:dyDescent="0.25">
      <c r="A216" s="48">
        <v>214</v>
      </c>
      <c r="B216" s="48">
        <v>439</v>
      </c>
      <c r="C216" s="48" t="s">
        <v>1749</v>
      </c>
      <c r="D216" s="70" t="s">
        <v>2678</v>
      </c>
      <c r="E216" s="48" t="s">
        <v>108</v>
      </c>
      <c r="F216" s="48" t="s">
        <v>159</v>
      </c>
      <c r="G216" t="s">
        <v>2420</v>
      </c>
    </row>
    <row r="217" spans="1:7" x14ac:dyDescent="0.25">
      <c r="A217" s="48">
        <v>215</v>
      </c>
      <c r="B217" s="48">
        <v>193</v>
      </c>
      <c r="C217" s="48" t="s">
        <v>2233</v>
      </c>
      <c r="D217" s="70" t="s">
        <v>2679</v>
      </c>
      <c r="E217" s="48" t="s">
        <v>38</v>
      </c>
      <c r="F217" s="48" t="s">
        <v>161</v>
      </c>
      <c r="G217" t="s">
        <v>2416</v>
      </c>
    </row>
    <row r="218" spans="1:7" x14ac:dyDescent="0.25">
      <c r="A218" s="48">
        <v>216</v>
      </c>
      <c r="B218" s="48">
        <v>314</v>
      </c>
      <c r="C218" s="48" t="s">
        <v>1153</v>
      </c>
      <c r="D218" s="70" t="s">
        <v>2680</v>
      </c>
      <c r="E218" s="48" t="s">
        <v>155</v>
      </c>
      <c r="F218" s="48" t="s">
        <v>161</v>
      </c>
      <c r="G218" t="s">
        <v>2420</v>
      </c>
    </row>
    <row r="219" spans="1:7" x14ac:dyDescent="0.25">
      <c r="A219" s="48">
        <v>217</v>
      </c>
      <c r="B219" s="48">
        <v>244</v>
      </c>
      <c r="C219" s="48" t="s">
        <v>853</v>
      </c>
      <c r="D219" s="70" t="s">
        <v>2681</v>
      </c>
      <c r="E219" s="48" t="s">
        <v>43</v>
      </c>
      <c r="F219" s="48" t="s">
        <v>160</v>
      </c>
      <c r="G219" t="s">
        <v>2417</v>
      </c>
    </row>
    <row r="220" spans="1:7" x14ac:dyDescent="0.25">
      <c r="A220" s="48">
        <v>218</v>
      </c>
      <c r="B220" s="48">
        <v>161</v>
      </c>
      <c r="C220" s="48" t="s">
        <v>2272</v>
      </c>
      <c r="D220" s="70" t="s">
        <v>2682</v>
      </c>
      <c r="E220" s="48" t="s">
        <v>155</v>
      </c>
      <c r="F220" s="48" t="s">
        <v>157</v>
      </c>
      <c r="G220" t="s">
        <v>2414</v>
      </c>
    </row>
    <row r="221" spans="1:7" x14ac:dyDescent="0.25">
      <c r="A221" s="48">
        <v>219</v>
      </c>
      <c r="B221" s="48">
        <v>153</v>
      </c>
      <c r="C221" s="48" t="s">
        <v>1742</v>
      </c>
      <c r="D221" s="70" t="s">
        <v>2683</v>
      </c>
      <c r="E221" s="48" t="s">
        <v>38</v>
      </c>
      <c r="F221" s="48" t="s">
        <v>158</v>
      </c>
      <c r="G221" t="s">
        <v>2417</v>
      </c>
    </row>
    <row r="222" spans="1:7" x14ac:dyDescent="0.25">
      <c r="A222" s="48">
        <v>220</v>
      </c>
      <c r="B222" s="48">
        <v>231</v>
      </c>
      <c r="C222" s="48" t="s">
        <v>2440</v>
      </c>
      <c r="D222" s="70" t="s">
        <v>2684</v>
      </c>
      <c r="E222" s="48" t="s">
        <v>1805</v>
      </c>
      <c r="F222" s="48" t="s">
        <v>161</v>
      </c>
      <c r="G222" t="s">
        <v>2420</v>
      </c>
    </row>
    <row r="223" spans="1:7" x14ac:dyDescent="0.25">
      <c r="A223" s="48">
        <v>221</v>
      </c>
      <c r="B223" s="48">
        <v>174</v>
      </c>
      <c r="C223" s="48" t="s">
        <v>683</v>
      </c>
      <c r="D223" s="70" t="s">
        <v>2685</v>
      </c>
      <c r="E223" s="48" t="s">
        <v>43</v>
      </c>
      <c r="F223" s="48" t="s">
        <v>162</v>
      </c>
      <c r="G223" t="s">
        <v>2418</v>
      </c>
    </row>
    <row r="224" spans="1:7" x14ac:dyDescent="0.25">
      <c r="A224" s="48">
        <v>222</v>
      </c>
      <c r="B224" s="48">
        <v>320</v>
      </c>
      <c r="C224" s="48" t="s">
        <v>182</v>
      </c>
      <c r="D224" s="70" t="s">
        <v>2686</v>
      </c>
      <c r="E224" s="48" t="s">
        <v>12</v>
      </c>
      <c r="F224" s="48" t="s">
        <v>160</v>
      </c>
      <c r="G224" t="s">
        <v>2417</v>
      </c>
    </row>
    <row r="225" spans="1:7" x14ac:dyDescent="0.25">
      <c r="A225" s="48">
        <v>223</v>
      </c>
      <c r="B225" s="48">
        <v>354</v>
      </c>
      <c r="C225" s="48" t="s">
        <v>530</v>
      </c>
      <c r="D225" s="70" t="s">
        <v>2687</v>
      </c>
      <c r="E225" s="48" t="s">
        <v>505</v>
      </c>
      <c r="F225" s="48" t="s">
        <v>162</v>
      </c>
      <c r="G225" t="s">
        <v>2418</v>
      </c>
    </row>
    <row r="226" spans="1:7" x14ac:dyDescent="0.25">
      <c r="A226" s="48">
        <v>224</v>
      </c>
      <c r="B226" s="48">
        <v>430</v>
      </c>
      <c r="C226" s="48" t="s">
        <v>857</v>
      </c>
      <c r="D226" s="70" t="s">
        <v>2688</v>
      </c>
      <c r="E226" s="48" t="s">
        <v>43</v>
      </c>
      <c r="F226" s="48" t="s">
        <v>162</v>
      </c>
      <c r="G226" t="s">
        <v>2418</v>
      </c>
    </row>
    <row r="227" spans="1:7" x14ac:dyDescent="0.25">
      <c r="A227" s="48">
        <v>225</v>
      </c>
      <c r="B227" s="48">
        <v>346</v>
      </c>
      <c r="C227" s="48" t="s">
        <v>253</v>
      </c>
      <c r="D227" s="70" t="s">
        <v>2689</v>
      </c>
      <c r="E227" s="48" t="s">
        <v>63</v>
      </c>
      <c r="F227" s="48" t="s">
        <v>157</v>
      </c>
      <c r="G227" t="s">
        <v>2414</v>
      </c>
    </row>
    <row r="228" spans="1:7" x14ac:dyDescent="0.25">
      <c r="A228" s="48">
        <v>226</v>
      </c>
      <c r="B228" s="48">
        <v>401</v>
      </c>
      <c r="C228" s="48" t="s">
        <v>327</v>
      </c>
      <c r="D228" s="70" t="s">
        <v>2690</v>
      </c>
      <c r="E228" s="48" t="s">
        <v>43</v>
      </c>
      <c r="F228" s="48" t="s">
        <v>160</v>
      </c>
      <c r="G228" t="s">
        <v>2414</v>
      </c>
    </row>
    <row r="229" spans="1:7" x14ac:dyDescent="0.25">
      <c r="A229" s="48">
        <v>227</v>
      </c>
      <c r="B229" s="48">
        <v>309</v>
      </c>
      <c r="C229" s="48" t="s">
        <v>2291</v>
      </c>
      <c r="D229" s="70" t="s">
        <v>2691</v>
      </c>
      <c r="E229" s="48" t="s">
        <v>108</v>
      </c>
      <c r="F229" s="48" t="s">
        <v>161</v>
      </c>
      <c r="G229" t="s">
        <v>2420</v>
      </c>
    </row>
    <row r="230" spans="1:7" x14ac:dyDescent="0.25">
      <c r="A230" s="48">
        <v>228</v>
      </c>
      <c r="B230" s="48">
        <v>390</v>
      </c>
      <c r="C230" s="48" t="s">
        <v>2460</v>
      </c>
      <c r="D230" s="70" t="s">
        <v>2692</v>
      </c>
      <c r="E230" s="48" t="s">
        <v>155</v>
      </c>
      <c r="F230" s="48" t="s">
        <v>67</v>
      </c>
      <c r="G230" t="s">
        <v>2413</v>
      </c>
    </row>
    <row r="231" spans="1:7" x14ac:dyDescent="0.25">
      <c r="A231" s="48">
        <v>229</v>
      </c>
      <c r="B231" s="48">
        <v>236</v>
      </c>
      <c r="C231" s="48" t="s">
        <v>517</v>
      </c>
      <c r="D231" s="70" t="s">
        <v>2693</v>
      </c>
      <c r="E231" s="48" t="s">
        <v>155</v>
      </c>
      <c r="F231" s="48" t="s">
        <v>1818</v>
      </c>
      <c r="G231" t="s">
        <v>2419</v>
      </c>
    </row>
    <row r="232" spans="1:7" x14ac:dyDescent="0.25">
      <c r="A232" s="48">
        <v>230</v>
      </c>
      <c r="B232" s="48">
        <v>377</v>
      </c>
      <c r="C232" s="48" t="s">
        <v>916</v>
      </c>
      <c r="D232" s="70" t="s">
        <v>2694</v>
      </c>
      <c r="E232" s="48" t="s">
        <v>108</v>
      </c>
      <c r="F232" s="48" t="s">
        <v>158</v>
      </c>
      <c r="G232" t="s">
        <v>2416</v>
      </c>
    </row>
    <row r="233" spans="1:7" x14ac:dyDescent="0.25">
      <c r="A233" s="48">
        <v>231</v>
      </c>
      <c r="B233" s="48">
        <v>284</v>
      </c>
      <c r="C233" s="48" t="s">
        <v>1348</v>
      </c>
      <c r="D233" s="70" t="s">
        <v>2695</v>
      </c>
      <c r="E233" s="48" t="s">
        <v>12</v>
      </c>
      <c r="F233" s="48" t="s">
        <v>1817</v>
      </c>
      <c r="G233" t="s">
        <v>2424</v>
      </c>
    </row>
    <row r="234" spans="1:7" x14ac:dyDescent="0.25">
      <c r="A234" s="48">
        <v>232</v>
      </c>
      <c r="B234" s="48">
        <v>156</v>
      </c>
      <c r="C234" s="48" t="s">
        <v>578</v>
      </c>
      <c r="D234" s="70" t="s">
        <v>2696</v>
      </c>
      <c r="E234" s="48" t="s">
        <v>43</v>
      </c>
      <c r="F234" s="48" t="s">
        <v>157</v>
      </c>
      <c r="G234" t="s">
        <v>2415</v>
      </c>
    </row>
    <row r="235" spans="1:7" x14ac:dyDescent="0.25">
      <c r="A235" s="48">
        <v>233</v>
      </c>
      <c r="B235" s="48">
        <v>302</v>
      </c>
      <c r="C235" s="48" t="s">
        <v>214</v>
      </c>
      <c r="D235" s="70" t="s">
        <v>2697</v>
      </c>
      <c r="E235" s="48" t="s">
        <v>38</v>
      </c>
      <c r="F235" s="48" t="s">
        <v>162</v>
      </c>
      <c r="G235" t="s">
        <v>2419</v>
      </c>
    </row>
    <row r="236" spans="1:7" x14ac:dyDescent="0.25">
      <c r="A236" s="48">
        <v>234</v>
      </c>
      <c r="B236" s="48">
        <v>300</v>
      </c>
      <c r="C236" s="48" t="s">
        <v>1513</v>
      </c>
      <c r="D236" s="70" t="s">
        <v>2698</v>
      </c>
      <c r="E236" s="48" t="s">
        <v>108</v>
      </c>
      <c r="F236" s="48" t="s">
        <v>158</v>
      </c>
      <c r="G236" t="s">
        <v>2416</v>
      </c>
    </row>
    <row r="237" spans="1:7" x14ac:dyDescent="0.25">
      <c r="A237" s="48">
        <v>235</v>
      </c>
      <c r="B237" s="48">
        <v>205</v>
      </c>
      <c r="C237" s="48" t="s">
        <v>509</v>
      </c>
      <c r="D237" s="70" t="s">
        <v>2699</v>
      </c>
      <c r="E237" s="48" t="s">
        <v>154</v>
      </c>
      <c r="F237" s="48" t="s">
        <v>159</v>
      </c>
      <c r="G237" t="s">
        <v>2418</v>
      </c>
    </row>
    <row r="238" spans="1:7" x14ac:dyDescent="0.25">
      <c r="A238" s="48">
        <v>236</v>
      </c>
      <c r="B238" s="48">
        <v>334</v>
      </c>
      <c r="C238" s="48" t="s">
        <v>1796</v>
      </c>
      <c r="D238" s="70" t="s">
        <v>2700</v>
      </c>
      <c r="E238" s="48" t="s">
        <v>155</v>
      </c>
      <c r="F238" s="48" t="s">
        <v>157</v>
      </c>
      <c r="G238" t="s">
        <v>2415</v>
      </c>
    </row>
    <row r="239" spans="1:7" x14ac:dyDescent="0.25">
      <c r="A239" s="48">
        <v>237</v>
      </c>
      <c r="B239" s="48">
        <v>387</v>
      </c>
      <c r="C239" s="48" t="s">
        <v>2458</v>
      </c>
      <c r="D239" s="70" t="s">
        <v>2701</v>
      </c>
      <c r="E239" s="48" t="s">
        <v>38</v>
      </c>
      <c r="F239" s="48" t="s">
        <v>162</v>
      </c>
      <c r="G239" t="s">
        <v>2419</v>
      </c>
    </row>
    <row r="240" spans="1:7" x14ac:dyDescent="0.25">
      <c r="A240" s="48">
        <v>238</v>
      </c>
      <c r="B240" s="48">
        <v>194</v>
      </c>
      <c r="C240" s="48" t="s">
        <v>1366</v>
      </c>
      <c r="D240" s="70" t="s">
        <v>2701</v>
      </c>
      <c r="E240" s="48" t="s">
        <v>38</v>
      </c>
      <c r="F240" s="48" t="s">
        <v>158</v>
      </c>
      <c r="G240" t="s">
        <v>2417</v>
      </c>
    </row>
    <row r="241" spans="1:7" x14ac:dyDescent="0.25">
      <c r="A241" s="48">
        <v>239</v>
      </c>
      <c r="B241" s="48">
        <v>333</v>
      </c>
      <c r="C241" s="48" t="s">
        <v>2243</v>
      </c>
      <c r="D241" s="70" t="s">
        <v>2702</v>
      </c>
      <c r="E241" s="48" t="s">
        <v>43</v>
      </c>
      <c r="F241" s="48" t="s">
        <v>162</v>
      </c>
      <c r="G241" t="s">
        <v>2418</v>
      </c>
    </row>
    <row r="242" spans="1:7" x14ac:dyDescent="0.25">
      <c r="A242" s="48">
        <v>240</v>
      </c>
      <c r="B242" s="48">
        <v>304</v>
      </c>
      <c r="C242" s="48" t="s">
        <v>2242</v>
      </c>
      <c r="D242" s="70" t="s">
        <v>2703</v>
      </c>
      <c r="E242" s="48" t="s">
        <v>38</v>
      </c>
      <c r="F242" s="48" t="s">
        <v>158</v>
      </c>
      <c r="G242" t="s">
        <v>2416</v>
      </c>
    </row>
    <row r="243" spans="1:7" x14ac:dyDescent="0.25">
      <c r="A243" s="48">
        <v>241</v>
      </c>
      <c r="B243" s="48">
        <v>402</v>
      </c>
      <c r="C243" s="48" t="s">
        <v>2244</v>
      </c>
      <c r="D243" s="70" t="s">
        <v>2703</v>
      </c>
      <c r="E243" s="48" t="s">
        <v>38</v>
      </c>
      <c r="F243" s="48" t="s">
        <v>158</v>
      </c>
      <c r="G243" t="s">
        <v>2416</v>
      </c>
    </row>
    <row r="244" spans="1:7" x14ac:dyDescent="0.25">
      <c r="A244" s="48">
        <v>242</v>
      </c>
      <c r="B244" s="48">
        <v>154</v>
      </c>
      <c r="C244" s="48" t="s">
        <v>1761</v>
      </c>
      <c r="D244" s="70" t="s">
        <v>2704</v>
      </c>
      <c r="E244" s="48" t="s">
        <v>43</v>
      </c>
      <c r="F244" s="48" t="s">
        <v>158</v>
      </c>
      <c r="G244" t="s">
        <v>2417</v>
      </c>
    </row>
    <row r="245" spans="1:7" x14ac:dyDescent="0.25">
      <c r="A245" s="48">
        <v>243</v>
      </c>
      <c r="B245" s="48">
        <v>222</v>
      </c>
      <c r="C245" s="48" t="s">
        <v>1920</v>
      </c>
      <c r="D245" s="70" t="s">
        <v>2705</v>
      </c>
      <c r="E245" s="48" t="s">
        <v>154</v>
      </c>
      <c r="F245" s="48" t="s">
        <v>157</v>
      </c>
      <c r="G245" t="s">
        <v>2415</v>
      </c>
    </row>
    <row r="246" spans="1:7" x14ac:dyDescent="0.25">
      <c r="A246" s="48">
        <v>244</v>
      </c>
      <c r="B246" s="48">
        <v>285</v>
      </c>
      <c r="C246" s="48" t="s">
        <v>525</v>
      </c>
      <c r="D246" s="70" t="s">
        <v>2706</v>
      </c>
      <c r="E246" s="48" t="s">
        <v>43</v>
      </c>
      <c r="F246" s="48" t="s">
        <v>160</v>
      </c>
      <c r="G246" t="s">
        <v>2414</v>
      </c>
    </row>
    <row r="247" spans="1:7" x14ac:dyDescent="0.25">
      <c r="A247" s="48">
        <v>245</v>
      </c>
      <c r="B247" s="48">
        <v>160</v>
      </c>
      <c r="C247" s="48" t="s">
        <v>2271</v>
      </c>
      <c r="D247" s="70" t="s">
        <v>2707</v>
      </c>
      <c r="E247" s="48" t="s">
        <v>155</v>
      </c>
      <c r="F247" s="48" t="s">
        <v>159</v>
      </c>
      <c r="G247" t="s">
        <v>2420</v>
      </c>
    </row>
    <row r="248" spans="1:7" x14ac:dyDescent="0.25">
      <c r="A248" s="48">
        <v>246</v>
      </c>
      <c r="B248" s="48">
        <v>429</v>
      </c>
      <c r="C248" s="48" t="s">
        <v>1936</v>
      </c>
      <c r="D248" s="70" t="s">
        <v>2708</v>
      </c>
      <c r="E248" s="48" t="s">
        <v>12</v>
      </c>
      <c r="F248" s="48" t="s">
        <v>161</v>
      </c>
      <c r="G248" t="s">
        <v>2416</v>
      </c>
    </row>
    <row r="249" spans="1:7" x14ac:dyDescent="0.25">
      <c r="A249" s="48">
        <v>247</v>
      </c>
      <c r="B249" s="48">
        <v>190</v>
      </c>
      <c r="C249" s="48" t="s">
        <v>1851</v>
      </c>
      <c r="D249" s="70" t="s">
        <v>2709</v>
      </c>
      <c r="E249" s="48" t="s">
        <v>63</v>
      </c>
      <c r="F249" s="48" t="s">
        <v>156</v>
      </c>
      <c r="G249" t="s">
        <v>2413</v>
      </c>
    </row>
    <row r="250" spans="1:7" x14ac:dyDescent="0.25">
      <c r="A250" s="48">
        <v>248</v>
      </c>
      <c r="B250" s="48">
        <v>367</v>
      </c>
      <c r="C250" s="48" t="s">
        <v>1408</v>
      </c>
      <c r="D250" s="70" t="s">
        <v>2710</v>
      </c>
      <c r="E250" s="48" t="s">
        <v>63</v>
      </c>
      <c r="F250" s="48" t="s">
        <v>67</v>
      </c>
      <c r="G250" t="s">
        <v>2413</v>
      </c>
    </row>
    <row r="251" spans="1:7" x14ac:dyDescent="0.25">
      <c r="A251" s="48">
        <v>249</v>
      </c>
      <c r="B251" s="48">
        <v>217</v>
      </c>
      <c r="C251" s="48" t="s">
        <v>1772</v>
      </c>
      <c r="D251" s="70" t="s">
        <v>2711</v>
      </c>
      <c r="E251" s="48" t="s">
        <v>108</v>
      </c>
      <c r="F251" s="48" t="s">
        <v>156</v>
      </c>
      <c r="G251" t="s">
        <v>2413</v>
      </c>
    </row>
    <row r="252" spans="1:7" x14ac:dyDescent="0.25">
      <c r="A252" s="48">
        <v>250</v>
      </c>
      <c r="B252" s="48">
        <v>410</v>
      </c>
      <c r="C252" s="48" t="s">
        <v>2467</v>
      </c>
      <c r="D252" s="70" t="s">
        <v>2712</v>
      </c>
      <c r="E252" s="48" t="s">
        <v>505</v>
      </c>
      <c r="F252" s="48" t="s">
        <v>160</v>
      </c>
      <c r="G252" t="s">
        <v>2414</v>
      </c>
    </row>
    <row r="253" spans="1:7" x14ac:dyDescent="0.25">
      <c r="A253" s="48">
        <v>251</v>
      </c>
      <c r="B253" s="48">
        <v>201</v>
      </c>
      <c r="C253" s="48" t="s">
        <v>839</v>
      </c>
      <c r="D253" s="70" t="s">
        <v>2713</v>
      </c>
      <c r="E253" s="48" t="s">
        <v>63</v>
      </c>
      <c r="F253" s="48" t="s">
        <v>159</v>
      </c>
      <c r="G253" t="s">
        <v>2420</v>
      </c>
    </row>
    <row r="254" spans="1:7" x14ac:dyDescent="0.25">
      <c r="A254" s="48">
        <v>252</v>
      </c>
      <c r="B254" s="48">
        <v>427</v>
      </c>
      <c r="C254" s="48" t="s">
        <v>1623</v>
      </c>
      <c r="D254" s="70" t="s">
        <v>2714</v>
      </c>
      <c r="E254" s="48" t="s">
        <v>155</v>
      </c>
      <c r="F254" s="48" t="s">
        <v>1818</v>
      </c>
      <c r="G254" t="s">
        <v>2419</v>
      </c>
    </row>
    <row r="255" spans="1:7" x14ac:dyDescent="0.25">
      <c r="A255" s="48">
        <v>253</v>
      </c>
      <c r="B255" s="48">
        <v>315</v>
      </c>
      <c r="C255" s="48" t="s">
        <v>1405</v>
      </c>
      <c r="D255" s="70" t="s">
        <v>2714</v>
      </c>
      <c r="E255" s="48" t="s">
        <v>155</v>
      </c>
      <c r="F255" s="48" t="s">
        <v>159</v>
      </c>
      <c r="G255" t="s">
        <v>2420</v>
      </c>
    </row>
    <row r="256" spans="1:7" x14ac:dyDescent="0.25">
      <c r="A256" s="48">
        <v>254</v>
      </c>
      <c r="B256" s="48">
        <v>254</v>
      </c>
      <c r="C256" s="48" t="s">
        <v>212</v>
      </c>
      <c r="D256" s="70" t="s">
        <v>2715</v>
      </c>
      <c r="E256" s="48" t="s">
        <v>38</v>
      </c>
      <c r="F256" s="48" t="s">
        <v>162</v>
      </c>
      <c r="G256" t="s">
        <v>2419</v>
      </c>
    </row>
    <row r="257" spans="1:7" x14ac:dyDescent="0.25">
      <c r="A257" s="48">
        <v>255</v>
      </c>
      <c r="B257" s="48">
        <v>162</v>
      </c>
      <c r="C257" s="48" t="s">
        <v>1043</v>
      </c>
      <c r="D257" s="70" t="s">
        <v>2716</v>
      </c>
      <c r="E257" s="48" t="s">
        <v>154</v>
      </c>
      <c r="F257" s="48" t="s">
        <v>158</v>
      </c>
      <c r="G257" t="s">
        <v>2417</v>
      </c>
    </row>
    <row r="258" spans="1:7" x14ac:dyDescent="0.25">
      <c r="A258" s="48">
        <v>256</v>
      </c>
      <c r="B258" s="48">
        <v>176</v>
      </c>
      <c r="C258" s="48" t="s">
        <v>2281</v>
      </c>
      <c r="D258" s="70" t="s">
        <v>2717</v>
      </c>
      <c r="E258" s="48" t="s">
        <v>155</v>
      </c>
      <c r="F258" s="48" t="s">
        <v>156</v>
      </c>
      <c r="G258" t="s">
        <v>2413</v>
      </c>
    </row>
    <row r="259" spans="1:7" x14ac:dyDescent="0.25">
      <c r="A259" s="48">
        <v>257</v>
      </c>
      <c r="B259" s="48">
        <v>345</v>
      </c>
      <c r="C259" s="48" t="s">
        <v>2395</v>
      </c>
      <c r="D259" s="70" t="s">
        <v>2718</v>
      </c>
      <c r="E259" s="48" t="s">
        <v>155</v>
      </c>
      <c r="F259" s="48" t="s">
        <v>158</v>
      </c>
      <c r="G259" t="s">
        <v>2416</v>
      </c>
    </row>
    <row r="260" spans="1:7" x14ac:dyDescent="0.25">
      <c r="A260" s="48">
        <v>258</v>
      </c>
      <c r="B260" s="48">
        <v>435</v>
      </c>
      <c r="C260" s="48" t="s">
        <v>189</v>
      </c>
      <c r="D260" s="70" t="s">
        <v>2719</v>
      </c>
      <c r="E260" s="48" t="s">
        <v>43</v>
      </c>
      <c r="F260" s="48" t="s">
        <v>158</v>
      </c>
      <c r="G260" t="s">
        <v>2416</v>
      </c>
    </row>
    <row r="261" spans="1:7" x14ac:dyDescent="0.25">
      <c r="A261" s="48">
        <v>259</v>
      </c>
      <c r="B261" s="48">
        <v>436</v>
      </c>
      <c r="C261" s="48" t="s">
        <v>2406</v>
      </c>
      <c r="D261" s="70" t="s">
        <v>2720</v>
      </c>
      <c r="E261" s="48" t="s">
        <v>43</v>
      </c>
      <c r="F261" s="48" t="s">
        <v>161</v>
      </c>
      <c r="G261" t="s">
        <v>2420</v>
      </c>
    </row>
    <row r="262" spans="1:7" x14ac:dyDescent="0.25">
      <c r="A262" s="48">
        <v>260</v>
      </c>
      <c r="B262" s="48">
        <v>406</v>
      </c>
      <c r="C262" s="48" t="s">
        <v>2464</v>
      </c>
      <c r="D262" s="70" t="s">
        <v>2721</v>
      </c>
      <c r="E262" s="48" t="s">
        <v>38</v>
      </c>
      <c r="F262" s="48" t="s">
        <v>1818</v>
      </c>
      <c r="G262" t="s">
        <v>2422</v>
      </c>
    </row>
    <row r="263" spans="1:7" x14ac:dyDescent="0.25">
      <c r="A263" s="48">
        <v>261</v>
      </c>
      <c r="B263" s="48">
        <v>159</v>
      </c>
      <c r="C263" s="48" t="s">
        <v>1083</v>
      </c>
      <c r="D263" s="70" t="s">
        <v>2722</v>
      </c>
      <c r="E263" s="48" t="s">
        <v>38</v>
      </c>
      <c r="F263" s="48" t="s">
        <v>159</v>
      </c>
      <c r="G263" t="s">
        <v>2420</v>
      </c>
    </row>
    <row r="264" spans="1:7" x14ac:dyDescent="0.25">
      <c r="A264" s="48">
        <v>262</v>
      </c>
      <c r="B264" s="48">
        <v>237</v>
      </c>
      <c r="C264" s="48" t="s">
        <v>541</v>
      </c>
      <c r="D264" s="70" t="s">
        <v>2723</v>
      </c>
      <c r="E264" s="48" t="s">
        <v>155</v>
      </c>
      <c r="F264" s="48" t="s">
        <v>1817</v>
      </c>
      <c r="G264" t="s">
        <v>2422</v>
      </c>
    </row>
    <row r="265" spans="1:7" x14ac:dyDescent="0.25">
      <c r="A265" s="48">
        <v>263</v>
      </c>
      <c r="B265" s="48">
        <v>175</v>
      </c>
      <c r="C265" s="48" t="s">
        <v>1514</v>
      </c>
      <c r="D265" s="70" t="s">
        <v>2723</v>
      </c>
      <c r="E265" s="48" t="s">
        <v>155</v>
      </c>
      <c r="F265" s="48" t="s">
        <v>157</v>
      </c>
      <c r="G265" t="s">
        <v>2414</v>
      </c>
    </row>
    <row r="266" spans="1:7" x14ac:dyDescent="0.25">
      <c r="A266" s="48">
        <v>264</v>
      </c>
      <c r="B266" s="48">
        <v>324</v>
      </c>
      <c r="C266" s="48" t="s">
        <v>870</v>
      </c>
      <c r="D266" s="70" t="s">
        <v>2724</v>
      </c>
      <c r="E266" s="48" t="s">
        <v>155</v>
      </c>
      <c r="F266" s="48" t="s">
        <v>158</v>
      </c>
      <c r="G266" t="s">
        <v>2416</v>
      </c>
    </row>
    <row r="267" spans="1:7" x14ac:dyDescent="0.25">
      <c r="A267" s="48">
        <v>265</v>
      </c>
      <c r="B267" s="48">
        <v>182</v>
      </c>
      <c r="C267" s="48" t="s">
        <v>809</v>
      </c>
      <c r="D267" s="70" t="s">
        <v>2724</v>
      </c>
      <c r="E267" s="48" t="s">
        <v>155</v>
      </c>
      <c r="F267" s="48" t="s">
        <v>158</v>
      </c>
      <c r="G267" t="s">
        <v>2416</v>
      </c>
    </row>
    <row r="268" spans="1:7" x14ac:dyDescent="0.25">
      <c r="A268" s="48">
        <v>266</v>
      </c>
      <c r="B268" s="48">
        <v>408</v>
      </c>
      <c r="C268" s="48" t="s">
        <v>2466</v>
      </c>
      <c r="D268" s="70" t="s">
        <v>2725</v>
      </c>
      <c r="E268" s="48" t="s">
        <v>38</v>
      </c>
      <c r="F268" s="48" t="s">
        <v>1817</v>
      </c>
      <c r="G268" t="s">
        <v>2424</v>
      </c>
    </row>
    <row r="269" spans="1:7" x14ac:dyDescent="0.25">
      <c r="A269" s="48"/>
      <c r="B269" s="48"/>
      <c r="C269" s="48"/>
      <c r="D269" s="70"/>
      <c r="E269" s="48"/>
      <c r="F269" s="48"/>
    </row>
    <row r="270" spans="1:7" x14ac:dyDescent="0.25">
      <c r="A270" s="48"/>
      <c r="B270" s="48"/>
      <c r="C270" s="48"/>
      <c r="D270" s="70"/>
      <c r="E270" s="48"/>
      <c r="F270" s="48"/>
    </row>
    <row r="271" spans="1:7" x14ac:dyDescent="0.25">
      <c r="A271" s="48"/>
      <c r="B271" s="48"/>
      <c r="C271" s="48"/>
      <c r="D271" s="70"/>
      <c r="E271" s="48"/>
      <c r="F271" s="48"/>
    </row>
    <row r="272" spans="1:7" x14ac:dyDescent="0.25">
      <c r="A272" s="48"/>
      <c r="B272" s="48"/>
      <c r="C272" s="48"/>
      <c r="D272" s="70"/>
      <c r="E272" s="48"/>
      <c r="F272" s="48"/>
    </row>
    <row r="273" spans="1:6" x14ac:dyDescent="0.25">
      <c r="A273" s="48"/>
      <c r="B273" s="48"/>
      <c r="C273" s="48"/>
      <c r="D273" s="70"/>
      <c r="E273" s="48"/>
      <c r="F273" s="48"/>
    </row>
    <row r="274" spans="1:6" x14ac:dyDescent="0.25">
      <c r="A274" s="48"/>
      <c r="B274" s="48"/>
      <c r="C274" s="48"/>
      <c r="D274" s="70"/>
      <c r="E274" s="48"/>
      <c r="F274" s="48"/>
    </row>
    <row r="275" spans="1:6" x14ac:dyDescent="0.25">
      <c r="A275" s="48"/>
      <c r="B275" s="48"/>
      <c r="C275" s="48"/>
      <c r="D275" s="70"/>
      <c r="E275" s="48"/>
      <c r="F275" s="48"/>
    </row>
    <row r="276" spans="1:6" x14ac:dyDescent="0.25">
      <c r="A276" s="48"/>
      <c r="B276" s="48"/>
      <c r="C276" s="48"/>
      <c r="D276" s="70"/>
      <c r="E276" s="48"/>
      <c r="F276" s="48"/>
    </row>
    <row r="277" spans="1:6" x14ac:dyDescent="0.25">
      <c r="A277" s="48"/>
      <c r="B277" s="48"/>
      <c r="C277" s="48"/>
      <c r="D277" s="70"/>
      <c r="E277" s="48"/>
      <c r="F277" s="48"/>
    </row>
    <row r="278" spans="1:6" x14ac:dyDescent="0.25">
      <c r="A278" s="48"/>
      <c r="B278" s="48"/>
      <c r="C278" s="48"/>
      <c r="D278" s="70"/>
      <c r="E278" s="48"/>
      <c r="F278" s="48"/>
    </row>
    <row r="279" spans="1:6" x14ac:dyDescent="0.25">
      <c r="A279" s="48"/>
      <c r="B279" s="48"/>
      <c r="C279" s="48"/>
      <c r="D279" s="70"/>
      <c r="E279" s="48"/>
      <c r="F279" s="48"/>
    </row>
    <row r="280" spans="1:6" x14ac:dyDescent="0.25">
      <c r="A280" s="48"/>
      <c r="B280" s="48"/>
      <c r="C280" s="48"/>
      <c r="D280" s="70"/>
      <c r="E280" s="48"/>
      <c r="F280" s="48"/>
    </row>
    <row r="281" spans="1:6" x14ac:dyDescent="0.25">
      <c r="A281" s="48"/>
      <c r="B281" s="48"/>
      <c r="C281" s="48"/>
      <c r="D281" s="70"/>
      <c r="E281" s="48"/>
      <c r="F281" s="48"/>
    </row>
    <row r="282" spans="1:6" x14ac:dyDescent="0.25">
      <c r="A282" s="48"/>
      <c r="B282" s="48"/>
      <c r="C282" s="48"/>
      <c r="D282" s="70"/>
      <c r="E282" s="48"/>
      <c r="F282" s="48"/>
    </row>
    <row r="283" spans="1:6" x14ac:dyDescent="0.25">
      <c r="A283" s="48"/>
      <c r="B283" s="48"/>
      <c r="C283" s="48"/>
      <c r="D283" s="70"/>
      <c r="E283" s="48"/>
      <c r="F283" s="48"/>
    </row>
    <row r="284" spans="1:6" x14ac:dyDescent="0.25">
      <c r="A284" s="48"/>
      <c r="B284" s="48"/>
      <c r="C284" s="48"/>
      <c r="D284" s="70"/>
      <c r="E284" s="48"/>
      <c r="F284" s="48"/>
    </row>
    <row r="285" spans="1:6" x14ac:dyDescent="0.25">
      <c r="A285" s="48"/>
      <c r="B285" s="48"/>
      <c r="C285" s="48"/>
      <c r="D285" s="70"/>
      <c r="E285" s="48"/>
      <c r="F285" s="48"/>
    </row>
    <row r="286" spans="1:6" x14ac:dyDescent="0.25">
      <c r="A286" s="48"/>
      <c r="B286" s="48"/>
      <c r="C286" s="48"/>
      <c r="D286" s="70"/>
      <c r="E286" s="48"/>
      <c r="F286" s="48"/>
    </row>
    <row r="287" spans="1:6" x14ac:dyDescent="0.25">
      <c r="A287" s="48"/>
      <c r="B287" s="48"/>
      <c r="C287" s="48"/>
      <c r="D287" s="70"/>
      <c r="E287" s="48"/>
      <c r="F287" s="48"/>
    </row>
    <row r="288" spans="1:6" x14ac:dyDescent="0.25">
      <c r="A288" s="48"/>
      <c r="B288" s="48"/>
      <c r="C288" s="48"/>
      <c r="D288" s="70"/>
      <c r="E288" s="48"/>
      <c r="F288" s="48"/>
    </row>
    <row r="289" spans="1:6" x14ac:dyDescent="0.25">
      <c r="A289" s="48"/>
      <c r="B289" s="48"/>
      <c r="C289" s="48"/>
      <c r="D289" s="70"/>
      <c r="E289" s="48"/>
      <c r="F289" s="48"/>
    </row>
    <row r="290" spans="1:6" x14ac:dyDescent="0.25">
      <c r="A290" s="48"/>
      <c r="B290" s="48"/>
      <c r="C290" s="48"/>
      <c r="D290" s="70"/>
      <c r="E290" s="48"/>
      <c r="F290" s="48"/>
    </row>
    <row r="291" spans="1:6" x14ac:dyDescent="0.25">
      <c r="A291" s="48"/>
      <c r="B291" s="48"/>
      <c r="C291" s="48"/>
      <c r="D291" s="70"/>
      <c r="E291" s="48"/>
      <c r="F291" s="48"/>
    </row>
    <row r="292" spans="1:6" x14ac:dyDescent="0.25">
      <c r="A292" s="48"/>
      <c r="B292" s="48"/>
      <c r="C292" s="48"/>
      <c r="D292" s="70"/>
      <c r="E292" s="48"/>
      <c r="F292" s="48"/>
    </row>
    <row r="293" spans="1:6" x14ac:dyDescent="0.25">
      <c r="A293" s="48"/>
      <c r="B293" s="48"/>
      <c r="C293" s="48"/>
      <c r="D293" s="70"/>
      <c r="E293" s="48"/>
      <c r="F293" s="48"/>
    </row>
    <row r="294" spans="1:6" x14ac:dyDescent="0.25">
      <c r="A294" s="48"/>
      <c r="B294" s="48"/>
      <c r="C294" s="48"/>
      <c r="D294" s="70"/>
      <c r="E294" s="48"/>
      <c r="F294" s="48"/>
    </row>
    <row r="295" spans="1:6" x14ac:dyDescent="0.25">
      <c r="A295" s="48"/>
      <c r="B295" s="48"/>
      <c r="C295" s="48"/>
      <c r="D295" s="70"/>
      <c r="E295" s="48"/>
      <c r="F295" s="48"/>
    </row>
    <row r="296" spans="1:6" x14ac:dyDescent="0.25">
      <c r="A296" s="48"/>
      <c r="B296" s="48"/>
      <c r="C296" s="48"/>
      <c r="D296" s="70"/>
      <c r="E296" s="48"/>
      <c r="F296" s="48"/>
    </row>
    <row r="297" spans="1:6" x14ac:dyDescent="0.25">
      <c r="A297" s="48"/>
      <c r="B297" s="48"/>
      <c r="C297" s="48"/>
      <c r="D297" s="70"/>
      <c r="E297" s="48"/>
      <c r="F297" s="48"/>
    </row>
    <row r="298" spans="1:6" x14ac:dyDescent="0.25">
      <c r="A298" s="48"/>
      <c r="B298" s="48"/>
      <c r="C298" s="48"/>
      <c r="D298" s="70"/>
      <c r="E298" s="48"/>
      <c r="F298" s="48"/>
    </row>
    <row r="299" spans="1:6" x14ac:dyDescent="0.25">
      <c r="A299" s="48"/>
      <c r="B299" s="48"/>
      <c r="C299" s="48"/>
      <c r="D299" s="70"/>
      <c r="E299" s="48"/>
      <c r="F299" s="48"/>
    </row>
    <row r="300" spans="1:6" x14ac:dyDescent="0.25">
      <c r="A300" s="48"/>
      <c r="B300" s="48"/>
      <c r="C300" s="48"/>
      <c r="D300" s="70"/>
      <c r="E300" s="48"/>
      <c r="F300" s="48"/>
    </row>
    <row r="301" spans="1:6" x14ac:dyDescent="0.25">
      <c r="A301" s="48"/>
      <c r="B301" s="48"/>
      <c r="C301" s="48"/>
      <c r="D301" s="70"/>
      <c r="E301" s="48"/>
      <c r="F301" s="48"/>
    </row>
    <row r="302" spans="1:6" x14ac:dyDescent="0.25">
      <c r="A302" s="48"/>
      <c r="B302" s="48"/>
      <c r="C302" s="48"/>
      <c r="D302" s="70"/>
      <c r="E302" s="48"/>
      <c r="F302" s="48"/>
    </row>
    <row r="303" spans="1:6" x14ac:dyDescent="0.25">
      <c r="A303" s="48"/>
      <c r="B303" s="48"/>
      <c r="C303" s="48"/>
      <c r="D303" s="70"/>
      <c r="E303" s="48"/>
      <c r="F303" s="48"/>
    </row>
    <row r="304" spans="1:6" x14ac:dyDescent="0.25">
      <c r="A304" s="48"/>
      <c r="B304" s="48"/>
      <c r="C304" s="48"/>
      <c r="D304" s="70"/>
      <c r="E304" s="48"/>
      <c r="F304" s="48"/>
    </row>
    <row r="305" spans="1:6" x14ac:dyDescent="0.25">
      <c r="A305" s="48"/>
      <c r="B305" s="48"/>
      <c r="C305" s="48"/>
      <c r="D305" s="70"/>
      <c r="E305" s="48"/>
      <c r="F305" s="48"/>
    </row>
    <row r="306" spans="1:6" x14ac:dyDescent="0.25">
      <c r="A306" s="48"/>
      <c r="B306" s="48"/>
      <c r="C306" s="48"/>
      <c r="D306" s="70"/>
      <c r="E306" s="48"/>
      <c r="F306" s="48"/>
    </row>
    <row r="307" spans="1:6" x14ac:dyDescent="0.25">
      <c r="A307" s="48"/>
      <c r="B307" s="48"/>
      <c r="C307" s="48"/>
      <c r="D307" s="70"/>
      <c r="E307" s="48"/>
      <c r="F307" s="48"/>
    </row>
    <row r="308" spans="1:6" x14ac:dyDescent="0.25">
      <c r="A308" s="48"/>
      <c r="B308" s="48"/>
      <c r="C308" s="48"/>
      <c r="D308" s="70"/>
      <c r="E308" s="48"/>
      <c r="F308" s="48"/>
    </row>
    <row r="309" spans="1:6" x14ac:dyDescent="0.25">
      <c r="A309" s="48"/>
      <c r="B309" s="48"/>
      <c r="C309" s="48"/>
      <c r="D309" s="70"/>
      <c r="E309" s="48"/>
      <c r="F309" s="48"/>
    </row>
    <row r="310" spans="1:6" x14ac:dyDescent="0.25">
      <c r="A310" s="48"/>
      <c r="B310" s="48"/>
      <c r="C310" s="48"/>
      <c r="D310" s="70"/>
      <c r="E310" s="48"/>
      <c r="F310" s="48"/>
    </row>
    <row r="311" spans="1:6" x14ac:dyDescent="0.25">
      <c r="A311" s="48"/>
      <c r="B311" s="48"/>
      <c r="C311" s="48"/>
      <c r="D311" s="70"/>
      <c r="E311" s="48"/>
      <c r="F311" s="48"/>
    </row>
    <row r="312" spans="1:6" x14ac:dyDescent="0.25">
      <c r="A312" s="48"/>
      <c r="B312" s="48"/>
      <c r="C312" s="48"/>
      <c r="D312" s="70"/>
      <c r="E312" s="48"/>
      <c r="F312" s="48"/>
    </row>
    <row r="313" spans="1:6" x14ac:dyDescent="0.25">
      <c r="A313" s="48"/>
      <c r="B313" s="48"/>
      <c r="C313" s="48"/>
      <c r="D313" s="70"/>
      <c r="E313" s="48"/>
      <c r="F313" s="48"/>
    </row>
    <row r="314" spans="1:6" x14ac:dyDescent="0.25">
      <c r="A314" s="48"/>
      <c r="B314" s="48"/>
      <c r="C314" s="48"/>
      <c r="D314" s="70"/>
      <c r="E314" s="48"/>
      <c r="F314" s="48"/>
    </row>
    <row r="315" spans="1:6" x14ac:dyDescent="0.25">
      <c r="A315" s="48"/>
      <c r="B315" s="48"/>
      <c r="C315" s="48"/>
      <c r="D315" s="70"/>
      <c r="E315" s="48"/>
      <c r="F315" s="48"/>
    </row>
    <row r="316" spans="1:6" x14ac:dyDescent="0.25">
      <c r="A316" s="48"/>
      <c r="B316" s="48"/>
      <c r="C316" s="48"/>
      <c r="D316" s="70"/>
      <c r="E316" s="48"/>
      <c r="F316" s="48"/>
    </row>
    <row r="317" spans="1:6" x14ac:dyDescent="0.25">
      <c r="A317" s="48"/>
      <c r="B317" s="48"/>
      <c r="C317" s="48"/>
      <c r="D317" s="70"/>
      <c r="E317" s="48"/>
      <c r="F317" s="48"/>
    </row>
    <row r="318" spans="1:6" x14ac:dyDescent="0.25">
      <c r="A318" s="48"/>
      <c r="B318" s="48"/>
      <c r="C318" s="48"/>
      <c r="D318" s="70"/>
      <c r="E318" s="48"/>
      <c r="F318" s="48"/>
    </row>
    <row r="319" spans="1:6" x14ac:dyDescent="0.25">
      <c r="A319" s="48"/>
      <c r="B319" s="48"/>
      <c r="C319" s="48"/>
      <c r="D319" s="70"/>
      <c r="E319" s="48"/>
      <c r="F319" s="48"/>
    </row>
    <row r="320" spans="1:6" x14ac:dyDescent="0.25">
      <c r="A320" s="48"/>
      <c r="B320" s="48"/>
      <c r="C320" s="48"/>
      <c r="D320" s="70"/>
      <c r="E320" s="48"/>
      <c r="F320" s="48"/>
    </row>
    <row r="321" spans="1:6" x14ac:dyDescent="0.25">
      <c r="A321" s="48"/>
      <c r="B321" s="48"/>
      <c r="C321" s="48"/>
      <c r="D321" s="70"/>
      <c r="E321" s="48"/>
      <c r="F321" s="48"/>
    </row>
    <row r="322" spans="1:6" x14ac:dyDescent="0.25">
      <c r="A322" s="48"/>
      <c r="B322" s="48"/>
      <c r="C322" s="48"/>
      <c r="D322" s="70"/>
      <c r="E322" s="48"/>
      <c r="F322" s="48"/>
    </row>
    <row r="323" spans="1:6" x14ac:dyDescent="0.25">
      <c r="A323" s="48"/>
      <c r="B323" s="48"/>
      <c r="C323" s="48"/>
      <c r="D323" s="70"/>
      <c r="E323" s="48"/>
      <c r="F323" s="48"/>
    </row>
    <row r="324" spans="1:6" x14ac:dyDescent="0.25">
      <c r="A324" s="48"/>
      <c r="B324" s="48"/>
      <c r="C324" s="48"/>
      <c r="D324" s="70"/>
      <c r="E324" s="48"/>
      <c r="F324" s="48"/>
    </row>
    <row r="325" spans="1:6" x14ac:dyDescent="0.25">
      <c r="A325" s="48"/>
      <c r="B325" s="48"/>
      <c r="C325" s="48"/>
      <c r="D325" s="70"/>
      <c r="E325" s="48"/>
      <c r="F325" s="48"/>
    </row>
    <row r="326" spans="1:6" x14ac:dyDescent="0.25">
      <c r="A326" s="48"/>
      <c r="B326" s="48"/>
      <c r="C326" s="48"/>
      <c r="D326" s="70"/>
      <c r="E326" s="48"/>
      <c r="F326" s="48"/>
    </row>
    <row r="327" spans="1:6" x14ac:dyDescent="0.25">
      <c r="A327" s="48"/>
      <c r="B327" s="48"/>
      <c r="C327" s="48"/>
      <c r="D327" s="70"/>
      <c r="E327" s="48"/>
      <c r="F327" s="48"/>
    </row>
    <row r="328" spans="1:6" x14ac:dyDescent="0.25">
      <c r="A328" s="48"/>
      <c r="B328" s="48"/>
      <c r="C328" s="48"/>
      <c r="D328" s="70"/>
      <c r="E328" s="48"/>
      <c r="F328" s="48"/>
    </row>
    <row r="329" spans="1:6" x14ac:dyDescent="0.25">
      <c r="A329" s="48"/>
      <c r="B329" s="48"/>
      <c r="C329" s="48"/>
      <c r="D329" s="70"/>
      <c r="E329" s="48"/>
      <c r="F329" s="48"/>
    </row>
    <row r="330" spans="1:6" x14ac:dyDescent="0.25">
      <c r="A330" s="48"/>
      <c r="B330" s="48"/>
      <c r="C330" s="48"/>
      <c r="D330" s="70"/>
      <c r="E330" s="48"/>
      <c r="F330" s="48"/>
    </row>
    <row r="331" spans="1:6" x14ac:dyDescent="0.25">
      <c r="A331" s="48"/>
      <c r="B331" s="48"/>
      <c r="C331" s="48"/>
      <c r="D331" s="70"/>
      <c r="E331" s="48"/>
      <c r="F331" s="48"/>
    </row>
    <row r="332" spans="1:6" x14ac:dyDescent="0.25">
      <c r="A332" s="48"/>
      <c r="B332" s="48"/>
      <c r="C332" s="48"/>
      <c r="D332" s="70"/>
      <c r="E332" s="48"/>
      <c r="F332" s="48"/>
    </row>
    <row r="333" spans="1:6" x14ac:dyDescent="0.25">
      <c r="A333" s="48"/>
      <c r="B333" s="48"/>
      <c r="C333" s="48"/>
      <c r="D333" s="70"/>
      <c r="E333" s="48"/>
      <c r="F333" s="48"/>
    </row>
    <row r="334" spans="1:6" x14ac:dyDescent="0.25">
      <c r="A334" s="48"/>
      <c r="B334" s="48"/>
      <c r="C334" s="48"/>
      <c r="D334" s="70"/>
      <c r="E334" s="48"/>
      <c r="F334" s="48"/>
    </row>
    <row r="335" spans="1:6" x14ac:dyDescent="0.25">
      <c r="A335" s="48"/>
      <c r="B335" s="48"/>
      <c r="C335" s="48"/>
      <c r="D335" s="70"/>
      <c r="E335" s="48"/>
      <c r="F335" s="48"/>
    </row>
    <row r="336" spans="1:6" x14ac:dyDescent="0.25">
      <c r="A336" s="48"/>
      <c r="B336" s="48"/>
      <c r="C336" s="48"/>
      <c r="D336" s="70"/>
      <c r="E336" s="48"/>
      <c r="F336" s="48"/>
    </row>
    <row r="337" spans="1:6" x14ac:dyDescent="0.25">
      <c r="A337" s="48"/>
      <c r="B337" s="48"/>
      <c r="C337" s="48"/>
      <c r="D337" s="70"/>
      <c r="E337" s="48"/>
      <c r="F337" s="48"/>
    </row>
    <row r="338" spans="1:6" x14ac:dyDescent="0.25">
      <c r="A338" s="48"/>
      <c r="B338" s="48"/>
      <c r="C338" s="48"/>
      <c r="D338" s="70"/>
      <c r="E338" s="48"/>
      <c r="F338" s="48"/>
    </row>
    <row r="339" spans="1:6" x14ac:dyDescent="0.25">
      <c r="A339" s="48"/>
      <c r="B339" s="48"/>
      <c r="C339" s="48"/>
      <c r="D339" s="70"/>
      <c r="E339" s="48"/>
      <c r="F339" s="48"/>
    </row>
    <row r="340" spans="1:6" x14ac:dyDescent="0.25">
      <c r="A340" s="48"/>
      <c r="B340" s="48"/>
      <c r="C340" s="48"/>
      <c r="D340" s="70"/>
      <c r="E340" s="48"/>
      <c r="F340" s="48"/>
    </row>
    <row r="341" spans="1:6" x14ac:dyDescent="0.25">
      <c r="A341" s="48"/>
      <c r="B341" s="48"/>
      <c r="C341" s="48"/>
      <c r="D341" s="70"/>
      <c r="E341" s="48"/>
      <c r="F341" s="48"/>
    </row>
    <row r="342" spans="1:6" x14ac:dyDescent="0.25">
      <c r="A342" s="48"/>
      <c r="B342" s="48"/>
      <c r="C342" s="48"/>
      <c r="D342" s="70"/>
      <c r="E342" s="48"/>
      <c r="F342" s="48"/>
    </row>
    <row r="343" spans="1:6" x14ac:dyDescent="0.25">
      <c r="A343" s="48"/>
      <c r="B343" s="48"/>
      <c r="C343" s="48"/>
      <c r="D343" s="70"/>
      <c r="E343" s="48"/>
      <c r="F343" s="48"/>
    </row>
    <row r="344" spans="1:6" x14ac:dyDescent="0.25">
      <c r="A344" s="48"/>
      <c r="B344" s="48"/>
      <c r="C344" s="48"/>
      <c r="D344" s="70"/>
      <c r="E344" s="48"/>
      <c r="F344" s="48"/>
    </row>
    <row r="345" spans="1:6" x14ac:dyDescent="0.25">
      <c r="A345" s="48"/>
      <c r="B345" s="48"/>
      <c r="C345" s="48"/>
      <c r="D345" s="70"/>
      <c r="E345" s="48"/>
      <c r="F345" s="48"/>
    </row>
    <row r="346" spans="1:6" x14ac:dyDescent="0.25">
      <c r="A346" s="48"/>
      <c r="B346" s="48"/>
      <c r="C346" s="48"/>
      <c r="D346" s="70"/>
      <c r="E346" s="48"/>
      <c r="F346" s="48"/>
    </row>
    <row r="347" spans="1:6" x14ac:dyDescent="0.25">
      <c r="A347" s="48"/>
      <c r="B347" s="48"/>
      <c r="C347" s="48"/>
      <c r="D347" s="70"/>
      <c r="E347" s="48"/>
      <c r="F347" s="48"/>
    </row>
    <row r="348" spans="1:6" x14ac:dyDescent="0.25">
      <c r="A348" s="48"/>
      <c r="B348" s="48"/>
      <c r="C348" s="48"/>
      <c r="D348" s="70"/>
      <c r="E348" s="48"/>
      <c r="F348" s="48"/>
    </row>
    <row r="349" spans="1:6" x14ac:dyDescent="0.25">
      <c r="A349" s="48"/>
      <c r="B349" s="48"/>
      <c r="C349" s="48"/>
      <c r="D349" s="70"/>
      <c r="E349" s="48"/>
      <c r="F349" s="48"/>
    </row>
    <row r="350" spans="1:6" x14ac:dyDescent="0.25">
      <c r="A350" s="48"/>
      <c r="B350" s="48"/>
      <c r="C350" s="48"/>
      <c r="D350" s="70"/>
      <c r="E350" s="48"/>
      <c r="F350" s="48"/>
    </row>
    <row r="351" spans="1:6" x14ac:dyDescent="0.25">
      <c r="A351" s="48"/>
      <c r="B351" s="48"/>
      <c r="C351" s="48"/>
      <c r="D351" s="70"/>
      <c r="E351" s="48"/>
      <c r="F351" s="48"/>
    </row>
    <row r="352" spans="1:6" x14ac:dyDescent="0.25">
      <c r="A352" s="48"/>
      <c r="B352" s="48"/>
      <c r="C352" s="48"/>
      <c r="D352" s="70"/>
      <c r="E352" s="48"/>
      <c r="F352" s="48"/>
    </row>
    <row r="353" spans="1:6" x14ac:dyDescent="0.25">
      <c r="A353" s="48"/>
      <c r="B353" s="48"/>
      <c r="C353" s="48"/>
      <c r="D353" s="70"/>
      <c r="E353" s="48"/>
      <c r="F353" s="48"/>
    </row>
    <row r="354" spans="1:6" x14ac:dyDescent="0.25">
      <c r="A354" s="48"/>
      <c r="B354" s="48"/>
      <c r="C354" s="48"/>
      <c r="D354" s="70"/>
      <c r="E354" s="48"/>
      <c r="F354" s="48"/>
    </row>
    <row r="355" spans="1:6" x14ac:dyDescent="0.25">
      <c r="A355" s="48"/>
      <c r="B355" s="48"/>
      <c r="C355" s="48"/>
      <c r="D355" s="70"/>
      <c r="E355" s="48"/>
      <c r="F355" s="48"/>
    </row>
    <row r="356" spans="1:6" x14ac:dyDescent="0.25">
      <c r="A356" s="48"/>
      <c r="B356" s="48"/>
      <c r="C356" s="48"/>
      <c r="D356" s="70"/>
      <c r="E356" s="48"/>
      <c r="F356" s="48"/>
    </row>
    <row r="357" spans="1:6" x14ac:dyDescent="0.25">
      <c r="A357" s="48"/>
      <c r="B357" s="48"/>
      <c r="C357" s="48"/>
      <c r="D357" s="70"/>
      <c r="E357" s="48"/>
      <c r="F357" s="48"/>
    </row>
    <row r="358" spans="1:6" x14ac:dyDescent="0.25">
      <c r="A358" s="48"/>
      <c r="B358" s="48"/>
      <c r="C358" s="48"/>
      <c r="D358" s="70"/>
      <c r="E358" s="48"/>
      <c r="F358" s="48"/>
    </row>
    <row r="359" spans="1:6" x14ac:dyDescent="0.25">
      <c r="A359" s="48"/>
      <c r="B359" s="48"/>
      <c r="C359" s="48"/>
      <c r="D359" s="70"/>
      <c r="E359" s="48"/>
      <c r="F359" s="48"/>
    </row>
    <row r="360" spans="1:6" x14ac:dyDescent="0.25">
      <c r="A360" s="48"/>
      <c r="B360" s="48"/>
      <c r="C360" s="48"/>
      <c r="D360" s="70"/>
      <c r="E360" s="48"/>
      <c r="F360" s="48"/>
    </row>
    <row r="361" spans="1:6" x14ac:dyDescent="0.25">
      <c r="A361" s="48"/>
      <c r="B361" s="48"/>
      <c r="C361" s="48"/>
      <c r="D361" s="70"/>
      <c r="E361" s="48"/>
      <c r="F361" s="48"/>
    </row>
    <row r="362" spans="1:6" x14ac:dyDescent="0.25">
      <c r="A362" s="48"/>
      <c r="B362" s="48"/>
      <c r="C362" s="48"/>
      <c r="D362" s="70"/>
      <c r="E362" s="48"/>
      <c r="F362" s="48"/>
    </row>
    <row r="363" spans="1:6" x14ac:dyDescent="0.25">
      <c r="A363" s="48"/>
      <c r="B363" s="48"/>
      <c r="C363" s="48"/>
      <c r="D363" s="70"/>
      <c r="E363" s="48"/>
      <c r="F363" s="48"/>
    </row>
    <row r="364" spans="1:6" x14ac:dyDescent="0.25">
      <c r="A364" s="48"/>
      <c r="B364" s="48"/>
      <c r="C364" s="48"/>
      <c r="D364" s="70"/>
      <c r="E364" s="48"/>
      <c r="F364" s="48"/>
    </row>
    <row r="365" spans="1:6" x14ac:dyDescent="0.25">
      <c r="A365" s="48"/>
      <c r="B365" s="48"/>
      <c r="C365" s="48"/>
      <c r="D365" s="70"/>
      <c r="E365" s="48"/>
      <c r="F365" s="48"/>
    </row>
    <row r="366" spans="1:6" x14ac:dyDescent="0.25">
      <c r="A366" s="48"/>
      <c r="B366" s="48"/>
      <c r="C366" s="48"/>
      <c r="D366" s="70"/>
      <c r="E366" s="48"/>
      <c r="F366" s="48"/>
    </row>
    <row r="367" spans="1:6" x14ac:dyDescent="0.25">
      <c r="A367" s="48"/>
      <c r="B367" s="48"/>
      <c r="C367" s="48"/>
      <c r="D367" s="70"/>
      <c r="E367" s="48"/>
      <c r="F367" s="48"/>
    </row>
    <row r="368" spans="1:6" x14ac:dyDescent="0.25">
      <c r="A368" s="48"/>
      <c r="B368" s="48"/>
      <c r="C368" s="48"/>
      <c r="D368" s="70"/>
      <c r="E368" s="48"/>
      <c r="F368" s="48"/>
    </row>
    <row r="369" spans="1:6" x14ac:dyDescent="0.25">
      <c r="A369" s="48"/>
      <c r="B369" s="48"/>
      <c r="C369" s="48"/>
      <c r="D369" s="70"/>
      <c r="E369" s="48"/>
      <c r="F369" s="48"/>
    </row>
    <row r="370" spans="1:6" x14ac:dyDescent="0.25">
      <c r="A370" s="48"/>
      <c r="B370" s="48"/>
      <c r="C370" s="48"/>
      <c r="D370" s="70"/>
      <c r="E370" s="48"/>
      <c r="F370" s="48"/>
    </row>
    <row r="371" spans="1:6" x14ac:dyDescent="0.25">
      <c r="A371" s="48"/>
      <c r="B371" s="48"/>
      <c r="C371" s="48"/>
      <c r="D371" s="70"/>
      <c r="E371" s="48"/>
      <c r="F371" s="48"/>
    </row>
    <row r="372" spans="1:6" x14ac:dyDescent="0.25">
      <c r="A372" s="48"/>
      <c r="B372" s="48"/>
      <c r="C372" s="48"/>
      <c r="D372" s="70"/>
      <c r="E372" s="48"/>
      <c r="F372" s="48"/>
    </row>
    <row r="373" spans="1:6" x14ac:dyDescent="0.25">
      <c r="A373" s="48"/>
      <c r="B373" s="48"/>
      <c r="C373" s="48"/>
      <c r="D373" s="70"/>
      <c r="E373" s="48"/>
      <c r="F373" s="48"/>
    </row>
    <row r="374" spans="1:6" x14ac:dyDescent="0.25">
      <c r="A374" s="48"/>
      <c r="B374" s="48"/>
      <c r="C374" s="48"/>
      <c r="D374" s="70"/>
      <c r="E374" s="48"/>
      <c r="F374" s="48"/>
    </row>
    <row r="375" spans="1:6" x14ac:dyDescent="0.25">
      <c r="A375" s="48"/>
      <c r="B375" s="48"/>
      <c r="C375" s="48"/>
      <c r="D375" s="70"/>
      <c r="E375" s="48"/>
      <c r="F375" s="48"/>
    </row>
    <row r="376" spans="1:6" x14ac:dyDescent="0.25">
      <c r="A376" s="48"/>
      <c r="B376" s="48"/>
      <c r="C376" s="48"/>
      <c r="D376" s="70"/>
      <c r="E376" s="48"/>
      <c r="F376" s="48"/>
    </row>
    <row r="377" spans="1:6" x14ac:dyDescent="0.25">
      <c r="A377" s="48"/>
      <c r="B377" s="48"/>
      <c r="C377" s="48"/>
      <c r="D377" s="70"/>
      <c r="E377" s="48"/>
      <c r="F377" s="48"/>
    </row>
    <row r="378" spans="1:6" x14ac:dyDescent="0.25">
      <c r="A378" s="48"/>
      <c r="B378" s="48"/>
      <c r="C378" s="48"/>
      <c r="D378" s="70"/>
      <c r="E378" s="48"/>
      <c r="F378" s="48"/>
    </row>
    <row r="379" spans="1:6" x14ac:dyDescent="0.25">
      <c r="A379" s="48"/>
      <c r="B379" s="48"/>
      <c r="C379" s="48"/>
      <c r="D379" s="70"/>
      <c r="E379" s="48"/>
      <c r="F379" s="48"/>
    </row>
    <row r="380" spans="1:6" x14ac:dyDescent="0.25">
      <c r="A380" s="48"/>
      <c r="B380" s="48"/>
      <c r="C380" s="48"/>
      <c r="D380" s="70"/>
      <c r="E380" s="48"/>
      <c r="F380" s="48"/>
    </row>
    <row r="381" spans="1:6" x14ac:dyDescent="0.25">
      <c r="A381" s="48"/>
      <c r="B381" s="48"/>
      <c r="C381" s="48"/>
      <c r="D381" s="70"/>
      <c r="E381" s="48"/>
      <c r="F381" s="48"/>
    </row>
    <row r="382" spans="1:6" x14ac:dyDescent="0.25">
      <c r="A382" s="48"/>
      <c r="B382" s="48"/>
      <c r="C382" s="48"/>
      <c r="D382" s="70"/>
      <c r="E382" s="48"/>
      <c r="F382" s="48"/>
    </row>
    <row r="383" spans="1:6" x14ac:dyDescent="0.25">
      <c r="A383" s="48"/>
      <c r="B383" s="48"/>
      <c r="C383" s="48"/>
      <c r="D383" s="70"/>
      <c r="E383" s="48"/>
      <c r="F383" s="48"/>
    </row>
    <row r="384" spans="1:6" x14ac:dyDescent="0.25">
      <c r="A384" s="48"/>
      <c r="B384" s="48"/>
      <c r="C384" s="48"/>
      <c r="D384" s="70"/>
      <c r="E384" s="48"/>
      <c r="F384" s="48"/>
    </row>
    <row r="385" spans="1:6" x14ac:dyDescent="0.25">
      <c r="A385" s="48"/>
      <c r="B385" s="48"/>
      <c r="C385" s="48"/>
      <c r="D385" s="70"/>
      <c r="E385" s="48"/>
      <c r="F385" s="48"/>
    </row>
    <row r="386" spans="1:6" x14ac:dyDescent="0.25">
      <c r="A386" s="48"/>
      <c r="B386" s="48"/>
      <c r="C386" s="48"/>
      <c r="D386" s="70"/>
      <c r="E386" s="48"/>
      <c r="F386" s="48"/>
    </row>
    <row r="387" spans="1:6" x14ac:dyDescent="0.25">
      <c r="A387" s="48"/>
      <c r="B387" s="48"/>
      <c r="C387" s="48"/>
      <c r="D387" s="70"/>
      <c r="E387" s="48"/>
      <c r="F387" s="48"/>
    </row>
    <row r="388" spans="1:6" x14ac:dyDescent="0.25">
      <c r="A388" s="48"/>
      <c r="B388" s="48"/>
      <c r="C388" s="48"/>
      <c r="D388" s="70"/>
      <c r="E388" s="48"/>
      <c r="F388" s="48"/>
    </row>
    <row r="389" spans="1:6" x14ac:dyDescent="0.25">
      <c r="A389" s="48"/>
      <c r="B389" s="48"/>
      <c r="C389" s="48"/>
      <c r="D389" s="70"/>
      <c r="E389" s="48"/>
      <c r="F389" s="48"/>
    </row>
    <row r="390" spans="1:6" x14ac:dyDescent="0.25">
      <c r="A390" s="48"/>
      <c r="B390" s="48"/>
      <c r="C390" s="48"/>
      <c r="D390" s="70"/>
      <c r="E390" s="48"/>
      <c r="F390" s="48"/>
    </row>
    <row r="391" spans="1:6" x14ac:dyDescent="0.25">
      <c r="A391" s="48"/>
      <c r="B391" s="48"/>
      <c r="C391" s="48"/>
      <c r="D391" s="70"/>
      <c r="E391" s="48"/>
      <c r="F391" s="48"/>
    </row>
    <row r="392" spans="1:6" x14ac:dyDescent="0.25">
      <c r="A392" s="48"/>
      <c r="B392" s="48"/>
      <c r="C392" s="48"/>
      <c r="D392" s="70"/>
      <c r="E392" s="48"/>
      <c r="F392" s="48"/>
    </row>
    <row r="393" spans="1:6" x14ac:dyDescent="0.25">
      <c r="A393" s="48"/>
      <c r="B393" s="48"/>
      <c r="C393" s="48"/>
      <c r="D393" s="70"/>
      <c r="E393" s="48"/>
      <c r="F393" s="48"/>
    </row>
    <row r="394" spans="1:6" x14ac:dyDescent="0.25">
      <c r="A394" s="48"/>
      <c r="B394" s="48"/>
      <c r="C394" s="48"/>
      <c r="D394" s="70"/>
      <c r="E394" s="48"/>
      <c r="F394" s="48"/>
    </row>
    <row r="395" spans="1:6" x14ac:dyDescent="0.25">
      <c r="A395" s="48"/>
      <c r="B395" s="48"/>
      <c r="C395" s="48"/>
      <c r="D395" s="70"/>
      <c r="E395" s="48"/>
      <c r="F395" s="48"/>
    </row>
    <row r="396" spans="1:6" x14ac:dyDescent="0.25">
      <c r="A396" s="48"/>
      <c r="B396" s="48"/>
      <c r="C396" s="48"/>
      <c r="D396" s="70"/>
      <c r="E396" s="48"/>
      <c r="F396" s="48"/>
    </row>
    <row r="397" spans="1:6" x14ac:dyDescent="0.25">
      <c r="A397" s="48"/>
      <c r="B397" s="48"/>
      <c r="C397" s="48"/>
      <c r="D397" s="70"/>
      <c r="E397" s="48"/>
      <c r="F397" s="48"/>
    </row>
    <row r="398" spans="1:6" x14ac:dyDescent="0.25">
      <c r="A398" s="48"/>
      <c r="B398" s="48"/>
      <c r="C398" s="48"/>
      <c r="D398" s="70"/>
      <c r="E398" s="48"/>
      <c r="F398" s="48"/>
    </row>
    <row r="399" spans="1:6" x14ac:dyDescent="0.25">
      <c r="A399" s="48"/>
      <c r="B399" s="48"/>
      <c r="C399" s="48"/>
      <c r="D399" s="70"/>
      <c r="E399" s="48"/>
      <c r="F399" s="48"/>
    </row>
    <row r="400" spans="1:6" x14ac:dyDescent="0.25">
      <c r="A400" s="48"/>
      <c r="B400" s="48"/>
      <c r="C400" s="48"/>
      <c r="D400" s="70"/>
      <c r="E400" s="48"/>
      <c r="F400" s="48"/>
    </row>
    <row r="401" spans="1:6" x14ac:dyDescent="0.25">
      <c r="A401" s="48"/>
      <c r="B401" s="48"/>
      <c r="C401" s="48"/>
      <c r="D401" s="70"/>
      <c r="E401" s="48"/>
      <c r="F401" s="48"/>
    </row>
    <row r="402" spans="1:6" x14ac:dyDescent="0.25">
      <c r="A402" s="48"/>
      <c r="B402" s="48"/>
      <c r="C402" s="48"/>
      <c r="D402" s="70"/>
      <c r="E402" s="48"/>
      <c r="F402" s="48"/>
    </row>
    <row r="403" spans="1:6" x14ac:dyDescent="0.25">
      <c r="A403" s="48"/>
      <c r="B403" s="48"/>
      <c r="C403" s="48"/>
      <c r="D403" s="70"/>
      <c r="E403" s="48"/>
      <c r="F403" s="48"/>
    </row>
    <row r="404" spans="1:6" x14ac:dyDescent="0.25">
      <c r="A404" s="48"/>
      <c r="B404" s="48"/>
      <c r="C404" s="48"/>
      <c r="D404" s="70"/>
      <c r="E404" s="48"/>
      <c r="F404" s="48"/>
    </row>
    <row r="405" spans="1:6" x14ac:dyDescent="0.25">
      <c r="A405" s="48"/>
      <c r="B405" s="48"/>
      <c r="C405" s="48"/>
      <c r="D405" s="70"/>
      <c r="E405" s="48"/>
      <c r="F405" s="48"/>
    </row>
    <row r="406" spans="1:6" x14ac:dyDescent="0.25">
      <c r="A406" s="48"/>
      <c r="B406" s="48"/>
      <c r="C406" s="48"/>
      <c r="D406" s="70"/>
      <c r="E406" s="48"/>
      <c r="F406" s="48"/>
    </row>
    <row r="407" spans="1:6" x14ac:dyDescent="0.25">
      <c r="A407" s="48"/>
      <c r="B407" s="48"/>
      <c r="C407" s="48"/>
      <c r="D407" s="70"/>
      <c r="E407" s="48"/>
      <c r="F407" s="48"/>
    </row>
    <row r="408" spans="1:6" x14ac:dyDescent="0.25">
      <c r="A408" s="48"/>
      <c r="B408" s="48"/>
      <c r="C408" s="48"/>
      <c r="D408" s="70"/>
      <c r="E408" s="48"/>
      <c r="F408" s="48"/>
    </row>
    <row r="409" spans="1:6" x14ac:dyDescent="0.25">
      <c r="A409" s="48"/>
      <c r="B409" s="48"/>
      <c r="C409" s="48"/>
      <c r="D409" s="70"/>
      <c r="E409" s="48"/>
      <c r="F409" s="48"/>
    </row>
    <row r="410" spans="1:6" x14ac:dyDescent="0.25">
      <c r="A410" s="48"/>
      <c r="B410" s="48"/>
      <c r="C410" s="48"/>
      <c r="D410" s="70"/>
      <c r="E410" s="48"/>
      <c r="F410" s="48"/>
    </row>
    <row r="411" spans="1:6" x14ac:dyDescent="0.25">
      <c r="A411" s="48"/>
      <c r="B411" s="48"/>
      <c r="C411" s="48"/>
      <c r="D411" s="70"/>
      <c r="E411" s="48"/>
      <c r="F411" s="48"/>
    </row>
    <row r="412" spans="1:6" x14ac:dyDescent="0.25">
      <c r="A412" s="48"/>
      <c r="B412" s="48"/>
      <c r="C412" s="48"/>
      <c r="D412" s="70"/>
      <c r="E412" s="48"/>
      <c r="F412" s="48"/>
    </row>
    <row r="413" spans="1:6" x14ac:dyDescent="0.25">
      <c r="A413" s="48"/>
      <c r="B413" s="48"/>
      <c r="C413" s="48"/>
      <c r="D413" s="70"/>
      <c r="E413" s="48"/>
      <c r="F413" s="48"/>
    </row>
    <row r="414" spans="1:6" x14ac:dyDescent="0.25">
      <c r="A414" s="48"/>
      <c r="B414" s="48"/>
      <c r="C414" s="48"/>
      <c r="D414" s="70"/>
      <c r="E414" s="48"/>
      <c r="F414" s="48"/>
    </row>
    <row r="415" spans="1:6" x14ac:dyDescent="0.25">
      <c r="A415" s="48"/>
      <c r="B415" s="48"/>
      <c r="C415" s="48"/>
      <c r="D415" s="70"/>
      <c r="E415" s="48"/>
      <c r="F415" s="48"/>
    </row>
    <row r="416" spans="1:6" x14ac:dyDescent="0.25">
      <c r="A416" s="48"/>
      <c r="B416" s="48"/>
      <c r="C416" s="48"/>
      <c r="D416" s="70"/>
      <c r="E416" s="48"/>
      <c r="F416" s="48"/>
    </row>
    <row r="417" spans="1:6" x14ac:dyDescent="0.25">
      <c r="A417" s="48"/>
      <c r="B417" s="48"/>
      <c r="C417" s="48"/>
      <c r="D417" s="70"/>
      <c r="E417" s="48"/>
      <c r="F417" s="48"/>
    </row>
    <row r="418" spans="1:6" x14ac:dyDescent="0.25">
      <c r="A418" s="48"/>
      <c r="B418" s="48"/>
      <c r="C418" s="48"/>
      <c r="D418" s="70"/>
      <c r="E418" s="48"/>
      <c r="F418" s="48"/>
    </row>
    <row r="419" spans="1:6" x14ac:dyDescent="0.25">
      <c r="A419" s="48"/>
      <c r="B419" s="48"/>
      <c r="C419" s="48"/>
      <c r="D419" s="70"/>
      <c r="E419" s="48"/>
      <c r="F419" s="48"/>
    </row>
    <row r="420" spans="1:6" x14ac:dyDescent="0.25">
      <c r="A420" s="48"/>
      <c r="B420" s="48"/>
      <c r="C420" s="48"/>
      <c r="D420" s="70"/>
      <c r="E420" s="48"/>
      <c r="F420" s="48"/>
    </row>
    <row r="421" spans="1:6" x14ac:dyDescent="0.25">
      <c r="A421" s="48"/>
      <c r="B421" s="48"/>
      <c r="C421" s="48"/>
      <c r="D421" s="70"/>
      <c r="E421" s="48"/>
      <c r="F421" s="48"/>
    </row>
    <row r="422" spans="1:6" x14ac:dyDescent="0.25">
      <c r="A422" s="48"/>
      <c r="B422" s="48"/>
      <c r="C422" s="48"/>
      <c r="D422" s="70"/>
      <c r="E422" s="48"/>
      <c r="F422" s="48"/>
    </row>
    <row r="423" spans="1:6" x14ac:dyDescent="0.25">
      <c r="A423" s="48"/>
      <c r="B423" s="48"/>
      <c r="C423" s="48"/>
      <c r="D423" s="70"/>
      <c r="E423" s="48"/>
      <c r="F423" s="48"/>
    </row>
    <row r="424" spans="1:6" x14ac:dyDescent="0.25">
      <c r="A424" s="48"/>
      <c r="B424" s="48"/>
      <c r="C424" s="48"/>
      <c r="D424" s="70"/>
      <c r="E424" s="48"/>
      <c r="F424" s="48"/>
    </row>
    <row r="425" spans="1:6" x14ac:dyDescent="0.25">
      <c r="A425" s="48"/>
      <c r="B425" s="48"/>
      <c r="C425" s="48"/>
      <c r="D425" s="70"/>
      <c r="E425" s="48"/>
      <c r="F425" s="48"/>
    </row>
    <row r="426" spans="1:6" x14ac:dyDescent="0.25">
      <c r="A426" s="48"/>
      <c r="B426" s="48"/>
      <c r="C426" s="48"/>
      <c r="D426" s="70"/>
      <c r="E426" s="48"/>
      <c r="F426" s="48"/>
    </row>
    <row r="427" spans="1:6" x14ac:dyDescent="0.25">
      <c r="A427" s="48"/>
      <c r="B427" s="48"/>
      <c r="C427" s="48"/>
      <c r="D427" s="70"/>
      <c r="E427" s="48"/>
      <c r="F427" s="48"/>
    </row>
    <row r="428" spans="1:6" x14ac:dyDescent="0.25">
      <c r="A428" s="48"/>
      <c r="B428" s="48"/>
      <c r="C428" s="48"/>
      <c r="D428" s="70"/>
      <c r="E428" s="48"/>
      <c r="F428" s="48"/>
    </row>
    <row r="429" spans="1:6" x14ac:dyDescent="0.25">
      <c r="A429" s="48"/>
      <c r="B429" s="48"/>
      <c r="C429" s="48"/>
      <c r="D429" s="70"/>
      <c r="E429" s="48"/>
      <c r="F429" s="48"/>
    </row>
    <row r="430" spans="1:6" x14ac:dyDescent="0.25">
      <c r="A430" s="48"/>
      <c r="B430" s="48"/>
      <c r="C430" s="48"/>
      <c r="D430" s="70"/>
      <c r="E430" s="48"/>
      <c r="F430" s="48"/>
    </row>
    <row r="431" spans="1:6" x14ac:dyDescent="0.25">
      <c r="A431" s="48"/>
      <c r="B431" s="48"/>
      <c r="C431" s="48"/>
      <c r="D431" s="70"/>
      <c r="E431" s="48"/>
      <c r="F431" s="48"/>
    </row>
    <row r="432" spans="1:6" x14ac:dyDescent="0.25">
      <c r="A432" s="48"/>
      <c r="B432" s="48"/>
      <c r="C432" s="48"/>
      <c r="D432" s="70"/>
      <c r="E432" s="48"/>
      <c r="F432" s="48"/>
    </row>
    <row r="433" spans="1:6" x14ac:dyDescent="0.25">
      <c r="A433" s="48"/>
      <c r="B433" s="48"/>
      <c r="C433" s="48"/>
      <c r="D433" s="70"/>
      <c r="E433" s="48"/>
      <c r="F433" s="48"/>
    </row>
    <row r="434" spans="1:6" x14ac:dyDescent="0.25">
      <c r="A434" s="48"/>
      <c r="B434" s="48"/>
      <c r="C434" s="48"/>
      <c r="D434" s="70"/>
      <c r="E434" s="48"/>
      <c r="F434" s="48"/>
    </row>
    <row r="435" spans="1:6" x14ac:dyDescent="0.25">
      <c r="A435" s="48"/>
      <c r="B435" s="48"/>
      <c r="C435" s="48"/>
      <c r="D435" s="70"/>
      <c r="E435" s="48"/>
      <c r="F435" s="48"/>
    </row>
    <row r="436" spans="1:6" x14ac:dyDescent="0.25">
      <c r="A436" s="48"/>
      <c r="B436" s="48"/>
      <c r="C436" s="48"/>
      <c r="D436" s="70"/>
      <c r="E436" s="48"/>
      <c r="F436" s="48"/>
    </row>
    <row r="437" spans="1:6" x14ac:dyDescent="0.25">
      <c r="A437" s="48"/>
      <c r="B437" s="48"/>
      <c r="C437" s="48"/>
      <c r="D437" s="70"/>
      <c r="E437" s="48"/>
      <c r="F437" s="48"/>
    </row>
    <row r="438" spans="1:6" x14ac:dyDescent="0.25">
      <c r="A438" s="48"/>
      <c r="B438" s="48"/>
      <c r="C438" s="48"/>
      <c r="D438" s="70"/>
      <c r="E438" s="48"/>
      <c r="F438" s="48"/>
    </row>
    <row r="439" spans="1:6" x14ac:dyDescent="0.25">
      <c r="A439" s="48"/>
      <c r="B439" s="48"/>
      <c r="C439" s="48"/>
      <c r="D439" s="70"/>
      <c r="E439" s="48"/>
      <c r="F439" s="48"/>
    </row>
    <row r="440" spans="1:6" x14ac:dyDescent="0.25">
      <c r="A440" s="48"/>
      <c r="B440" s="48"/>
      <c r="C440" s="48"/>
      <c r="D440" s="70"/>
      <c r="E440" s="48"/>
      <c r="F440" s="48"/>
    </row>
    <row r="441" spans="1:6" x14ac:dyDescent="0.25">
      <c r="A441" s="48"/>
      <c r="B441" s="48"/>
      <c r="C441" s="48"/>
      <c r="D441" s="70"/>
      <c r="E441" s="48"/>
      <c r="F441" s="48"/>
    </row>
    <row r="442" spans="1:6" x14ac:dyDescent="0.25">
      <c r="A442" s="48"/>
      <c r="B442" s="48"/>
      <c r="C442" s="48"/>
      <c r="D442" s="70"/>
      <c r="E442" s="48"/>
      <c r="F442" s="48"/>
    </row>
    <row r="443" spans="1:6" x14ac:dyDescent="0.25">
      <c r="A443" s="48"/>
      <c r="B443" s="48"/>
      <c r="C443" s="48"/>
      <c r="D443" s="70"/>
      <c r="E443" s="48"/>
      <c r="F443" s="48"/>
    </row>
    <row r="444" spans="1:6" x14ac:dyDescent="0.25">
      <c r="A444" s="48"/>
      <c r="B444" s="48"/>
      <c r="C444" s="48"/>
      <c r="D444" s="70"/>
      <c r="E444" s="48"/>
      <c r="F444" s="48"/>
    </row>
    <row r="445" spans="1:6" x14ac:dyDescent="0.25">
      <c r="A445" s="48"/>
      <c r="B445" s="48"/>
      <c r="C445" s="48"/>
      <c r="D445" s="70"/>
      <c r="E445" s="48"/>
      <c r="F445" s="48"/>
    </row>
    <row r="446" spans="1:6" x14ac:dyDescent="0.25">
      <c r="A446" s="48"/>
      <c r="B446" s="48"/>
      <c r="C446" s="48"/>
      <c r="D446" s="70"/>
      <c r="E446" s="48"/>
      <c r="F446" s="48"/>
    </row>
    <row r="447" spans="1:6" x14ac:dyDescent="0.25">
      <c r="A447" s="48"/>
      <c r="B447" s="48"/>
      <c r="C447" s="48"/>
      <c r="D447" s="70"/>
      <c r="E447" s="48"/>
      <c r="F447" s="48"/>
    </row>
    <row r="448" spans="1:6" x14ac:dyDescent="0.25">
      <c r="A448" s="48"/>
      <c r="B448" s="48"/>
      <c r="C448" s="48"/>
      <c r="D448" s="70"/>
      <c r="E448" s="48"/>
      <c r="F448" s="48"/>
    </row>
    <row r="449" spans="1:6" x14ac:dyDescent="0.25">
      <c r="A449" s="48"/>
      <c r="B449" s="48"/>
      <c r="C449" s="48"/>
      <c r="D449" s="70"/>
      <c r="E449" s="48"/>
      <c r="F449" s="48"/>
    </row>
    <row r="450" spans="1:6" x14ac:dyDescent="0.25">
      <c r="A450" s="48"/>
      <c r="B450" s="48"/>
      <c r="C450" s="48"/>
      <c r="D450" s="70"/>
      <c r="E450" s="48"/>
      <c r="F450" s="48"/>
    </row>
    <row r="451" spans="1:6" x14ac:dyDescent="0.25">
      <c r="A451" s="48"/>
      <c r="B451" s="48"/>
      <c r="C451" s="48"/>
      <c r="D451" s="70"/>
      <c r="E451" s="48"/>
      <c r="F451" s="48"/>
    </row>
    <row r="452" spans="1:6" x14ac:dyDescent="0.25">
      <c r="A452" s="48"/>
      <c r="B452" s="48"/>
      <c r="C452" s="48"/>
      <c r="D452" s="70"/>
      <c r="E452" s="48"/>
      <c r="F452" s="48"/>
    </row>
    <row r="453" spans="1:6" x14ac:dyDescent="0.25">
      <c r="A453" s="48"/>
      <c r="B453" s="48"/>
      <c r="C453" s="48"/>
      <c r="D453" s="70"/>
      <c r="E453" s="48"/>
      <c r="F453" s="48"/>
    </row>
    <row r="454" spans="1:6" x14ac:dyDescent="0.25">
      <c r="A454" s="48"/>
      <c r="B454" s="48"/>
      <c r="C454" s="48"/>
      <c r="D454" s="70"/>
      <c r="E454" s="48"/>
      <c r="F454" s="48"/>
    </row>
    <row r="455" spans="1:6" x14ac:dyDescent="0.25">
      <c r="A455" s="48"/>
      <c r="B455" s="48"/>
      <c r="C455" s="48"/>
      <c r="D455" s="70"/>
      <c r="E455" s="48"/>
      <c r="F455" s="48"/>
    </row>
    <row r="456" spans="1:6" x14ac:dyDescent="0.25">
      <c r="A456" s="48"/>
      <c r="B456" s="48"/>
      <c r="C456" s="48"/>
      <c r="D456" s="70"/>
      <c r="E456" s="48"/>
      <c r="F456" s="48"/>
    </row>
    <row r="457" spans="1:6" x14ac:dyDescent="0.25">
      <c r="A457" s="48"/>
      <c r="B457" s="48"/>
      <c r="C457" s="48"/>
      <c r="D457" s="70"/>
      <c r="E457" s="48"/>
      <c r="F457" s="48"/>
    </row>
    <row r="458" spans="1:6" x14ac:dyDescent="0.25">
      <c r="A458" s="48"/>
      <c r="B458" s="48"/>
      <c r="C458" s="48"/>
      <c r="D458" s="70"/>
      <c r="E458" s="48"/>
      <c r="F458" s="48"/>
    </row>
    <row r="459" spans="1:6" x14ac:dyDescent="0.25">
      <c r="A459" s="48"/>
      <c r="B459" s="48"/>
      <c r="C459" s="48"/>
      <c r="D459" s="70"/>
      <c r="E459" s="48"/>
      <c r="F459" s="48"/>
    </row>
    <row r="460" spans="1:6" x14ac:dyDescent="0.25">
      <c r="A460" s="48"/>
      <c r="B460" s="48"/>
      <c r="C460" s="48"/>
      <c r="D460" s="70"/>
      <c r="E460" s="48"/>
      <c r="F460" s="48"/>
    </row>
    <row r="461" spans="1:6" x14ac:dyDescent="0.25">
      <c r="A461" s="48"/>
      <c r="B461" s="48"/>
      <c r="C461" s="48"/>
      <c r="D461" s="70"/>
      <c r="E461" s="48"/>
      <c r="F461" s="48"/>
    </row>
    <row r="462" spans="1:6" x14ac:dyDescent="0.25">
      <c r="A462" s="48"/>
      <c r="B462" s="48"/>
      <c r="C462" s="48"/>
      <c r="D462" s="70"/>
      <c r="E462" s="48"/>
      <c r="F462" s="48"/>
    </row>
    <row r="463" spans="1:6" x14ac:dyDescent="0.25">
      <c r="A463" s="48"/>
      <c r="B463" s="48"/>
      <c r="C463" s="48"/>
      <c r="D463" s="70"/>
      <c r="E463" s="48"/>
      <c r="F463" s="48"/>
    </row>
    <row r="464" spans="1:6" x14ac:dyDescent="0.25">
      <c r="A464" s="48"/>
      <c r="B464" s="48"/>
      <c r="C464" s="48"/>
      <c r="D464" s="70"/>
      <c r="E464" s="48"/>
      <c r="F464" s="48"/>
    </row>
    <row r="465" spans="1:6" x14ac:dyDescent="0.25">
      <c r="A465" s="48"/>
      <c r="B465" s="48"/>
      <c r="C465" s="48"/>
      <c r="D465" s="70"/>
      <c r="E465" s="48"/>
      <c r="F465" s="48"/>
    </row>
    <row r="466" spans="1:6" x14ac:dyDescent="0.25">
      <c r="A466" s="48"/>
      <c r="B466" s="48"/>
      <c r="C466" s="48"/>
      <c r="D466" s="70"/>
      <c r="E466" s="48"/>
      <c r="F466" s="48"/>
    </row>
    <row r="467" spans="1:6" x14ac:dyDescent="0.25">
      <c r="A467" s="48"/>
      <c r="B467" s="48"/>
      <c r="C467" s="48"/>
      <c r="D467" s="70"/>
      <c r="E467" s="48"/>
      <c r="F467" s="48"/>
    </row>
    <row r="468" spans="1:6" x14ac:dyDescent="0.25">
      <c r="A468" s="48"/>
      <c r="B468" s="48"/>
      <c r="C468" s="48"/>
      <c r="D468" s="70"/>
      <c r="E468" s="48"/>
      <c r="F468" s="48"/>
    </row>
    <row r="469" spans="1:6" x14ac:dyDescent="0.25">
      <c r="A469" s="48"/>
      <c r="B469" s="48"/>
      <c r="C469" s="48"/>
      <c r="D469" s="70"/>
      <c r="E469" s="48"/>
      <c r="F469" s="48"/>
    </row>
    <row r="470" spans="1:6" x14ac:dyDescent="0.25">
      <c r="A470" s="48"/>
      <c r="B470" s="48"/>
      <c r="C470" s="48"/>
      <c r="D470" s="70"/>
      <c r="E470" s="48"/>
      <c r="F470" s="48"/>
    </row>
    <row r="471" spans="1:6" x14ac:dyDescent="0.25">
      <c r="A471" s="48"/>
      <c r="B471" s="48"/>
      <c r="C471" s="48"/>
      <c r="D471" s="70"/>
      <c r="E471" s="48"/>
      <c r="F471" s="48"/>
    </row>
    <row r="472" spans="1:6" x14ac:dyDescent="0.25">
      <c r="A472" s="48"/>
      <c r="B472" s="48"/>
      <c r="C472" s="48"/>
      <c r="D472" s="70"/>
      <c r="E472" s="48"/>
      <c r="F472" s="48"/>
    </row>
    <row r="473" spans="1:6" x14ac:dyDescent="0.25">
      <c r="A473" s="48"/>
      <c r="B473" s="48"/>
      <c r="C473" s="48"/>
      <c r="D473" s="70"/>
      <c r="E473" s="48"/>
      <c r="F473" s="48"/>
    </row>
    <row r="474" spans="1:6" x14ac:dyDescent="0.25">
      <c r="A474" s="48"/>
      <c r="B474" s="48"/>
      <c r="C474" s="48"/>
      <c r="D474" s="70"/>
      <c r="E474" s="48"/>
      <c r="F474" s="48"/>
    </row>
    <row r="475" spans="1:6" x14ac:dyDescent="0.25">
      <c r="A475" s="48"/>
      <c r="B475" s="48"/>
      <c r="C475" s="48"/>
      <c r="D475" s="70"/>
      <c r="E475" s="48"/>
      <c r="F475" s="48"/>
    </row>
    <row r="476" spans="1:6" x14ac:dyDescent="0.25">
      <c r="A476" s="48"/>
      <c r="B476" s="48"/>
      <c r="C476" s="48"/>
      <c r="D476" s="70"/>
      <c r="E476" s="48"/>
      <c r="F476" s="48"/>
    </row>
    <row r="477" spans="1:6" x14ac:dyDescent="0.25">
      <c r="A477" s="48"/>
      <c r="B477" s="48"/>
      <c r="C477" s="48"/>
      <c r="D477" s="70"/>
      <c r="E477" s="48"/>
      <c r="F477" s="48"/>
    </row>
    <row r="478" spans="1:6" x14ac:dyDescent="0.25">
      <c r="A478" s="48"/>
      <c r="B478" s="48"/>
      <c r="C478" s="48"/>
      <c r="D478" s="70"/>
      <c r="E478" s="48"/>
      <c r="F478" s="48"/>
    </row>
    <row r="479" spans="1:6" x14ac:dyDescent="0.25">
      <c r="A479" s="48"/>
      <c r="B479" s="48"/>
      <c r="C479" s="48"/>
      <c r="D479" s="70"/>
      <c r="E479" s="48"/>
      <c r="F479" s="48"/>
    </row>
    <row r="480" spans="1:6" x14ac:dyDescent="0.25">
      <c r="A480" s="48"/>
      <c r="B480" s="48"/>
      <c r="C480" s="48"/>
      <c r="D480" s="70"/>
      <c r="E480" s="48"/>
      <c r="F480" s="48"/>
    </row>
    <row r="481" spans="1:6" x14ac:dyDescent="0.25">
      <c r="A481" s="48"/>
      <c r="B481" s="48"/>
      <c r="C481" s="48"/>
      <c r="D481" s="70"/>
      <c r="E481" s="48"/>
      <c r="F481" s="48"/>
    </row>
    <row r="482" spans="1:6" x14ac:dyDescent="0.25">
      <c r="A482" s="48"/>
      <c r="B482" s="48"/>
      <c r="C482" s="48"/>
      <c r="D482" s="70"/>
      <c r="E482" s="48"/>
      <c r="F482" s="48"/>
    </row>
    <row r="483" spans="1:6" x14ac:dyDescent="0.25">
      <c r="A483" s="48"/>
      <c r="B483" s="48"/>
      <c r="C483" s="48"/>
      <c r="D483" s="70"/>
      <c r="E483" s="48"/>
      <c r="F483" s="48"/>
    </row>
    <row r="484" spans="1:6" x14ac:dyDescent="0.25">
      <c r="A484" s="48"/>
      <c r="B484" s="48"/>
      <c r="C484" s="48"/>
      <c r="D484" s="70"/>
      <c r="E484" s="48"/>
      <c r="F484" s="48"/>
    </row>
    <row r="485" spans="1:6" x14ac:dyDescent="0.25">
      <c r="A485" s="48"/>
      <c r="B485" s="48"/>
      <c r="C485" s="48"/>
      <c r="D485" s="70"/>
      <c r="E485" s="48"/>
      <c r="F485" s="48"/>
    </row>
    <row r="486" spans="1:6" x14ac:dyDescent="0.25">
      <c r="A486" s="48"/>
      <c r="B486" s="48"/>
      <c r="C486" s="48"/>
      <c r="D486" s="70"/>
      <c r="E486" s="48"/>
      <c r="F486" s="48"/>
    </row>
    <row r="487" spans="1:6" x14ac:dyDescent="0.25">
      <c r="A487" s="48"/>
      <c r="B487" s="48"/>
      <c r="C487" s="48"/>
      <c r="D487" s="70"/>
      <c r="E487" s="48"/>
      <c r="F487" s="48"/>
    </row>
    <row r="488" spans="1:6" x14ac:dyDescent="0.25">
      <c r="A488" s="48"/>
      <c r="B488" s="48"/>
      <c r="C488" s="48"/>
      <c r="D488" s="70"/>
      <c r="E488" s="48"/>
      <c r="F488" s="48"/>
    </row>
    <row r="489" spans="1:6" x14ac:dyDescent="0.25">
      <c r="A489" s="48"/>
      <c r="B489" s="48"/>
      <c r="C489" s="48"/>
      <c r="D489" s="70"/>
      <c r="E489" s="48"/>
      <c r="F489" s="48"/>
    </row>
    <row r="490" spans="1:6" x14ac:dyDescent="0.25">
      <c r="A490" s="48"/>
      <c r="B490" s="48"/>
      <c r="C490" s="48"/>
      <c r="D490" s="70"/>
      <c r="E490" s="48"/>
      <c r="F490" s="48"/>
    </row>
    <row r="491" spans="1:6" x14ac:dyDescent="0.25">
      <c r="A491" s="48"/>
      <c r="B491" s="48"/>
      <c r="C491" s="48"/>
      <c r="D491" s="70"/>
      <c r="E491" s="48"/>
      <c r="F491" s="48"/>
    </row>
    <row r="492" spans="1:6" x14ac:dyDescent="0.25">
      <c r="A492" s="48"/>
      <c r="B492" s="48"/>
      <c r="C492" s="48"/>
      <c r="D492" s="70"/>
      <c r="E492" s="48"/>
      <c r="F492" s="48"/>
    </row>
    <row r="493" spans="1:6" x14ac:dyDescent="0.25">
      <c r="A493" s="48"/>
      <c r="B493" s="48"/>
      <c r="C493" s="48"/>
      <c r="D493" s="70"/>
      <c r="E493" s="48"/>
      <c r="F493" s="48"/>
    </row>
    <row r="494" spans="1:6" x14ac:dyDescent="0.25">
      <c r="A494" s="48"/>
      <c r="B494" s="48"/>
      <c r="C494" s="48"/>
      <c r="D494" s="70"/>
      <c r="E494" s="48"/>
      <c r="F494" s="48"/>
    </row>
    <row r="495" spans="1:6" x14ac:dyDescent="0.25">
      <c r="A495" s="48"/>
      <c r="B495" s="48"/>
      <c r="C495" s="48"/>
      <c r="D495" s="70"/>
      <c r="E495" s="48"/>
      <c r="F495" s="48"/>
    </row>
    <row r="496" spans="1:6" x14ac:dyDescent="0.25">
      <c r="A496" s="48"/>
      <c r="B496" s="48"/>
      <c r="C496" s="48"/>
      <c r="D496" s="70"/>
      <c r="E496" s="48"/>
      <c r="F496" s="48"/>
    </row>
    <row r="497" spans="1:6" x14ac:dyDescent="0.25">
      <c r="A497" s="48"/>
      <c r="B497" s="48"/>
      <c r="C497" s="48"/>
      <c r="D497" s="70"/>
      <c r="E497" s="48"/>
      <c r="F497" s="48"/>
    </row>
    <row r="498" spans="1:6" x14ac:dyDescent="0.25">
      <c r="A498" s="48"/>
      <c r="B498" s="48"/>
      <c r="C498" s="48"/>
      <c r="D498" s="70"/>
      <c r="E498" s="48"/>
      <c r="F498" s="48"/>
    </row>
    <row r="499" spans="1:6" x14ac:dyDescent="0.25">
      <c r="A499" s="48"/>
      <c r="B499" s="48"/>
      <c r="C499" s="48"/>
      <c r="D499" s="70"/>
      <c r="E499" s="48"/>
      <c r="F499" s="48"/>
    </row>
    <row r="500" spans="1:6" x14ac:dyDescent="0.25">
      <c r="A500" s="48"/>
      <c r="B500" s="48"/>
      <c r="C500" s="48"/>
      <c r="D500" s="70"/>
      <c r="E500" s="48"/>
      <c r="F500" s="48"/>
    </row>
    <row r="501" spans="1:6" x14ac:dyDescent="0.25">
      <c r="A501" s="48"/>
      <c r="B501" s="48"/>
      <c r="C501" s="48"/>
      <c r="D501" s="70"/>
      <c r="E501" s="48"/>
      <c r="F501" s="48"/>
    </row>
    <row r="502" spans="1:6" x14ac:dyDescent="0.25">
      <c r="A502" s="48"/>
      <c r="B502" s="48"/>
      <c r="C502" s="48"/>
      <c r="D502" s="70"/>
      <c r="E502" s="48"/>
      <c r="F502" s="48"/>
    </row>
  </sheetData>
  <sheetProtection password="CC0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78</vt:i4>
      </vt:variant>
    </vt:vector>
  </HeadingPairs>
  <TitlesOfParts>
    <vt:vector size="97" baseType="lpstr">
      <vt:lpstr>Menu</vt:lpstr>
      <vt:lpstr>Runner</vt:lpstr>
      <vt:lpstr>Times</vt:lpstr>
      <vt:lpstr>Sheet1</vt:lpstr>
      <vt:lpstr>Prizewinners</vt:lpstr>
      <vt:lpstr>Elvis Format</vt:lpstr>
      <vt:lpstr>Race 1</vt:lpstr>
      <vt:lpstr>CSV</vt:lpstr>
      <vt:lpstr>Filter</vt:lpstr>
      <vt:lpstr>Elvis Team</vt:lpstr>
      <vt:lpstr>Race 2</vt:lpstr>
      <vt:lpstr>Race 3</vt:lpstr>
      <vt:lpstr>Race 4</vt:lpstr>
      <vt:lpstr>Race 5</vt:lpstr>
      <vt:lpstr>Race 6</vt:lpstr>
      <vt:lpstr>Race 7</vt:lpstr>
      <vt:lpstr>Race 8</vt:lpstr>
      <vt:lpstr>Elvis</vt:lpstr>
      <vt:lpstr>Individual</vt:lpstr>
      <vt:lpstr>Code</vt:lpstr>
      <vt:lpstr>Runner!Criteria</vt:lpstr>
      <vt:lpstr>Elvis</vt:lpstr>
      <vt:lpstr>Elvis_Team</vt:lpstr>
      <vt:lpstr>CSV!ExternalData_1</vt:lpstr>
      <vt:lpstr>CSV!ExternalData_10</vt:lpstr>
      <vt:lpstr>CSV!ExternalData_11</vt:lpstr>
      <vt:lpstr>CSV!ExternalData_12</vt:lpstr>
      <vt:lpstr>CSV!ExternalData_13</vt:lpstr>
      <vt:lpstr>CSV!ExternalData_14</vt:lpstr>
      <vt:lpstr>CSV!ExternalData_15</vt:lpstr>
      <vt:lpstr>CSV!ExternalData_16</vt:lpstr>
      <vt:lpstr>CSV!ExternalData_17</vt:lpstr>
      <vt:lpstr>CSV!ExternalData_18</vt:lpstr>
      <vt:lpstr>CSV!ExternalData_19</vt:lpstr>
      <vt:lpstr>CSV!ExternalData_2</vt:lpstr>
      <vt:lpstr>CSV!ExternalData_20</vt:lpstr>
      <vt:lpstr>CSV!ExternalData_21</vt:lpstr>
      <vt:lpstr>CSV!ExternalData_22</vt:lpstr>
      <vt:lpstr>CSV!ExternalData_23</vt:lpstr>
      <vt:lpstr>CSV!ExternalData_24</vt:lpstr>
      <vt:lpstr>CSV!ExternalData_25</vt:lpstr>
      <vt:lpstr>CSV!ExternalData_26</vt:lpstr>
      <vt:lpstr>CSV!ExternalData_27</vt:lpstr>
      <vt:lpstr>CSV!ExternalData_28</vt:lpstr>
      <vt:lpstr>CSV!ExternalData_29</vt:lpstr>
      <vt:lpstr>CSV!ExternalData_3</vt:lpstr>
      <vt:lpstr>CSV!ExternalData_30</vt:lpstr>
      <vt:lpstr>CSV!ExternalData_31</vt:lpstr>
      <vt:lpstr>CSV!ExternalData_32</vt:lpstr>
      <vt:lpstr>CSV!ExternalData_33</vt:lpstr>
      <vt:lpstr>CSV!ExternalData_34</vt:lpstr>
      <vt:lpstr>CSV!ExternalData_35</vt:lpstr>
      <vt:lpstr>CSV!ExternalData_36</vt:lpstr>
      <vt:lpstr>CSV!ExternalData_37</vt:lpstr>
      <vt:lpstr>CSV!ExternalData_38</vt:lpstr>
      <vt:lpstr>CSV!ExternalData_39</vt:lpstr>
      <vt:lpstr>CSV!ExternalData_4</vt:lpstr>
      <vt:lpstr>CSV!ExternalData_40</vt:lpstr>
      <vt:lpstr>CSV!ExternalData_41</vt:lpstr>
      <vt:lpstr>CSV!ExternalData_42</vt:lpstr>
      <vt:lpstr>CSV!ExternalData_43</vt:lpstr>
      <vt:lpstr>CSV!ExternalData_44</vt:lpstr>
      <vt:lpstr>CSV!ExternalData_45</vt:lpstr>
      <vt:lpstr>CSV!ExternalData_46</vt:lpstr>
      <vt:lpstr>CSV!ExternalData_47</vt:lpstr>
      <vt:lpstr>CSV!ExternalData_48</vt:lpstr>
      <vt:lpstr>CSV!ExternalData_49</vt:lpstr>
      <vt:lpstr>CSV!ExternalData_5</vt:lpstr>
      <vt:lpstr>CSV!ExternalData_50</vt:lpstr>
      <vt:lpstr>CSV!ExternalData_51</vt:lpstr>
      <vt:lpstr>CSV!ExternalData_52</vt:lpstr>
      <vt:lpstr>CSV!ExternalData_53</vt:lpstr>
      <vt:lpstr>CSV!ExternalData_54</vt:lpstr>
      <vt:lpstr>CSV!ExternalData_55</vt:lpstr>
      <vt:lpstr>CSV!ExternalData_56</vt:lpstr>
      <vt:lpstr>CSV!ExternalData_57</vt:lpstr>
      <vt:lpstr>CSV!ExternalData_58</vt:lpstr>
      <vt:lpstr>CSV!ExternalData_59</vt:lpstr>
      <vt:lpstr>CSV!ExternalData_6</vt:lpstr>
      <vt:lpstr>CSV!ExternalData_60</vt:lpstr>
      <vt:lpstr>CSV!ExternalData_61</vt:lpstr>
      <vt:lpstr>CSV!ExternalData_62</vt:lpstr>
      <vt:lpstr>CSV!ExternalData_63</vt:lpstr>
      <vt:lpstr>CSV!ExternalData_64</vt:lpstr>
      <vt:lpstr>CSV!ExternalData_65</vt:lpstr>
      <vt:lpstr>CSV!ExternalData_66</vt:lpstr>
      <vt:lpstr>CSV!ExternalData_7</vt:lpstr>
      <vt:lpstr>CSV!ExternalData_8</vt:lpstr>
      <vt:lpstr>CSV!ExternalData_9</vt:lpstr>
      <vt:lpstr>Runner!Extract</vt:lpstr>
      <vt:lpstr>Group</vt:lpstr>
      <vt:lpstr>Runner</vt:lpstr>
      <vt:lpstr>Scoring_Team</vt:lpstr>
      <vt:lpstr>Sex</vt:lpstr>
      <vt:lpstr>Team</vt:lpstr>
      <vt:lpstr>Team_Index</vt:lpstr>
      <vt:lpstr>Team_Overall</vt:lpstr>
    </vt:vector>
  </TitlesOfParts>
  <Company>Transport for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Togwell;Mart Clarke</dc:creator>
  <cp:lastModifiedBy>Boddey, Paul</cp:lastModifiedBy>
  <cp:lastPrinted>2015-12-26T16:01:29Z</cp:lastPrinted>
  <dcterms:created xsi:type="dcterms:W3CDTF">2008-12-13T18:26:30Z</dcterms:created>
  <dcterms:modified xsi:type="dcterms:W3CDTF">2021-11-04T15:44:01Z</dcterms:modified>
</cp:coreProperties>
</file>